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X:\Agency_Files\Water\Impaired Waters\TEMPO Temporary Files – Watershed\Nutrient Reduction Strategy\NRS PN Docs\"/>
    </mc:Choice>
  </mc:AlternateContent>
  <xr:revisionPtr revIDLastSave="0" documentId="8_{153F0A73-856F-4CE9-8BEC-B92750A8F0D7}" xr6:coauthVersionLast="47" xr6:coauthVersionMax="47" xr10:uidLastSave="{00000000-0000-0000-0000-000000000000}"/>
  <bookViews>
    <workbookView xWindow="-120" yWindow="-120" windowWidth="29040" windowHeight="15720" tabRatio="773" firstSheet="2" activeTab="11" xr2:uid="{1963DF41-258A-44AD-846E-F19EA31DD304}"/>
  </bookViews>
  <sheets>
    <sheet name="README" sheetId="6" r:id="rId1"/>
    <sheet name="Performance" sheetId="1" r:id="rId2"/>
    <sheet name="Loading Actual Flow" sheetId="4" r:id="rId3"/>
    <sheet name="Loading Design Flow" sheetId="9" r:id="rId4"/>
    <sheet name="Estimated Capital Cost" sheetId="2" r:id="rId5"/>
    <sheet name="Estimated O&amp;M Cost" sheetId="13" r:id="rId6"/>
    <sheet name="Incremental Capital OH 2022" sheetId="11" state="hidden" r:id="rId7"/>
    <sheet name="Interpolation of Capital Costs" sheetId="12" state="hidden" r:id="rId8"/>
    <sheet name="Incremental O&amp;M OH 2022" sheetId="7" state="hidden" r:id="rId9"/>
    <sheet name="Interpolation of O&amp;M Costs" sheetId="8" state="hidden" r:id="rId10"/>
    <sheet name="Adjustment" sheetId="5" state="hidden" r:id="rId11"/>
    <sheet name="Unit Cost Actual Flow" sheetId="3" r:id="rId12"/>
    <sheet name="Unit Cost Design Flow" sheetId="10" r:id="rId13"/>
  </sheets>
  <definedNames>
    <definedName name="_xlnm._FilterDatabase" localSheetId="4" hidden="1">'Estimated Capital Cost'!$A$1:$Q$49</definedName>
    <definedName name="_xlnm._FilterDatabase" localSheetId="5" hidden="1">'Estimated O&amp;M Cost'!$A$1:$V$49</definedName>
    <definedName name="_xlnm._FilterDatabase" localSheetId="2" hidden="1">'Loading Actual Flow'!$A$1:$M$34</definedName>
    <definedName name="_xlnm._FilterDatabase" localSheetId="3" hidden="1">'Loading Design Flow'!$A$1:$M$34</definedName>
    <definedName name="_xlnm._FilterDatabase" localSheetId="1" hidden="1">Performance!$A$1:$Q$32</definedName>
    <definedName name="_xlnm._FilterDatabase" localSheetId="11" hidden="1">'Unit Cost Actual Flow'!$A$1:$I$37</definedName>
    <definedName name="_xlnm._FilterDatabase" localSheetId="12" hidden="1">'Unit Cost Design Flow'!$A$1:$I$33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 i="10" l="1"/>
  <c r="D4" i="10"/>
  <c r="D5" i="10"/>
  <c r="D6" i="10"/>
  <c r="D7" i="10"/>
  <c r="D8" i="10"/>
  <c r="D9" i="10"/>
  <c r="D10" i="10"/>
  <c r="D11" i="10"/>
  <c r="D12" i="10"/>
  <c r="D13" i="10"/>
  <c r="D14" i="10"/>
  <c r="D15" i="10"/>
  <c r="D16" i="10"/>
  <c r="D17" i="10"/>
  <c r="D18" i="10"/>
  <c r="D19" i="10"/>
  <c r="D20" i="10"/>
  <c r="D21" i="10"/>
  <c r="D22" i="10"/>
  <c r="D23" i="10"/>
  <c r="D24" i="10"/>
  <c r="D25" i="10"/>
  <c r="D26" i="10"/>
  <c r="D27" i="10"/>
  <c r="D28" i="10"/>
  <c r="D29" i="10"/>
  <c r="D30" i="10"/>
  <c r="D31" i="10"/>
  <c r="D32" i="10"/>
  <c r="D33" i="10"/>
  <c r="D2" i="10"/>
  <c r="D3" i="3"/>
  <c r="D4" i="3"/>
  <c r="D5" i="3"/>
  <c r="D6" i="3"/>
  <c r="D7" i="3"/>
  <c r="D8" i="3"/>
  <c r="D9" i="3"/>
  <c r="D10" i="3"/>
  <c r="D11" i="3"/>
  <c r="D12" i="3"/>
  <c r="D13" i="3"/>
  <c r="D14" i="3"/>
  <c r="D15" i="3"/>
  <c r="D16" i="3"/>
  <c r="D17" i="3"/>
  <c r="D18" i="3"/>
  <c r="D19" i="3"/>
  <c r="D20" i="3"/>
  <c r="D21" i="3"/>
  <c r="D22" i="3"/>
  <c r="D23" i="3"/>
  <c r="D24" i="3"/>
  <c r="D25" i="3"/>
  <c r="D26" i="3"/>
  <c r="D27" i="3"/>
  <c r="D28" i="3"/>
  <c r="D29" i="3"/>
  <c r="D30" i="3"/>
  <c r="D31" i="3"/>
  <c r="D32" i="3"/>
  <c r="D33" i="3"/>
  <c r="D2" i="3"/>
  <c r="D3" i="13"/>
  <c r="D4" i="13"/>
  <c r="D5" i="13"/>
  <c r="D6" i="13"/>
  <c r="D7" i="13"/>
  <c r="D8" i="13"/>
  <c r="D9" i="13"/>
  <c r="D10" i="13"/>
  <c r="D11" i="13"/>
  <c r="D12" i="13"/>
  <c r="D13" i="13"/>
  <c r="D14" i="13"/>
  <c r="D15" i="13"/>
  <c r="D16" i="13"/>
  <c r="D17" i="13"/>
  <c r="D18" i="13"/>
  <c r="D19" i="13"/>
  <c r="D20" i="13"/>
  <c r="D21" i="13"/>
  <c r="D22" i="13"/>
  <c r="D23" i="13"/>
  <c r="D24" i="13"/>
  <c r="D25" i="13"/>
  <c r="D26" i="13"/>
  <c r="D27" i="13"/>
  <c r="D28" i="13"/>
  <c r="D29" i="13"/>
  <c r="D30" i="13"/>
  <c r="D31" i="13"/>
  <c r="D32" i="13"/>
  <c r="D33" i="13"/>
  <c r="D2" i="13"/>
  <c r="D3" i="2"/>
  <c r="D4" i="2"/>
  <c r="D5" i="2"/>
  <c r="D6" i="2"/>
  <c r="D7" i="2"/>
  <c r="D8" i="2"/>
  <c r="D9" i="2"/>
  <c r="D10" i="2"/>
  <c r="D11" i="2"/>
  <c r="D12" i="2"/>
  <c r="D13" i="2"/>
  <c r="D14" i="2"/>
  <c r="D15" i="2"/>
  <c r="D16" i="2"/>
  <c r="D17" i="2"/>
  <c r="D18" i="2"/>
  <c r="D19" i="2"/>
  <c r="D20" i="2"/>
  <c r="D21" i="2"/>
  <c r="D22" i="2"/>
  <c r="D23" i="2"/>
  <c r="D24" i="2"/>
  <c r="D25" i="2"/>
  <c r="D26" i="2"/>
  <c r="D27" i="2"/>
  <c r="D28" i="2"/>
  <c r="D29" i="2"/>
  <c r="D30" i="2"/>
  <c r="D31" i="2"/>
  <c r="D32" i="2"/>
  <c r="D33" i="2"/>
  <c r="D2" i="2"/>
  <c r="D3" i="9"/>
  <c r="D4" i="9"/>
  <c r="D5" i="9"/>
  <c r="D6" i="9"/>
  <c r="D7" i="9"/>
  <c r="D8" i="9"/>
  <c r="D9" i="9"/>
  <c r="D10" i="9"/>
  <c r="D11" i="9"/>
  <c r="D12" i="9"/>
  <c r="D13" i="9"/>
  <c r="D14" i="9"/>
  <c r="D15" i="9"/>
  <c r="D16" i="9"/>
  <c r="D17" i="9"/>
  <c r="D18" i="9"/>
  <c r="D19" i="9"/>
  <c r="D20" i="9"/>
  <c r="D21" i="9"/>
  <c r="D22" i="9"/>
  <c r="D23" i="9"/>
  <c r="D24" i="9"/>
  <c r="D25" i="9"/>
  <c r="D26" i="9"/>
  <c r="D27" i="9"/>
  <c r="D28" i="9"/>
  <c r="D29" i="9"/>
  <c r="D30" i="9"/>
  <c r="D31" i="9"/>
  <c r="D32" i="9"/>
  <c r="D33" i="9"/>
  <c r="D2" i="9"/>
  <c r="D3" i="4"/>
  <c r="D4" i="4"/>
  <c r="D5" i="4"/>
  <c r="D6" i="4"/>
  <c r="D7" i="4"/>
  <c r="D8" i="4"/>
  <c r="D9" i="4"/>
  <c r="D10" i="4"/>
  <c r="D11" i="4"/>
  <c r="D12" i="4"/>
  <c r="D13" i="4"/>
  <c r="D14" i="4"/>
  <c r="D15" i="4"/>
  <c r="D16" i="4"/>
  <c r="D17" i="4"/>
  <c r="D18" i="4"/>
  <c r="D19" i="4"/>
  <c r="D20" i="4"/>
  <c r="D21" i="4"/>
  <c r="D22" i="4"/>
  <c r="D23" i="4"/>
  <c r="D24" i="4"/>
  <c r="D25" i="4"/>
  <c r="D26" i="4"/>
  <c r="D27" i="4"/>
  <c r="D28" i="4"/>
  <c r="D29" i="4"/>
  <c r="D30" i="4"/>
  <c r="D31" i="4"/>
  <c r="D32" i="4"/>
  <c r="D33" i="4"/>
  <c r="D2" i="4"/>
  <c r="C21" i="3"/>
  <c r="AB16" i="13"/>
  <c r="AB17" i="13"/>
  <c r="AD17" i="13" s="1"/>
  <c r="AB12" i="13"/>
  <c r="AB13" i="13"/>
  <c r="AB14" i="13"/>
  <c r="AB15" i="13"/>
  <c r="AB10" i="13"/>
  <c r="AB11" i="13"/>
  <c r="AB9" i="13"/>
  <c r="AB8" i="13"/>
  <c r="AB7" i="13"/>
  <c r="AB6" i="13"/>
  <c r="AB5" i="13"/>
  <c r="AB4" i="13"/>
  <c r="AB3" i="13"/>
  <c r="AB2" i="13"/>
  <c r="E18" i="3"/>
  <c r="E19" i="3"/>
  <c r="E20" i="3"/>
  <c r="E21" i="3"/>
  <c r="E22" i="3"/>
  <c r="E23" i="3"/>
  <c r="F23" i="3" s="1"/>
  <c r="E24" i="3"/>
  <c r="F24" i="3" s="1"/>
  <c r="E25" i="3"/>
  <c r="F25" i="3" s="1"/>
  <c r="E26" i="3"/>
  <c r="F26" i="3" s="1"/>
  <c r="E27" i="3"/>
  <c r="F27" i="3" s="1"/>
  <c r="E28" i="3"/>
  <c r="F28" i="3" s="1"/>
  <c r="E29" i="3"/>
  <c r="F29" i="3" s="1"/>
  <c r="E30" i="3"/>
  <c r="F30" i="3" s="1"/>
  <c r="E31" i="3"/>
  <c r="F31" i="3" s="1"/>
  <c r="E32" i="3"/>
  <c r="F32" i="3" s="1"/>
  <c r="E33" i="3"/>
  <c r="F33" i="3" s="1"/>
  <c r="E16" i="3"/>
  <c r="E15" i="3"/>
  <c r="E14" i="3"/>
  <c r="E13" i="3"/>
  <c r="E12" i="3"/>
  <c r="E11" i="3"/>
  <c r="E10" i="3"/>
  <c r="E9" i="3"/>
  <c r="E8" i="3"/>
  <c r="E7" i="3"/>
  <c r="E6" i="3"/>
  <c r="E5" i="3"/>
  <c r="E4" i="3"/>
  <c r="E3" i="3"/>
  <c r="E2" i="3"/>
  <c r="E17" i="3"/>
  <c r="E17" i="10"/>
  <c r="E18" i="10"/>
  <c r="E19" i="10"/>
  <c r="E20" i="10"/>
  <c r="E21" i="10"/>
  <c r="E22" i="10"/>
  <c r="E23" i="10"/>
  <c r="F23" i="10" s="1"/>
  <c r="E24" i="10"/>
  <c r="F24" i="10" s="1"/>
  <c r="E25" i="10"/>
  <c r="F25" i="10" s="1"/>
  <c r="E26" i="10"/>
  <c r="F26" i="10" s="1"/>
  <c r="E27" i="10"/>
  <c r="F27" i="10" s="1"/>
  <c r="E28" i="10"/>
  <c r="F28" i="10" s="1"/>
  <c r="E29" i="10"/>
  <c r="F29" i="10" s="1"/>
  <c r="E30" i="10"/>
  <c r="F30" i="10" s="1"/>
  <c r="E31" i="10"/>
  <c r="F31" i="10" s="1"/>
  <c r="E32" i="10"/>
  <c r="F32" i="10" s="1"/>
  <c r="E33" i="10"/>
  <c r="F33" i="10" s="1"/>
  <c r="E15" i="10"/>
  <c r="E16" i="10"/>
  <c r="E12" i="10"/>
  <c r="E13" i="10"/>
  <c r="E14" i="10"/>
  <c r="E9" i="10"/>
  <c r="E10" i="10"/>
  <c r="E11" i="10"/>
  <c r="E7" i="10"/>
  <c r="E8" i="10"/>
  <c r="E5" i="10"/>
  <c r="E6" i="10"/>
  <c r="E3" i="10"/>
  <c r="E4" i="10"/>
  <c r="E2" i="10"/>
  <c r="AE17" i="13" l="1" a="1"/>
  <c r="AE17" i="13" s="1"/>
  <c r="A15" i="2"/>
  <c r="B15" i="2"/>
  <c r="B14" i="10" l="1"/>
  <c r="L10" i="1"/>
  <c r="L8" i="1"/>
  <c r="L9" i="1"/>
  <c r="N7" i="13"/>
  <c r="L7" i="1"/>
  <c r="L6" i="1" l="1"/>
  <c r="L5" i="1"/>
  <c r="L4" i="1"/>
  <c r="A3" i="3"/>
  <c r="B3" i="3"/>
  <c r="C3" i="3"/>
  <c r="A4" i="3"/>
  <c r="B4" i="3"/>
  <c r="C4" i="3"/>
  <c r="A5" i="3"/>
  <c r="B5" i="3"/>
  <c r="C5" i="3"/>
  <c r="A6" i="3"/>
  <c r="B6" i="3"/>
  <c r="C6" i="3"/>
  <c r="A7" i="3"/>
  <c r="B7" i="3"/>
  <c r="C7" i="3"/>
  <c r="A8" i="3"/>
  <c r="B8" i="3"/>
  <c r="C8" i="3"/>
  <c r="A9" i="3"/>
  <c r="B9" i="3"/>
  <c r="C9" i="3"/>
  <c r="A10" i="3"/>
  <c r="B10" i="3"/>
  <c r="C10" i="3"/>
  <c r="A11" i="3"/>
  <c r="B11" i="3"/>
  <c r="C11" i="3"/>
  <c r="A12" i="3"/>
  <c r="B12" i="3"/>
  <c r="C12" i="3"/>
  <c r="A13" i="3"/>
  <c r="B13" i="3"/>
  <c r="C13" i="3"/>
  <c r="A14" i="3"/>
  <c r="B14" i="3"/>
  <c r="C14" i="3"/>
  <c r="A15" i="3"/>
  <c r="B15" i="3"/>
  <c r="C15" i="3"/>
  <c r="A16" i="3"/>
  <c r="B16" i="3"/>
  <c r="C16" i="3"/>
  <c r="A17" i="3"/>
  <c r="B17" i="3"/>
  <c r="C17" i="3"/>
  <c r="A18" i="3"/>
  <c r="B18" i="3"/>
  <c r="C18" i="3"/>
  <c r="A19" i="3"/>
  <c r="B19" i="3"/>
  <c r="C19" i="3"/>
  <c r="A20" i="3"/>
  <c r="B20" i="3"/>
  <c r="C20" i="3"/>
  <c r="A21" i="3"/>
  <c r="B21" i="3"/>
  <c r="A22" i="3"/>
  <c r="B22" i="3"/>
  <c r="C22" i="3"/>
  <c r="A23" i="3"/>
  <c r="B23" i="3"/>
  <c r="C23" i="3"/>
  <c r="A24" i="3"/>
  <c r="B24" i="3"/>
  <c r="C24" i="3"/>
  <c r="A25" i="3"/>
  <c r="B25" i="3"/>
  <c r="C25" i="3"/>
  <c r="A26" i="3"/>
  <c r="B26" i="3"/>
  <c r="C26" i="3"/>
  <c r="A27" i="3"/>
  <c r="B27" i="3"/>
  <c r="C27" i="3"/>
  <c r="A28" i="3"/>
  <c r="B28" i="3"/>
  <c r="C28" i="3"/>
  <c r="A29" i="3"/>
  <c r="B29" i="3"/>
  <c r="C29" i="3"/>
  <c r="A30" i="3"/>
  <c r="B30" i="3"/>
  <c r="C30" i="3"/>
  <c r="A31" i="3"/>
  <c r="B31" i="3"/>
  <c r="C31" i="3"/>
  <c r="A32" i="3"/>
  <c r="B32" i="3"/>
  <c r="C32" i="3"/>
  <c r="A33" i="3"/>
  <c r="B33" i="3"/>
  <c r="C33" i="3"/>
  <c r="B2" i="3"/>
  <c r="A2" i="3"/>
  <c r="A3" i="10"/>
  <c r="B3" i="10"/>
  <c r="A4" i="10"/>
  <c r="B4" i="10"/>
  <c r="A5" i="10"/>
  <c r="B5" i="10"/>
  <c r="A6" i="10"/>
  <c r="B6" i="10"/>
  <c r="A7" i="10"/>
  <c r="B7" i="10"/>
  <c r="A8" i="10"/>
  <c r="B8" i="10"/>
  <c r="A9" i="10"/>
  <c r="B9" i="10"/>
  <c r="A10" i="10"/>
  <c r="B10" i="10"/>
  <c r="A11" i="10"/>
  <c r="B11" i="10"/>
  <c r="A12" i="10"/>
  <c r="B12" i="10"/>
  <c r="A13" i="10"/>
  <c r="B13" i="10"/>
  <c r="A14" i="10"/>
  <c r="A15" i="10"/>
  <c r="B15" i="10"/>
  <c r="A16" i="10"/>
  <c r="B16" i="10"/>
  <c r="A17" i="10"/>
  <c r="B17" i="10"/>
  <c r="A18" i="10"/>
  <c r="B18" i="10"/>
  <c r="A19" i="10"/>
  <c r="B19" i="10"/>
  <c r="A20" i="10"/>
  <c r="B20" i="10"/>
  <c r="A21" i="10"/>
  <c r="B21" i="10"/>
  <c r="A22" i="10"/>
  <c r="B22" i="10"/>
  <c r="A23" i="10"/>
  <c r="B23" i="10"/>
  <c r="A24" i="10"/>
  <c r="B24" i="10"/>
  <c r="A25" i="10"/>
  <c r="B25" i="10"/>
  <c r="A26" i="10"/>
  <c r="B26" i="10"/>
  <c r="A27" i="10"/>
  <c r="B27" i="10"/>
  <c r="A28" i="10"/>
  <c r="B28" i="10"/>
  <c r="A29" i="10"/>
  <c r="B29" i="10"/>
  <c r="A30" i="10"/>
  <c r="B30" i="10"/>
  <c r="A31" i="10"/>
  <c r="B31" i="10"/>
  <c r="A32" i="10"/>
  <c r="B32" i="10"/>
  <c r="A33" i="10"/>
  <c r="B33" i="10"/>
  <c r="B2" i="10"/>
  <c r="A2" i="10"/>
  <c r="C3" i="10"/>
  <c r="C4" i="10"/>
  <c r="C5" i="10"/>
  <c r="C6" i="10"/>
  <c r="C7" i="10"/>
  <c r="C8" i="10"/>
  <c r="C9" i="10"/>
  <c r="C10" i="10"/>
  <c r="C11" i="10"/>
  <c r="C12" i="10"/>
  <c r="C13" i="10"/>
  <c r="C14" i="10"/>
  <c r="C15" i="10"/>
  <c r="C16" i="10"/>
  <c r="C17" i="10"/>
  <c r="C18" i="10"/>
  <c r="C19" i="10"/>
  <c r="C20" i="10"/>
  <c r="C21" i="10"/>
  <c r="C22" i="10"/>
  <c r="C23" i="10"/>
  <c r="C24" i="10"/>
  <c r="C25" i="10"/>
  <c r="C26" i="10"/>
  <c r="C27" i="10"/>
  <c r="C28" i="10"/>
  <c r="C29" i="10"/>
  <c r="C30" i="10"/>
  <c r="C31" i="10"/>
  <c r="C32" i="10"/>
  <c r="C33" i="10"/>
  <c r="C3" i="13"/>
  <c r="L3" i="1" l="1"/>
  <c r="W3" i="13" l="1"/>
  <c r="X3" i="13"/>
  <c r="W4" i="13"/>
  <c r="X4" i="13"/>
  <c r="W5" i="13"/>
  <c r="X5" i="13"/>
  <c r="W6" i="13"/>
  <c r="X6" i="13"/>
  <c r="W7" i="13"/>
  <c r="X7" i="13"/>
  <c r="W8" i="13"/>
  <c r="X8" i="13"/>
  <c r="W9" i="13"/>
  <c r="X9" i="13"/>
  <c r="W10" i="13"/>
  <c r="X10" i="13"/>
  <c r="W11" i="13"/>
  <c r="X11" i="13"/>
  <c r="W12" i="13"/>
  <c r="X12" i="13"/>
  <c r="W13" i="13"/>
  <c r="X13" i="13"/>
  <c r="W14" i="13"/>
  <c r="X14" i="13"/>
  <c r="W15" i="13"/>
  <c r="X15" i="13"/>
  <c r="W16" i="13"/>
  <c r="X16" i="13"/>
  <c r="W17" i="13"/>
  <c r="X17" i="13"/>
  <c r="W18" i="13"/>
  <c r="X18" i="13"/>
  <c r="W19" i="13"/>
  <c r="X19" i="13"/>
  <c r="W20" i="13"/>
  <c r="X20" i="13"/>
  <c r="W21" i="13"/>
  <c r="X21" i="13"/>
  <c r="W22" i="13"/>
  <c r="X22" i="13"/>
  <c r="W23" i="13"/>
  <c r="X23" i="13"/>
  <c r="W24" i="13"/>
  <c r="X24" i="13"/>
  <c r="W25" i="13"/>
  <c r="X25" i="13"/>
  <c r="W26" i="13"/>
  <c r="X26" i="13"/>
  <c r="W27" i="13"/>
  <c r="X27" i="13"/>
  <c r="W28" i="13"/>
  <c r="X28" i="13"/>
  <c r="W29" i="13"/>
  <c r="X29" i="13"/>
  <c r="W30" i="13"/>
  <c r="X30" i="13"/>
  <c r="W31" i="13"/>
  <c r="X31" i="13"/>
  <c r="W32" i="13"/>
  <c r="X32" i="13"/>
  <c r="W33" i="13"/>
  <c r="X33" i="13"/>
  <c r="X2" i="13"/>
  <c r="W2" i="13"/>
  <c r="AB18" i="13"/>
  <c r="AB19" i="13"/>
  <c r="AB20" i="13"/>
  <c r="AB21" i="13"/>
  <c r="AB22" i="13"/>
  <c r="AB23" i="13"/>
  <c r="AB24" i="13"/>
  <c r="AB25" i="13"/>
  <c r="AB26" i="13"/>
  <c r="AB27" i="13"/>
  <c r="AB28" i="13"/>
  <c r="AB29" i="13"/>
  <c r="AB30" i="13"/>
  <c r="AB31" i="13"/>
  <c r="AB32" i="13"/>
  <c r="AB33" i="13"/>
  <c r="L2" i="1"/>
  <c r="Y23" i="13" l="1"/>
  <c r="Z23" i="13" s="1"/>
  <c r="Y24" i="13"/>
  <c r="Z24" i="13" s="1"/>
  <c r="Y3" i="13"/>
  <c r="Z3" i="13" s="1"/>
  <c r="Y28" i="13"/>
  <c r="Z28" i="13" s="1"/>
  <c r="Y32" i="13"/>
  <c r="Z32" i="13" s="1"/>
  <c r="Y26" i="13"/>
  <c r="Z26" i="13" s="1"/>
  <c r="Y19" i="13"/>
  <c r="Z19" i="13" s="1"/>
  <c r="Y8" i="13"/>
  <c r="Z8" i="13" s="1"/>
  <c r="Y4" i="13"/>
  <c r="Z4" i="13" s="1"/>
  <c r="Y30" i="13"/>
  <c r="Z30" i="13" s="1"/>
  <c r="Y33" i="13"/>
  <c r="Z33" i="13" s="1"/>
  <c r="Y22" i="13"/>
  <c r="Z22" i="13" s="1"/>
  <c r="Y31" i="13"/>
  <c r="Z31" i="13" s="1"/>
  <c r="Y9" i="13"/>
  <c r="Z9" i="13" s="1"/>
  <c r="Y25" i="13"/>
  <c r="Z25" i="13" s="1"/>
  <c r="Y6" i="13"/>
  <c r="Z6" i="13" s="1"/>
  <c r="Y10" i="13"/>
  <c r="Z10" i="13" s="1"/>
  <c r="Y18" i="13"/>
  <c r="Z18" i="13" s="1"/>
  <c r="Y17" i="13"/>
  <c r="Z17" i="13" s="1"/>
  <c r="Y16" i="13"/>
  <c r="Z16" i="13" s="1"/>
  <c r="Y14" i="13"/>
  <c r="Z14" i="13" s="1"/>
  <c r="Y12" i="13"/>
  <c r="Z12" i="13" s="1"/>
  <c r="Y11" i="13"/>
  <c r="Z11" i="13" s="1"/>
  <c r="Y29" i="13"/>
  <c r="Z29" i="13" s="1"/>
  <c r="Y13" i="13"/>
  <c r="Z13" i="13" s="1"/>
  <c r="Y20" i="13"/>
  <c r="Z20" i="13" s="1"/>
  <c r="Y7" i="13"/>
  <c r="Z7" i="13" s="1"/>
  <c r="Y27" i="13"/>
  <c r="Z27" i="13" s="1"/>
  <c r="Y5" i="13"/>
  <c r="Z5" i="13" s="1"/>
  <c r="Y21" i="13"/>
  <c r="Z21" i="13" s="1"/>
  <c r="Y15" i="13"/>
  <c r="Z15" i="13" s="1"/>
  <c r="I3" i="1" l="1"/>
  <c r="I4" i="1"/>
  <c r="I5" i="1"/>
  <c r="I6" i="1"/>
  <c r="I7" i="1"/>
  <c r="I8" i="1"/>
  <c r="I9" i="1"/>
  <c r="I10" i="1"/>
  <c r="I11" i="1"/>
  <c r="I12" i="1"/>
  <c r="I13" i="1"/>
  <c r="I14" i="1"/>
  <c r="I15" i="1"/>
  <c r="I16" i="1"/>
  <c r="I17" i="1"/>
  <c r="I18" i="1"/>
  <c r="I19" i="1"/>
  <c r="I20" i="1"/>
  <c r="I21" i="1"/>
  <c r="I22" i="1"/>
  <c r="I23" i="1"/>
  <c r="I24" i="1"/>
  <c r="I25" i="1"/>
  <c r="I26" i="1"/>
  <c r="I27" i="1"/>
  <c r="I28" i="1"/>
  <c r="I29" i="1"/>
  <c r="I30" i="1"/>
  <c r="I31" i="1"/>
  <c r="I32" i="1"/>
  <c r="I2" i="1"/>
  <c r="M21" i="2"/>
  <c r="M22" i="2"/>
  <c r="M23" i="2"/>
  <c r="M24" i="2"/>
  <c r="M25" i="2"/>
  <c r="M26" i="2"/>
  <c r="M27" i="2"/>
  <c r="M28" i="2"/>
  <c r="N28" i="2" s="1"/>
  <c r="M29" i="2"/>
  <c r="M30" i="2"/>
  <c r="M31" i="2"/>
  <c r="M32" i="2"/>
  <c r="M33" i="2"/>
  <c r="S27" i="2"/>
  <c r="W27" i="2" s="1"/>
  <c r="S28" i="2"/>
  <c r="AL28" i="2" s="1"/>
  <c r="AM28" i="2" s="1" a="1"/>
  <c r="AM28" i="2" s="1"/>
  <c r="S29" i="2"/>
  <c r="AG29" i="2" s="1"/>
  <c r="S30" i="2"/>
  <c r="S31" i="2"/>
  <c r="S32" i="2"/>
  <c r="S33" i="2"/>
  <c r="AB33" i="2" s="1"/>
  <c r="AC33" i="2" s="1" a="1"/>
  <c r="AC33" i="2" s="1"/>
  <c r="S3" i="2"/>
  <c r="U3" i="2" s="1"/>
  <c r="S4" i="2"/>
  <c r="S5" i="2"/>
  <c r="V5" i="2" s="1" a="1"/>
  <c r="V5" i="2" s="1"/>
  <c r="S6" i="2"/>
  <c r="V6" i="2" s="1" a="1"/>
  <c r="V6" i="2" s="1"/>
  <c r="S7" i="2"/>
  <c r="V7" i="2" s="1" a="1"/>
  <c r="V7" i="2" s="1"/>
  <c r="S8" i="2"/>
  <c r="S9" i="2"/>
  <c r="AL9" i="2" s="1"/>
  <c r="AM9" i="2" s="1" a="1"/>
  <c r="AM9" i="2" s="1"/>
  <c r="S10" i="2"/>
  <c r="S11" i="2"/>
  <c r="V11" i="2" s="1" a="1"/>
  <c r="V11" i="2" s="1"/>
  <c r="S12" i="2"/>
  <c r="AL12" i="2" s="1"/>
  <c r="AM12" i="2" s="1" a="1"/>
  <c r="AM12" i="2" s="1"/>
  <c r="S13" i="2"/>
  <c r="AG13" i="2" s="1"/>
  <c r="AH13" i="2" s="1" a="1"/>
  <c r="AH13" i="2" s="1"/>
  <c r="S14" i="2"/>
  <c r="AL14" i="2" s="1"/>
  <c r="S15" i="2"/>
  <c r="S16" i="2"/>
  <c r="S17" i="2"/>
  <c r="W17" i="2" s="1"/>
  <c r="X17" i="2" s="1" a="1"/>
  <c r="X17" i="2" s="1"/>
  <c r="S18" i="2"/>
  <c r="U18" i="2" s="1"/>
  <c r="S19" i="2"/>
  <c r="V19" i="2" s="1" a="1"/>
  <c r="V19" i="2" s="1"/>
  <c r="S20" i="2"/>
  <c r="AG20" i="2" s="1"/>
  <c r="AH20" i="2" s="1" a="1"/>
  <c r="AH20" i="2" s="1"/>
  <c r="S21" i="2"/>
  <c r="U21" i="2" s="1"/>
  <c r="S22" i="2"/>
  <c r="S23" i="2"/>
  <c r="V23" i="2" s="1" a="1"/>
  <c r="V23" i="2" s="1"/>
  <c r="S24" i="2"/>
  <c r="W24" i="2" s="1"/>
  <c r="S25" i="2"/>
  <c r="S26" i="2"/>
  <c r="S2" i="2"/>
  <c r="AB42" i="2"/>
  <c r="AC42" i="2"/>
  <c r="AD42" i="2"/>
  <c r="AB43" i="2" a="1"/>
  <c r="AB43" i="2" s="1"/>
  <c r="AC43" i="2" a="1"/>
  <c r="AC43" i="2" s="1"/>
  <c r="AD43" i="2" a="1"/>
  <c r="AD43" i="2" s="1"/>
  <c r="AA42" i="2"/>
  <c r="AA43" i="2" a="1"/>
  <c r="AA43" i="2" s="1"/>
  <c r="AD44" i="2"/>
  <c r="AD45" i="2" s="1" a="1"/>
  <c r="AD45" i="2" s="1"/>
  <c r="AC44" i="2"/>
  <c r="AC45" i="2" s="1" a="1"/>
  <c r="AC45" i="2" s="1"/>
  <c r="AB44" i="2"/>
  <c r="AB45" i="2" s="1" a="1"/>
  <c r="AB45" i="2" s="1"/>
  <c r="AA44" i="2"/>
  <c r="AA45" i="2" s="1" a="1"/>
  <c r="AA45" i="2" s="1"/>
  <c r="M9" i="12"/>
  <c r="M10" i="12" s="1" a="1"/>
  <c r="M10" i="12" s="1"/>
  <c r="L9" i="12"/>
  <c r="L10" i="12" s="1" a="1"/>
  <c r="L10" i="12" s="1"/>
  <c r="K7" i="12"/>
  <c r="L7" i="12"/>
  <c r="M7" i="12"/>
  <c r="K8" i="12" a="1"/>
  <c r="K8" i="12" s="1"/>
  <c r="L8" i="12" a="1"/>
  <c r="L8" i="12" s="1"/>
  <c r="M8" i="12" a="1"/>
  <c r="M8" i="12" s="1"/>
  <c r="J8" i="12" a="1"/>
  <c r="J8" i="12" s="1"/>
  <c r="J7" i="12"/>
  <c r="K9" i="12"/>
  <c r="K10" i="12" s="1" a="1"/>
  <c r="K10" i="12" s="1"/>
  <c r="J9" i="12"/>
  <c r="J10" i="12" s="1" a="1"/>
  <c r="J10" i="12" s="1"/>
  <c r="AJ11" i="13"/>
  <c r="AK11" i="13" a="1"/>
  <c r="AK11" i="13" s="1"/>
  <c r="AJ13" i="13"/>
  <c r="AK13" i="13" a="1"/>
  <c r="AK13" i="13" s="1"/>
  <c r="AJ15" i="13"/>
  <c r="AJ17" i="13"/>
  <c r="AJ18" i="13"/>
  <c r="AK18" i="13" a="1"/>
  <c r="AK18" i="13" s="1"/>
  <c r="AJ20" i="13"/>
  <c r="AL23" i="13"/>
  <c r="AM23" i="13" s="1" a="1"/>
  <c r="AM23" i="13" s="1"/>
  <c r="AJ24" i="13"/>
  <c r="AL25" i="13"/>
  <c r="AM25" i="13" s="1" a="1"/>
  <c r="AM25" i="13" s="1"/>
  <c r="AJ26" i="13"/>
  <c r="AL27" i="13"/>
  <c r="AM27" i="13" s="1" a="1"/>
  <c r="AM27" i="13" s="1"/>
  <c r="AJ29" i="13"/>
  <c r="AK29" i="13" a="1"/>
  <c r="AK29" i="13" s="1"/>
  <c r="AJ31" i="13"/>
  <c r="AK31" i="13" a="1"/>
  <c r="AK31" i="13" s="1"/>
  <c r="AL32" i="13"/>
  <c r="AM32" i="13" s="1" a="1"/>
  <c r="AM32" i="13" s="1"/>
  <c r="AJ33" i="13"/>
  <c r="AE3" i="13" a="1"/>
  <c r="AE3" i="13" s="1"/>
  <c r="AD3" i="13"/>
  <c r="AE4" i="13" a="1"/>
  <c r="AE4" i="13" s="1"/>
  <c r="AE5" i="13" a="1"/>
  <c r="AE5" i="13" s="1"/>
  <c r="AE6" i="13" a="1"/>
  <c r="AE6" i="13" s="1"/>
  <c r="AE7" i="13" a="1"/>
  <c r="AE7" i="13" s="1"/>
  <c r="AE8" i="13" a="1"/>
  <c r="AE8" i="13" s="1"/>
  <c r="AD8" i="13"/>
  <c r="AE9" i="13" a="1"/>
  <c r="AE9" i="13" s="1"/>
  <c r="AE10" i="13" a="1"/>
  <c r="AE10" i="13" s="1"/>
  <c r="AE11" i="13" a="1"/>
  <c r="AE11" i="13" s="1"/>
  <c r="AD11" i="13"/>
  <c r="AE12" i="13" a="1"/>
  <c r="AE12" i="13" s="1"/>
  <c r="AD12" i="13"/>
  <c r="AE13" i="13" a="1"/>
  <c r="AE13" i="13" s="1"/>
  <c r="AE14" i="13" a="1"/>
  <c r="AE14" i="13" s="1"/>
  <c r="AE15" i="13" a="1"/>
  <c r="AE15" i="13" s="1"/>
  <c r="AD15" i="13"/>
  <c r="AE16" i="13" a="1"/>
  <c r="AE16" i="13" s="1"/>
  <c r="AD16" i="13"/>
  <c r="AE18" i="13" a="1"/>
  <c r="AE18" i="13" s="1"/>
  <c r="AE19" i="13" a="1"/>
  <c r="AE19" i="13" s="1"/>
  <c r="AD19" i="13"/>
  <c r="AE20" i="13" a="1"/>
  <c r="AE20" i="13" s="1"/>
  <c r="AE21" i="13" a="1"/>
  <c r="AE21" i="13" s="1"/>
  <c r="AD21" i="13"/>
  <c r="AE22" i="13" a="1"/>
  <c r="AE22" i="13" s="1"/>
  <c r="AD22" i="13"/>
  <c r="AE23" i="13" a="1"/>
  <c r="AE23" i="13" s="1"/>
  <c r="AE24" i="13" a="1"/>
  <c r="AE24" i="13" s="1"/>
  <c r="AE25" i="13" a="1"/>
  <c r="AE25" i="13" s="1"/>
  <c r="AD25" i="13"/>
  <c r="AE26" i="13" a="1"/>
  <c r="AE26" i="13" s="1"/>
  <c r="AD26" i="13"/>
  <c r="AE27" i="13" a="1"/>
  <c r="AE27" i="13" s="1"/>
  <c r="AE28" i="13" a="1"/>
  <c r="AE28" i="13" s="1"/>
  <c r="AE29" i="13" a="1"/>
  <c r="AE29" i="13" s="1"/>
  <c r="AD29" i="13"/>
  <c r="AE30" i="13" a="1"/>
  <c r="AE30" i="13" s="1"/>
  <c r="AD30" i="13"/>
  <c r="AE31" i="13" a="1"/>
  <c r="AE31" i="13" s="1"/>
  <c r="AE32" i="13" a="1"/>
  <c r="AE32" i="13" s="1"/>
  <c r="AE33" i="13" a="1"/>
  <c r="AE33" i="13" s="1"/>
  <c r="AD33" i="13"/>
  <c r="M6" i="8"/>
  <c r="K6" i="8"/>
  <c r="M7" i="8" a="1"/>
  <c r="M7" i="8" s="1"/>
  <c r="K7" i="8" a="1"/>
  <c r="K7" i="8" s="1"/>
  <c r="AN42" i="13" a="1"/>
  <c r="AN42" i="13" s="1"/>
  <c r="AL42" i="13" a="1"/>
  <c r="AL42" i="13" s="1"/>
  <c r="AN41" i="13"/>
  <c r="AL41" i="13"/>
  <c r="G65" i="11"/>
  <c r="G66" i="11"/>
  <c r="G67" i="11"/>
  <c r="G64" i="11"/>
  <c r="G59" i="11"/>
  <c r="G60" i="11"/>
  <c r="G61" i="11"/>
  <c r="G58" i="11"/>
  <c r="G53" i="11"/>
  <c r="G54" i="11"/>
  <c r="G55" i="11"/>
  <c r="G52" i="11"/>
  <c r="G47" i="11"/>
  <c r="G48" i="11"/>
  <c r="G49" i="11"/>
  <c r="G46" i="11"/>
  <c r="G43" i="11"/>
  <c r="G42" i="11"/>
  <c r="G41" i="11"/>
  <c r="G40" i="11"/>
  <c r="G35" i="11"/>
  <c r="G36" i="11"/>
  <c r="G37" i="11"/>
  <c r="G34" i="11"/>
  <c r="G29" i="11"/>
  <c r="G30" i="11"/>
  <c r="G31" i="11"/>
  <c r="G28" i="11"/>
  <c r="G23" i="11"/>
  <c r="G24" i="11"/>
  <c r="G25" i="11"/>
  <c r="AL24" i="2" l="1"/>
  <c r="AM24" i="2" s="1" a="1"/>
  <c r="AM24" i="2" s="1"/>
  <c r="AG24" i="2"/>
  <c r="AH24" i="2" s="1" a="1"/>
  <c r="AH24" i="2" s="1"/>
  <c r="AL21" i="2"/>
  <c r="AM21" i="2" s="1" a="1"/>
  <c r="AM21" i="2" s="1"/>
  <c r="W11" i="2"/>
  <c r="X11" i="2" s="1" a="1"/>
  <c r="X11" i="2" s="1"/>
  <c r="AG21" i="2"/>
  <c r="AH21" i="2" s="1" a="1"/>
  <c r="AH21" i="2" s="1"/>
  <c r="AG17" i="2"/>
  <c r="AH17" i="2" s="1" a="1"/>
  <c r="AH17" i="2" s="1"/>
  <c r="U33" i="2"/>
  <c r="U27" i="2"/>
  <c r="U7" i="2"/>
  <c r="U5" i="2"/>
  <c r="AB21" i="2"/>
  <c r="AC21" i="2" s="1" a="1"/>
  <c r="AC21" i="2" s="1"/>
  <c r="AG33" i="2"/>
  <c r="AH33" i="2" s="1" a="1"/>
  <c r="AH33" i="2" s="1"/>
  <c r="V12" i="2" a="1"/>
  <c r="V12" i="2" s="1"/>
  <c r="W21" i="2"/>
  <c r="X21" i="2" s="1" a="1"/>
  <c r="X21" i="2" s="1"/>
  <c r="AG23" i="2"/>
  <c r="AH23" i="2" s="1" a="1"/>
  <c r="AH23" i="2" s="1"/>
  <c r="AL17" i="2"/>
  <c r="AM17" i="2" s="1" a="1"/>
  <c r="AM17" i="2" s="1"/>
  <c r="U22" i="2"/>
  <c r="AF22" i="2" a="1"/>
  <c r="AF22" i="2" s="1"/>
  <c r="Z22" i="2"/>
  <c r="AJ22" i="2"/>
  <c r="AA22" i="2" a="1"/>
  <c r="AA22" i="2" s="1"/>
  <c r="AK22" i="2" a="1"/>
  <c r="AK22" i="2" s="1"/>
  <c r="AE22" i="2"/>
  <c r="W10" i="2"/>
  <c r="X10" i="2" s="1" a="1"/>
  <c r="X10" i="2" s="1"/>
  <c r="AA10" i="2" a="1"/>
  <c r="AA10" i="2" s="1"/>
  <c r="AE10" i="2"/>
  <c r="AF10" i="2" a="1"/>
  <c r="AF10" i="2" s="1"/>
  <c r="AJ10" i="2"/>
  <c r="Z10" i="2"/>
  <c r="AK10" i="2" a="1"/>
  <c r="AK10" i="2" s="1"/>
  <c r="W25" i="2"/>
  <c r="X25" i="2" s="1" a="1"/>
  <c r="X25" i="2" s="1"/>
  <c r="AK25" i="2" a="1"/>
  <c r="AK25" i="2" s="1"/>
  <c r="Z25" i="2"/>
  <c r="AE25" i="2"/>
  <c r="AA25" i="2" a="1"/>
  <c r="AA25" i="2" s="1"/>
  <c r="AF25" i="2" a="1"/>
  <c r="AF25" i="2" s="1"/>
  <c r="AJ25" i="2"/>
  <c r="AG14" i="2"/>
  <c r="AH14" i="2" s="1" a="1"/>
  <c r="AH14" i="2" s="1"/>
  <c r="AA14" i="2" a="1"/>
  <c r="AA14" i="2" s="1"/>
  <c r="AK14" i="2" a="1"/>
  <c r="AK14" i="2" s="1"/>
  <c r="Z14" i="2"/>
  <c r="AE14" i="2"/>
  <c r="AF14" i="2" a="1"/>
  <c r="AF14" i="2" s="1"/>
  <c r="AJ14" i="2"/>
  <c r="AL29" i="2"/>
  <c r="AM29" i="2" s="1" a="1"/>
  <c r="AM29" i="2" s="1"/>
  <c r="AJ29" i="2"/>
  <c r="AE29" i="2"/>
  <c r="AK29" i="2" a="1"/>
  <c r="AK29" i="2" s="1"/>
  <c r="AF29" i="2" a="1"/>
  <c r="AF29" i="2" s="1"/>
  <c r="Z29" i="2"/>
  <c r="AA29" i="2" a="1"/>
  <c r="AA29" i="2" s="1"/>
  <c r="W9" i="2"/>
  <c r="X9" i="2" s="1" a="1"/>
  <c r="X9" i="2" s="1"/>
  <c r="AK9" i="2" a="1"/>
  <c r="AK9" i="2" s="1"/>
  <c r="Z9" i="2"/>
  <c r="AF9" i="2" a="1"/>
  <c r="AF9" i="2" s="1"/>
  <c r="AJ9" i="2"/>
  <c r="AE9" i="2"/>
  <c r="AA9" i="2" a="1"/>
  <c r="AA9" i="2" s="1"/>
  <c r="AL20" i="2"/>
  <c r="AM20" i="2" s="1" a="1"/>
  <c r="AM20" i="2" s="1"/>
  <c r="AJ20" i="2"/>
  <c r="AF20" i="2" a="1"/>
  <c r="AF20" i="2" s="1"/>
  <c r="Z20" i="2"/>
  <c r="AE20" i="2"/>
  <c r="AA20" i="2" a="1"/>
  <c r="AA20" i="2" s="1"/>
  <c r="AK20" i="2" a="1"/>
  <c r="AK20" i="2" s="1"/>
  <c r="AL18" i="2"/>
  <c r="AM18" i="2" s="1" a="1"/>
  <c r="AM18" i="2" s="1"/>
  <c r="AL13" i="2"/>
  <c r="AM13" i="2" s="1" a="1"/>
  <c r="AM13" i="2" s="1"/>
  <c r="AF13" i="2" a="1"/>
  <c r="AF13" i="2" s="1"/>
  <c r="AJ13" i="2"/>
  <c r="AK13" i="2" a="1"/>
  <c r="AK13" i="2" s="1"/>
  <c r="AA13" i="2" a="1"/>
  <c r="AA13" i="2" s="1"/>
  <c r="AE13" i="2"/>
  <c r="Z13" i="2"/>
  <c r="U8" i="2"/>
  <c r="AE8" i="2"/>
  <c r="AA8" i="2" a="1"/>
  <c r="AA8" i="2" s="1"/>
  <c r="AJ8" i="2"/>
  <c r="AF8" i="2" a="1"/>
  <c r="AF8" i="2" s="1"/>
  <c r="AK8" i="2" a="1"/>
  <c r="AK8" i="2" s="1"/>
  <c r="Z8" i="2"/>
  <c r="AG28" i="2"/>
  <c r="AH28" i="2" s="1" a="1"/>
  <c r="AH28" i="2" s="1"/>
  <c r="Z28" i="2"/>
  <c r="AF28" i="2" a="1"/>
  <c r="AF28" i="2" s="1"/>
  <c r="AA28" i="2" a="1"/>
  <c r="AA28" i="2" s="1"/>
  <c r="AJ28" i="2"/>
  <c r="AE28" i="2"/>
  <c r="AK28" i="2" a="1"/>
  <c r="AK28" i="2" s="1"/>
  <c r="U24" i="2"/>
  <c r="V29" i="2" a="1"/>
  <c r="V29" i="2" s="1"/>
  <c r="AL7" i="2"/>
  <c r="AM7" i="2" s="1" a="1"/>
  <c r="AM7" i="2" s="1"/>
  <c r="Z7" i="2"/>
  <c r="AA7" i="2" a="1"/>
  <c r="AA7" i="2" s="1"/>
  <c r="AF7" i="2" a="1"/>
  <c r="AF7" i="2" s="1"/>
  <c r="AJ7" i="2"/>
  <c r="AE7" i="2"/>
  <c r="AK7" i="2" a="1"/>
  <c r="AK7" i="2" s="1"/>
  <c r="V33" i="2" a="1"/>
  <c r="V33" i="2" s="1"/>
  <c r="AE33" i="2"/>
  <c r="AA33" i="2" a="1"/>
  <c r="AA33" i="2" s="1"/>
  <c r="AJ33" i="2"/>
  <c r="AF33" i="2" a="1"/>
  <c r="AF33" i="2" s="1"/>
  <c r="AK33" i="2" a="1"/>
  <c r="AK33" i="2" s="1"/>
  <c r="Z33" i="2"/>
  <c r="AG27" i="2"/>
  <c r="AH27" i="2" s="1" a="1"/>
  <c r="AH27" i="2" s="1"/>
  <c r="AL26" i="2"/>
  <c r="AM26" i="2" s="1" a="1"/>
  <c r="AM26" i="2" s="1"/>
  <c r="AK26" i="2" a="1"/>
  <c r="AK26" i="2" s="1"/>
  <c r="Z26" i="2"/>
  <c r="AJ26" i="2"/>
  <c r="AF26" i="2" a="1"/>
  <c r="AF26" i="2" s="1"/>
  <c r="AA26" i="2" a="1"/>
  <c r="AA26" i="2" s="1"/>
  <c r="AE26" i="2"/>
  <c r="U29" i="2"/>
  <c r="AB24" i="2"/>
  <c r="AC24" i="2" s="1" a="1"/>
  <c r="AC24" i="2" s="1"/>
  <c r="AE24" i="2"/>
  <c r="AA24" i="2" a="1"/>
  <c r="AA24" i="2" s="1"/>
  <c r="Z24" i="2"/>
  <c r="AF24" i="2" a="1"/>
  <c r="AF24" i="2" s="1"/>
  <c r="AJ24" i="2"/>
  <c r="AK24" i="2" a="1"/>
  <c r="AK24" i="2" s="1"/>
  <c r="AB19" i="2"/>
  <c r="AC19" i="2" s="1" a="1"/>
  <c r="AC19" i="2" s="1"/>
  <c r="AG18" i="2"/>
  <c r="AH18" i="2" s="1" a="1"/>
  <c r="AH18" i="2" s="1"/>
  <c r="AB17" i="2"/>
  <c r="AC17" i="2" s="1" a="1"/>
  <c r="AC17" i="2" s="1"/>
  <c r="AA17" i="2" a="1"/>
  <c r="AA17" i="2" s="1"/>
  <c r="AE17" i="2"/>
  <c r="Z17" i="2"/>
  <c r="AF17" i="2" a="1"/>
  <c r="AF17" i="2" s="1"/>
  <c r="AJ17" i="2"/>
  <c r="AK17" i="2" a="1"/>
  <c r="AK17" i="2" s="1"/>
  <c r="AG12" i="2"/>
  <c r="AH12" i="2" s="1" a="1"/>
  <c r="AH12" i="2" s="1"/>
  <c r="AK12" i="2" a="1"/>
  <c r="AK12" i="2" s="1"/>
  <c r="AF12" i="2" a="1"/>
  <c r="AF12" i="2" s="1"/>
  <c r="AJ12" i="2"/>
  <c r="AE12" i="2"/>
  <c r="Z12" i="2"/>
  <c r="AA12" i="2" a="1"/>
  <c r="AA12" i="2" s="1"/>
  <c r="AG6" i="2"/>
  <c r="AH6" i="2" s="1" a="1"/>
  <c r="AH6" i="2" s="1"/>
  <c r="AK6" i="2" a="1"/>
  <c r="AK6" i="2" s="1"/>
  <c r="AF6" i="2" a="1"/>
  <c r="AF6" i="2" s="1"/>
  <c r="Z6" i="2"/>
  <c r="AE6" i="2"/>
  <c r="AA6" i="2" a="1"/>
  <c r="AA6" i="2" s="1"/>
  <c r="AJ6" i="2"/>
  <c r="W32" i="2"/>
  <c r="X32" i="2" s="1" a="1"/>
  <c r="X32" i="2" s="1"/>
  <c r="AF32" i="2" a="1"/>
  <c r="AF32" i="2" s="1"/>
  <c r="Z32" i="2"/>
  <c r="AA32" i="2" a="1"/>
  <c r="AA32" i="2" s="1"/>
  <c r="AK32" i="2" a="1"/>
  <c r="AK32" i="2" s="1"/>
  <c r="AE32" i="2"/>
  <c r="AJ32" i="2"/>
  <c r="AB18" i="2"/>
  <c r="AC18" i="2" s="1" a="1"/>
  <c r="AC18" i="2" s="1"/>
  <c r="AJ18" i="2"/>
  <c r="AF18" i="2" a="1"/>
  <c r="AF18" i="2" s="1"/>
  <c r="AK18" i="2" a="1"/>
  <c r="AK18" i="2" s="1"/>
  <c r="Z18" i="2"/>
  <c r="AE18" i="2"/>
  <c r="AA18" i="2" a="1"/>
  <c r="AA18" i="2" s="1"/>
  <c r="AG3" i="2"/>
  <c r="AH3" i="2" s="1" a="1"/>
  <c r="AH3" i="2" s="1"/>
  <c r="AJ3" i="2"/>
  <c r="AF3" i="2" a="1"/>
  <c r="AF3" i="2" s="1"/>
  <c r="AK3" i="2" a="1"/>
  <c r="AK3" i="2" s="1"/>
  <c r="AE3" i="2"/>
  <c r="Z3" i="2"/>
  <c r="AA3" i="2" a="1"/>
  <c r="AA3" i="2" s="1"/>
  <c r="V18" i="2" a="1"/>
  <c r="V18" i="2" s="1"/>
  <c r="AG2" i="2"/>
  <c r="AH2" i="2" s="1" a="1"/>
  <c r="AH2" i="2" s="1"/>
  <c r="AA2" i="2" a="1"/>
  <c r="AA2" i="2" s="1"/>
  <c r="Z2" i="2"/>
  <c r="AK2" i="2" a="1"/>
  <c r="AK2" i="2" s="1"/>
  <c r="AJ2" i="2"/>
  <c r="AE2" i="2"/>
  <c r="AF2" i="2" a="1"/>
  <c r="AF2" i="2" s="1"/>
  <c r="AG19" i="2"/>
  <c r="AH19" i="2" s="1" a="1"/>
  <c r="AH19" i="2" s="1"/>
  <c r="AA19" i="2" a="1"/>
  <c r="AA19" i="2" s="1"/>
  <c r="AK19" i="2" a="1"/>
  <c r="AK19" i="2" s="1"/>
  <c r="AE19" i="2"/>
  <c r="AF19" i="2" a="1"/>
  <c r="AF19" i="2" s="1"/>
  <c r="AJ19" i="2"/>
  <c r="Z19" i="2"/>
  <c r="V16" i="2" a="1"/>
  <c r="V16" i="2" s="1"/>
  <c r="AJ16" i="2"/>
  <c r="Z16" i="2"/>
  <c r="AF16" i="2" a="1"/>
  <c r="AF16" i="2" s="1"/>
  <c r="AK16" i="2" a="1"/>
  <c r="AK16" i="2" s="1"/>
  <c r="AA16" i="2" a="1"/>
  <c r="AA16" i="2" s="1"/>
  <c r="AE16" i="2"/>
  <c r="AL5" i="2"/>
  <c r="AM5" i="2" s="1" a="1"/>
  <c r="AM5" i="2" s="1"/>
  <c r="Z5" i="2"/>
  <c r="AE5" i="2"/>
  <c r="AA5" i="2" a="1"/>
  <c r="AA5" i="2" s="1"/>
  <c r="AF5" i="2" a="1"/>
  <c r="AF5" i="2" s="1"/>
  <c r="AJ5" i="2"/>
  <c r="AK5" i="2" a="1"/>
  <c r="AK5" i="2" s="1"/>
  <c r="U31" i="2"/>
  <c r="Z31" i="2"/>
  <c r="AA31" i="2" a="1"/>
  <c r="AA31" i="2" s="1"/>
  <c r="AK31" i="2" a="1"/>
  <c r="AK31" i="2" s="1"/>
  <c r="AF31" i="2" a="1"/>
  <c r="AF31" i="2" s="1"/>
  <c r="AJ31" i="2"/>
  <c r="AE31" i="2"/>
  <c r="AL27" i="2"/>
  <c r="AM27" i="2" s="1" a="1"/>
  <c r="AM27" i="2" s="1"/>
  <c r="AA27" i="2" a="1"/>
  <c r="AA27" i="2" s="1"/>
  <c r="AJ27" i="2"/>
  <c r="AE27" i="2"/>
  <c r="AK27" i="2" a="1"/>
  <c r="AK27" i="2" s="1"/>
  <c r="AF27" i="2" a="1"/>
  <c r="AF27" i="2" s="1"/>
  <c r="Z27" i="2"/>
  <c r="W23" i="2"/>
  <c r="X23" i="2" s="1" a="1"/>
  <c r="X23" i="2" s="1"/>
  <c r="AK23" i="2" a="1"/>
  <c r="AK23" i="2" s="1"/>
  <c r="AE23" i="2"/>
  <c r="AF23" i="2" a="1"/>
  <c r="AF23" i="2" s="1"/>
  <c r="Z23" i="2"/>
  <c r="AJ23" i="2"/>
  <c r="AA23" i="2" a="1"/>
  <c r="AA23" i="2" s="1"/>
  <c r="V21" i="2" a="1"/>
  <c r="V21" i="2" s="1"/>
  <c r="AE21" i="2"/>
  <c r="AJ21" i="2"/>
  <c r="AF21" i="2" a="1"/>
  <c r="AF21" i="2" s="1"/>
  <c r="AK21" i="2" a="1"/>
  <c r="AK21" i="2" s="1"/>
  <c r="AA21" i="2" a="1"/>
  <c r="AA21" i="2" s="1"/>
  <c r="Z21" i="2"/>
  <c r="W18" i="2"/>
  <c r="X18" i="2" s="1" a="1"/>
  <c r="X18" i="2" s="1"/>
  <c r="AL15" i="2"/>
  <c r="AM15" i="2" s="1" a="1"/>
  <c r="AM15" i="2" s="1"/>
  <c r="AJ15" i="2"/>
  <c r="Z15" i="2"/>
  <c r="AK15" i="2" a="1"/>
  <c r="AK15" i="2" s="1"/>
  <c r="AA15" i="2" a="1"/>
  <c r="AA15" i="2" s="1"/>
  <c r="AE15" i="2"/>
  <c r="AF15" i="2" a="1"/>
  <c r="AF15" i="2" s="1"/>
  <c r="AL11" i="2"/>
  <c r="AM11" i="2" s="1" a="1"/>
  <c r="AM11" i="2" s="1"/>
  <c r="Z11" i="2"/>
  <c r="AE11" i="2"/>
  <c r="AA11" i="2" a="1"/>
  <c r="AA11" i="2" s="1"/>
  <c r="AF11" i="2" a="1"/>
  <c r="AF11" i="2" s="1"/>
  <c r="AJ11" i="2"/>
  <c r="AK11" i="2" a="1"/>
  <c r="AK11" i="2" s="1"/>
  <c r="AG4" i="2"/>
  <c r="AH4" i="2" s="1" a="1"/>
  <c r="AH4" i="2" s="1"/>
  <c r="AK4" i="2" a="1"/>
  <c r="AK4" i="2" s="1"/>
  <c r="Z4" i="2"/>
  <c r="AE4" i="2"/>
  <c r="AJ4" i="2"/>
  <c r="AA4" i="2" a="1"/>
  <c r="AA4" i="2" s="1"/>
  <c r="AF4" i="2" a="1"/>
  <c r="AF4" i="2" s="1"/>
  <c r="AL30" i="2"/>
  <c r="AM30" i="2" s="1" a="1"/>
  <c r="AM30" i="2" s="1"/>
  <c r="AJ30" i="2"/>
  <c r="AE30" i="2"/>
  <c r="AA30" i="2" a="1"/>
  <c r="AA30" i="2" s="1"/>
  <c r="AK30" i="2" a="1"/>
  <c r="AK30" i="2" s="1"/>
  <c r="AF30" i="2" a="1"/>
  <c r="AF30" i="2" s="1"/>
  <c r="Z30" i="2"/>
  <c r="U11" i="2"/>
  <c r="N24" i="2"/>
  <c r="N31" i="2"/>
  <c r="N23" i="2"/>
  <c r="N30" i="2"/>
  <c r="N29" i="2"/>
  <c r="N21" i="2"/>
  <c r="N32" i="2"/>
  <c r="N27" i="2"/>
  <c r="N26" i="2"/>
  <c r="N22" i="2"/>
  <c r="N33" i="2"/>
  <c r="N25" i="2"/>
  <c r="AL32" i="2"/>
  <c r="AM32" i="2" s="1" a="1"/>
  <c r="AM32" i="2" s="1"/>
  <c r="U15" i="2"/>
  <c r="V26" i="2" a="1"/>
  <c r="V26" i="2" s="1"/>
  <c r="V15" i="2" a="1"/>
  <c r="V15" i="2" s="1"/>
  <c r="V9" i="2" a="1"/>
  <c r="V9" i="2" s="1"/>
  <c r="AL19" i="2"/>
  <c r="AM19" i="2" s="1" a="1"/>
  <c r="AM19" i="2" s="1"/>
  <c r="W13" i="2"/>
  <c r="X13" i="2" s="1" a="1"/>
  <c r="X13" i="2" s="1"/>
  <c r="AB9" i="2"/>
  <c r="AC9" i="2" s="1" a="1"/>
  <c r="AC9" i="2" s="1"/>
  <c r="AL33" i="2"/>
  <c r="AM33" i="2" s="1" a="1"/>
  <c r="AM33" i="2" s="1"/>
  <c r="AB32" i="2"/>
  <c r="AC32" i="2" s="1" a="1"/>
  <c r="AC32" i="2" s="1"/>
  <c r="U28" i="2"/>
  <c r="U14" i="2"/>
  <c r="U6" i="2"/>
  <c r="V32" i="2" a="1"/>
  <c r="V32" i="2" s="1"/>
  <c r="V25" i="2" a="1"/>
  <c r="V25" i="2" s="1"/>
  <c r="V20" i="2" a="1"/>
  <c r="V20" i="2" s="1"/>
  <c r="V8" i="2" a="1"/>
  <c r="V8" i="2" s="1"/>
  <c r="AB26" i="2"/>
  <c r="AC26" i="2" s="1" a="1"/>
  <c r="AC26" i="2" s="1"/>
  <c r="AB22" i="2"/>
  <c r="AC22" i="2" s="1" a="1"/>
  <c r="AC22" i="2" s="1"/>
  <c r="AG31" i="2"/>
  <c r="AH31" i="2" s="1" a="1"/>
  <c r="AH31" i="2" s="1"/>
  <c r="U20" i="2"/>
  <c r="U13" i="2"/>
  <c r="V31" i="2" a="1"/>
  <c r="V31" i="2" s="1"/>
  <c r="V14" i="2" a="1"/>
  <c r="V14" i="2" s="1"/>
  <c r="AG26" i="2"/>
  <c r="AH26" i="2" s="1" a="1"/>
  <c r="AH26" i="2" s="1"/>
  <c r="W26" i="2"/>
  <c r="X26" i="2" s="1" a="1"/>
  <c r="X26" i="2" s="1"/>
  <c r="AG15" i="2"/>
  <c r="AH15" i="2" s="1" a="1"/>
  <c r="AH15" i="2" s="1"/>
  <c r="W15" i="2"/>
  <c r="X15" i="2" s="1" a="1"/>
  <c r="X15" i="2" s="1"/>
  <c r="AB12" i="2"/>
  <c r="W31" i="2"/>
  <c r="X31" i="2" s="1" a="1"/>
  <c r="X31" i="2" s="1"/>
  <c r="U2" i="2"/>
  <c r="U26" i="2"/>
  <c r="U19" i="2"/>
  <c r="U12" i="2"/>
  <c r="U4" i="2"/>
  <c r="V30" i="2" a="1"/>
  <c r="V30" i="2" s="1"/>
  <c r="V24" i="2" a="1"/>
  <c r="V24" i="2" s="1"/>
  <c r="V13" i="2" a="1"/>
  <c r="V13" i="2" s="1"/>
  <c r="U25" i="2"/>
  <c r="AG32" i="2"/>
  <c r="AH32" i="2" s="1" a="1"/>
  <c r="AH32" i="2" s="1"/>
  <c r="AB31" i="2"/>
  <c r="AC31" i="2" s="1" a="1"/>
  <c r="AC31" i="2" s="1"/>
  <c r="U32" i="2"/>
  <c r="V22" i="2" a="1"/>
  <c r="V22" i="2" s="1"/>
  <c r="AL23" i="2"/>
  <c r="AM23" i="2" s="1" a="1"/>
  <c r="AM23" i="2" s="1"/>
  <c r="AB23" i="2"/>
  <c r="AC23" i="2" s="1" a="1"/>
  <c r="AC23" i="2" s="1"/>
  <c r="AG9" i="2"/>
  <c r="AH9" i="2" s="1" a="1"/>
  <c r="AH9" i="2" s="1"/>
  <c r="W33" i="2"/>
  <c r="X33" i="2" s="1" a="1"/>
  <c r="X33" i="2" s="1"/>
  <c r="AL31" i="2"/>
  <c r="AM31" i="2" s="1" a="1"/>
  <c r="AM31" i="2" s="1"/>
  <c r="W29" i="2"/>
  <c r="X29" i="2" s="1" a="1"/>
  <c r="X29" i="2" s="1"/>
  <c r="U23" i="2"/>
  <c r="U17" i="2"/>
  <c r="U9" i="2"/>
  <c r="V2" i="2" a="1"/>
  <c r="V2" i="2" s="1"/>
  <c r="V28" i="2" a="1"/>
  <c r="V28" i="2" s="1"/>
  <c r="V17" i="2" a="1"/>
  <c r="V17" i="2" s="1"/>
  <c r="V4" i="2" a="1"/>
  <c r="V4" i="2" s="1"/>
  <c r="AL25" i="2"/>
  <c r="AM25" i="2" s="1" a="1"/>
  <c r="AM25" i="2" s="1"/>
  <c r="U10" i="2"/>
  <c r="W20" i="2"/>
  <c r="X20" i="2" s="1" a="1"/>
  <c r="X20" i="2" s="1"/>
  <c r="AB15" i="2"/>
  <c r="AC15" i="2" s="1" a="1"/>
  <c r="AC15" i="2" s="1"/>
  <c r="AL3" i="2"/>
  <c r="AM3" i="2" s="1" a="1"/>
  <c r="AM3" i="2" s="1"/>
  <c r="W3" i="2"/>
  <c r="X3" i="2" s="1" a="1"/>
  <c r="X3" i="2" s="1"/>
  <c r="U30" i="2"/>
  <c r="U16" i="2"/>
  <c r="V27" i="2" a="1"/>
  <c r="V27" i="2" s="1"/>
  <c r="V10" i="2" a="1"/>
  <c r="V10" i="2" s="1"/>
  <c r="V3" i="2" a="1"/>
  <c r="V3" i="2" s="1"/>
  <c r="AL10" i="2"/>
  <c r="AM10" i="2" s="1" a="1"/>
  <c r="AM10" i="2" s="1"/>
  <c r="AB10" i="2"/>
  <c r="AC10" i="2" s="1" a="1"/>
  <c r="AC10" i="2" s="1"/>
  <c r="AG10" i="2"/>
  <c r="AH10" i="2" s="1" a="1"/>
  <c r="AH10" i="2" s="1"/>
  <c r="AB7" i="2"/>
  <c r="AC7" i="2" s="1" a="1"/>
  <c r="AC7" i="2" s="1"/>
  <c r="AK7" i="13" a="1"/>
  <c r="AK7" i="13" s="1"/>
  <c r="AG7" i="2"/>
  <c r="AH7" i="2" s="1" a="1"/>
  <c r="AH7" i="2" s="1"/>
  <c r="W7" i="2"/>
  <c r="X7" i="2" s="1" a="1"/>
  <c r="X7" i="2" s="1"/>
  <c r="AD7" i="13"/>
  <c r="AL6" i="2"/>
  <c r="AM6" i="2" s="1" a="1"/>
  <c r="AM6" i="2" s="1"/>
  <c r="W5" i="2"/>
  <c r="X5" i="2" s="1" a="1"/>
  <c r="X5" i="2" s="1"/>
  <c r="AG5" i="2"/>
  <c r="AH5" i="2" s="1" a="1"/>
  <c r="AH5" i="2" s="1"/>
  <c r="AD4" i="13"/>
  <c r="AB4" i="2"/>
  <c r="AC4" i="2" s="1" a="1"/>
  <c r="AC4" i="2" s="1"/>
  <c r="AL4" i="2"/>
  <c r="AM4" i="2" s="1" a="1"/>
  <c r="AM4" i="2" s="1"/>
  <c r="AK3" i="13" a="1"/>
  <c r="AK3" i="13" s="1"/>
  <c r="AH29" i="2" a="1"/>
  <c r="AH29" i="2" s="1"/>
  <c r="AB29" i="2"/>
  <c r="X27" i="2" a="1"/>
  <c r="X27" i="2" s="1"/>
  <c r="W30" i="2"/>
  <c r="AB27" i="2"/>
  <c r="AB30" i="2"/>
  <c r="AG30" i="2"/>
  <c r="W28" i="2"/>
  <c r="AB28" i="2"/>
  <c r="AG25" i="2"/>
  <c r="AB25" i="2"/>
  <c r="AL22" i="2"/>
  <c r="AG22" i="2"/>
  <c r="W22" i="2"/>
  <c r="AL16" i="2"/>
  <c r="AB16" i="2"/>
  <c r="AG16" i="2"/>
  <c r="W16" i="2"/>
  <c r="AL8" i="2"/>
  <c r="AB8" i="2"/>
  <c r="AG8" i="2"/>
  <c r="W8" i="2"/>
  <c r="X24" i="2" a="1"/>
  <c r="X24" i="2" s="1"/>
  <c r="AM14" i="2" a="1"/>
  <c r="AM14" i="2" s="1"/>
  <c r="AB20" i="2"/>
  <c r="AB13" i="2"/>
  <c r="AB5" i="2"/>
  <c r="W14" i="2"/>
  <c r="AB11" i="2"/>
  <c r="W6" i="2"/>
  <c r="AB3" i="2"/>
  <c r="AB14" i="2"/>
  <c r="AG11" i="2"/>
  <c r="AB6" i="2"/>
  <c r="W19" i="2"/>
  <c r="W12" i="2"/>
  <c r="W4" i="2"/>
  <c r="AK9" i="13" a="1"/>
  <c r="AK9" i="13" s="1"/>
  <c r="AK32" i="13" a="1"/>
  <c r="AK32" i="13" s="1"/>
  <c r="AK27" i="13" a="1"/>
  <c r="AK27" i="13" s="1"/>
  <c r="AK25" i="13" a="1"/>
  <c r="AK25" i="13" s="1"/>
  <c r="AJ19" i="13"/>
  <c r="AK16" i="13" a="1"/>
  <c r="AK16" i="13" s="1"/>
  <c r="AK14" i="13" a="1"/>
  <c r="AK14" i="13" s="1"/>
  <c r="AJ9" i="13"/>
  <c r="AJ7" i="13"/>
  <c r="AK5" i="13" a="1"/>
  <c r="AK5" i="13" s="1"/>
  <c r="AJ3" i="13"/>
  <c r="AD32" i="13"/>
  <c r="AD28" i="13"/>
  <c r="AD24" i="13"/>
  <c r="AD18" i="13"/>
  <c r="AD14" i="13"/>
  <c r="AD10" i="13"/>
  <c r="AD6" i="13"/>
  <c r="AJ32" i="13"/>
  <c r="AK30" i="13" a="1"/>
  <c r="AK30" i="13" s="1"/>
  <c r="AL28" i="13"/>
  <c r="AM28" i="13" s="1" a="1"/>
  <c r="AM28" i="13" s="1"/>
  <c r="AJ27" i="13"/>
  <c r="AJ25" i="13"/>
  <c r="AK23" i="13" a="1"/>
  <c r="AK23" i="13" s="1"/>
  <c r="AJ16" i="13"/>
  <c r="AJ14" i="13"/>
  <c r="AK12" i="13" a="1"/>
  <c r="AK12" i="13" s="1"/>
  <c r="AJ5" i="13"/>
  <c r="AL33" i="13"/>
  <c r="AM33" i="13" s="1" a="1"/>
  <c r="AM33" i="13" s="1"/>
  <c r="AJ30" i="13"/>
  <c r="AL26" i="13"/>
  <c r="AM26" i="13" s="1" a="1"/>
  <c r="AM26" i="13" s="1"/>
  <c r="AJ23" i="13"/>
  <c r="AK21" i="13" a="1"/>
  <c r="AK21" i="13" s="1"/>
  <c r="AJ12" i="13"/>
  <c r="AJ22" i="13"/>
  <c r="AK19" i="13" a="1"/>
  <c r="AK19" i="13" s="1"/>
  <c r="AD31" i="13"/>
  <c r="AD27" i="13"/>
  <c r="AD23" i="13"/>
  <c r="AD20" i="13"/>
  <c r="AD13" i="13"/>
  <c r="AD9" i="13"/>
  <c r="AD5" i="13"/>
  <c r="AL31" i="13"/>
  <c r="AM31" i="13" s="1" a="1"/>
  <c r="AM31" i="13" s="1"/>
  <c r="AK28" i="13" a="1"/>
  <c r="AK28" i="13" s="1"/>
  <c r="AL24" i="13"/>
  <c r="AM24" i="13" s="1" a="1"/>
  <c r="AM24" i="13" s="1"/>
  <c r="AJ21" i="13"/>
  <c r="AK10" i="13" a="1"/>
  <c r="AK10" i="13" s="1"/>
  <c r="AK8" i="13" a="1"/>
  <c r="AK8" i="13" s="1"/>
  <c r="AK6" i="13" a="1"/>
  <c r="AK6" i="13" s="1"/>
  <c r="AK4" i="13" a="1"/>
  <c r="AK4" i="13" s="1"/>
  <c r="AK22" i="13" a="1"/>
  <c r="AK22" i="13" s="1"/>
  <c r="AL30" i="13"/>
  <c r="AM30" i="13" s="1" a="1"/>
  <c r="AM30" i="13" s="1"/>
  <c r="AK33" i="13" a="1"/>
  <c r="AK33" i="13" s="1"/>
  <c r="AL29" i="13"/>
  <c r="AM29" i="13" s="1" a="1"/>
  <c r="AM29" i="13" s="1"/>
  <c r="AJ28" i="13"/>
  <c r="AK26" i="13" a="1"/>
  <c r="AK26" i="13" s="1"/>
  <c r="AK24" i="13" a="1"/>
  <c r="AK24" i="13" s="1"/>
  <c r="AK20" i="13" a="1"/>
  <c r="AK20" i="13" s="1"/>
  <c r="AK17" i="13" a="1"/>
  <c r="AK17" i="13" s="1"/>
  <c r="AK15" i="13" a="1"/>
  <c r="AK15" i="13" s="1"/>
  <c r="AJ10" i="13"/>
  <c r="AJ8" i="13"/>
  <c r="AJ6" i="13"/>
  <c r="AJ4" i="13"/>
  <c r="AB2" i="2"/>
  <c r="W2" i="2"/>
  <c r="AL2" i="2"/>
  <c r="AM2" i="2" s="1" a="1"/>
  <c r="AM2" i="2" s="1"/>
  <c r="AB41" i="2"/>
  <c r="AC41" i="2"/>
  <c r="AA41" i="2"/>
  <c r="AD41" i="2"/>
  <c r="K6" i="12"/>
  <c r="J6" i="12"/>
  <c r="L6" i="12"/>
  <c r="M6" i="12"/>
  <c r="AF33" i="13"/>
  <c r="AF32" i="13"/>
  <c r="AF31" i="13"/>
  <c r="AF30" i="13"/>
  <c r="AF29" i="13"/>
  <c r="AF28" i="13"/>
  <c r="AF27" i="13"/>
  <c r="AF26" i="13"/>
  <c r="AF25" i="13"/>
  <c r="AF24" i="13"/>
  <c r="AF23" i="13"/>
  <c r="G22" i="11"/>
  <c r="G17" i="11"/>
  <c r="G18" i="11"/>
  <c r="G19" i="11"/>
  <c r="T9" i="2" l="1"/>
  <c r="M9" i="2" s="1"/>
  <c r="N9" i="2" s="1"/>
  <c r="T11" i="2"/>
  <c r="M11" i="2" s="1"/>
  <c r="N11" i="2" s="1"/>
  <c r="AI25" i="13"/>
  <c r="AI9" i="2"/>
  <c r="AI24" i="2"/>
  <c r="AI28" i="2"/>
  <c r="AI24" i="13"/>
  <c r="AI31" i="13"/>
  <c r="AD18" i="2"/>
  <c r="AI33" i="13"/>
  <c r="AD20" i="2"/>
  <c r="AI27" i="13"/>
  <c r="AI23" i="13"/>
  <c r="AD24" i="2"/>
  <c r="Y32" i="2"/>
  <c r="T18" i="2"/>
  <c r="AI12" i="2"/>
  <c r="AI17" i="2"/>
  <c r="Y17" i="2"/>
  <c r="M17" i="2" s="1"/>
  <c r="N17" i="2" s="1"/>
  <c r="AI28" i="13"/>
  <c r="AI20" i="2"/>
  <c r="AD10" i="2"/>
  <c r="Y31" i="2"/>
  <c r="AD13" i="2"/>
  <c r="AI14" i="2"/>
  <c r="M14" i="2" s="1"/>
  <c r="N14" i="2" s="1"/>
  <c r="AI18" i="2"/>
  <c r="AI15" i="2"/>
  <c r="M15" i="2" s="1"/>
  <c r="N15" i="2" s="1"/>
  <c r="Y33" i="2"/>
  <c r="AD19" i="2"/>
  <c r="Y9" i="2"/>
  <c r="AD14" i="2"/>
  <c r="T7" i="2"/>
  <c r="T29" i="2"/>
  <c r="T17" i="2"/>
  <c r="AD33" i="2"/>
  <c r="AD23" i="2"/>
  <c r="AD4" i="2"/>
  <c r="M4" i="2" s="1"/>
  <c r="N4" i="2" s="1"/>
  <c r="AD31" i="2"/>
  <c r="AD3" i="2"/>
  <c r="AD12" i="2"/>
  <c r="AI26" i="2"/>
  <c r="Y21" i="2"/>
  <c r="AI23" i="2"/>
  <c r="Y24" i="2"/>
  <c r="AI5" i="2"/>
  <c r="T27" i="2"/>
  <c r="T23" i="2"/>
  <c r="T3" i="2"/>
  <c r="Y4" i="2"/>
  <c r="T21" i="2"/>
  <c r="AI21" i="2"/>
  <c r="AI27" i="2"/>
  <c r="T10" i="2"/>
  <c r="Y10" i="2"/>
  <c r="Y19" i="2"/>
  <c r="T24" i="2"/>
  <c r="AI30" i="2"/>
  <c r="AI33" i="2"/>
  <c r="Y23" i="2"/>
  <c r="AI4" i="2"/>
  <c r="AI25" i="2"/>
  <c r="AD27" i="2"/>
  <c r="T32" i="2"/>
  <c r="T26" i="2"/>
  <c r="AD17" i="2"/>
  <c r="AI7" i="2"/>
  <c r="Y18" i="2"/>
  <c r="M18" i="2" s="1"/>
  <c r="N18" i="2" s="1"/>
  <c r="AD28" i="2"/>
  <c r="AD7" i="2"/>
  <c r="M7" i="2" s="1"/>
  <c r="N7" i="2" s="1"/>
  <c r="AD26" i="2"/>
  <c r="Y22" i="2"/>
  <c r="T13" i="2"/>
  <c r="M13" i="2" s="1"/>
  <c r="N13" i="2" s="1"/>
  <c r="Y7" i="2"/>
  <c r="AI3" i="2"/>
  <c r="AI32" i="13"/>
  <c r="AI11" i="2"/>
  <c r="AI19" i="2"/>
  <c r="AD6" i="2"/>
  <c r="AD15" i="2"/>
  <c r="AD32" i="2"/>
  <c r="AD9" i="2"/>
  <c r="AD21" i="2"/>
  <c r="AD29" i="2"/>
  <c r="T33" i="2"/>
  <c r="T31" i="2"/>
  <c r="T20" i="2"/>
  <c r="AC12" i="2" a="1"/>
  <c r="AC12" i="2" s="1"/>
  <c r="Y12" i="2" s="1"/>
  <c r="AI29" i="2"/>
  <c r="AI31" i="2"/>
  <c r="Y15" i="2"/>
  <c r="AI32" i="2"/>
  <c r="AI6" i="2"/>
  <c r="AI13" i="2"/>
  <c r="T15" i="2"/>
  <c r="T25" i="2"/>
  <c r="Y26" i="2"/>
  <c r="AI10" i="2"/>
  <c r="M10" i="2" s="1"/>
  <c r="T5" i="2"/>
  <c r="AD5" i="2"/>
  <c r="M5" i="2" s="1"/>
  <c r="AC28" i="2" a="1"/>
  <c r="AC28" i="2" s="1"/>
  <c r="Y28" i="2" s="1"/>
  <c r="X30" i="2" a="1"/>
  <c r="X30" i="2" s="1"/>
  <c r="T30" i="2" s="1"/>
  <c r="X28" i="2" a="1"/>
  <c r="X28" i="2" s="1"/>
  <c r="T28" i="2" s="1"/>
  <c r="AC27" i="2" a="1"/>
  <c r="AC27" i="2" s="1"/>
  <c r="Y27" i="2" s="1"/>
  <c r="AH30" i="2" a="1"/>
  <c r="AH30" i="2" s="1"/>
  <c r="AD30" i="2" s="1"/>
  <c r="AC30" i="2" a="1"/>
  <c r="AC30" i="2" s="1"/>
  <c r="Y30" i="2" s="1"/>
  <c r="AC29" i="2" a="1"/>
  <c r="AC29" i="2" s="1"/>
  <c r="Y29" i="2" s="1"/>
  <c r="AC6" i="2" a="1"/>
  <c r="AC6" i="2" s="1"/>
  <c r="Y6" i="2" s="1"/>
  <c r="M6" i="2" s="1"/>
  <c r="X6" i="2" a="1"/>
  <c r="X6" i="2" s="1"/>
  <c r="T6" i="2" s="1"/>
  <c r="AH22" i="2" a="1"/>
  <c r="AH22" i="2" s="1"/>
  <c r="AD22" i="2" s="1"/>
  <c r="AC11" i="2" a="1"/>
  <c r="AC11" i="2" s="1"/>
  <c r="Y11" i="2" s="1"/>
  <c r="AM22" i="2" a="1"/>
  <c r="AM22" i="2" s="1"/>
  <c r="AI22" i="2" s="1"/>
  <c r="AC16" i="2" a="1"/>
  <c r="AC16" i="2" s="1"/>
  <c r="Y16" i="2" s="1"/>
  <c r="M16" i="2" s="1"/>
  <c r="N16" i="2" s="1"/>
  <c r="AC14" i="2" a="1"/>
  <c r="AC14" i="2" s="1"/>
  <c r="Y14" i="2" s="1"/>
  <c r="AC3" i="2" a="1"/>
  <c r="AC3" i="2" s="1"/>
  <c r="Y3" i="2" s="1"/>
  <c r="M3" i="2" s="1"/>
  <c r="N3" i="2" s="1"/>
  <c r="X4" i="2" a="1"/>
  <c r="X4" i="2" s="1"/>
  <c r="T4" i="2" s="1"/>
  <c r="AH11" i="2" a="1"/>
  <c r="AH11" i="2" s="1"/>
  <c r="AD11" i="2" s="1"/>
  <c r="AH8" i="2" a="1"/>
  <c r="AH8" i="2" s="1"/>
  <c r="AD8" i="2" s="1"/>
  <c r="X16" i="2" a="1"/>
  <c r="X16" i="2" s="1"/>
  <c r="T16" i="2" s="1"/>
  <c r="AC25" i="2" a="1"/>
  <c r="AC25" i="2" s="1"/>
  <c r="Y25" i="2" s="1"/>
  <c r="AC5" i="2" a="1"/>
  <c r="AC5" i="2" s="1"/>
  <c r="Y5" i="2" s="1"/>
  <c r="AM8" i="2" a="1"/>
  <c r="AM8" i="2" s="1"/>
  <c r="AI8" i="2" s="1"/>
  <c r="AM16" i="2" a="1"/>
  <c r="AM16" i="2" s="1"/>
  <c r="AI16" i="2" s="1"/>
  <c r="AC13" i="2" a="1"/>
  <c r="AC13" i="2" s="1"/>
  <c r="Y13" i="2" s="1"/>
  <c r="X22" i="2" a="1"/>
  <c r="X22" i="2" s="1"/>
  <c r="T22" i="2" s="1"/>
  <c r="X14" i="2" a="1"/>
  <c r="X14" i="2" s="1"/>
  <c r="T14" i="2" s="1"/>
  <c r="AC20" i="2" a="1"/>
  <c r="AC20" i="2" s="1"/>
  <c r="Y20" i="2" s="1"/>
  <c r="M20" i="2" s="1"/>
  <c r="N20" i="2" s="1"/>
  <c r="X8" i="2" a="1"/>
  <c r="X8" i="2" s="1"/>
  <c r="T8" i="2" s="1"/>
  <c r="X12" i="2" a="1"/>
  <c r="X12" i="2" s="1"/>
  <c r="T12" i="2" s="1"/>
  <c r="AC8" i="2" a="1"/>
  <c r="AC8" i="2" s="1"/>
  <c r="Y8" i="2" s="1"/>
  <c r="AH16" i="2" a="1"/>
  <c r="AH16" i="2" s="1"/>
  <c r="AD16" i="2" s="1"/>
  <c r="AH25" i="2" a="1"/>
  <c r="AH25" i="2" s="1"/>
  <c r="AD25" i="2" s="1"/>
  <c r="X19" i="2" a="1"/>
  <c r="X19" i="2" s="1"/>
  <c r="T19" i="2" s="1"/>
  <c r="AI30" i="13"/>
  <c r="AI29" i="13"/>
  <c r="AI26" i="13"/>
  <c r="AI2" i="2"/>
  <c r="AD2" i="2"/>
  <c r="AC2" i="2" a="1"/>
  <c r="AC2" i="2" s="1"/>
  <c r="Y2" i="2" s="1"/>
  <c r="M2" i="2" s="1"/>
  <c r="N2" i="2" s="1"/>
  <c r="X2" i="2" a="1"/>
  <c r="X2" i="2" s="1"/>
  <c r="T2" i="2" s="1"/>
  <c r="AG27" i="13" a="1"/>
  <c r="AG27" i="13" s="1"/>
  <c r="AC27" i="13" s="1"/>
  <c r="AG26" i="13" a="1"/>
  <c r="AG26" i="13" s="1"/>
  <c r="AC26" i="13" s="1"/>
  <c r="AG29" i="13" a="1"/>
  <c r="AG29" i="13" s="1"/>
  <c r="AC29" i="13" s="1"/>
  <c r="AG30" i="13" a="1"/>
  <c r="AG30" i="13" s="1"/>
  <c r="AC30" i="13" s="1"/>
  <c r="AG28" i="13" a="1"/>
  <c r="AG28" i="13" s="1"/>
  <c r="AC28" i="13" s="1"/>
  <c r="AG23" i="13" a="1"/>
  <c r="AG23" i="13" s="1"/>
  <c r="AC23" i="13" s="1"/>
  <c r="AG31" i="13" a="1"/>
  <c r="AG31" i="13" s="1"/>
  <c r="AC31" i="13" s="1"/>
  <c r="AG32" i="13" a="1"/>
  <c r="AG32" i="13" s="1"/>
  <c r="AC32" i="13" s="1"/>
  <c r="AG24" i="13" a="1"/>
  <c r="AG24" i="13" s="1"/>
  <c r="AC24" i="13" s="1"/>
  <c r="AG25" i="13" a="1"/>
  <c r="AG25" i="13" s="1"/>
  <c r="AC25" i="13" s="1"/>
  <c r="AG33" i="13" a="1"/>
  <c r="AG33" i="13" s="1"/>
  <c r="AC33" i="13" s="1"/>
  <c r="G5" i="11"/>
  <c r="G6" i="11"/>
  <c r="G7" i="11"/>
  <c r="G10" i="11"/>
  <c r="G11" i="11"/>
  <c r="G12" i="11"/>
  <c r="G13" i="11"/>
  <c r="G16" i="11"/>
  <c r="G4" i="11"/>
  <c r="M19" i="2" l="1"/>
  <c r="N19" i="2" s="1"/>
  <c r="M12" i="2"/>
  <c r="N12" i="2" s="1"/>
  <c r="N10" i="2"/>
  <c r="N5" i="2"/>
  <c r="N8" i="2"/>
  <c r="N6" i="2"/>
  <c r="AG42" i="13"/>
  <c r="AL21" i="13" s="1"/>
  <c r="AG49" i="13"/>
  <c r="AL11" i="13" s="1"/>
  <c r="AE49" i="13"/>
  <c r="AF11" i="13" s="1"/>
  <c r="AG48" i="13"/>
  <c r="AE48" i="13"/>
  <c r="AG47" i="13"/>
  <c r="AE47" i="13"/>
  <c r="AG46" i="13"/>
  <c r="AE46" i="13"/>
  <c r="AG45" i="13"/>
  <c r="AL14" i="13" s="1"/>
  <c r="AE45" i="13"/>
  <c r="AF14" i="13" s="1"/>
  <c r="AG44" i="13"/>
  <c r="AL5" i="13" s="1"/>
  <c r="AE44" i="13"/>
  <c r="AF5" i="13" s="1"/>
  <c r="AG43" i="13"/>
  <c r="AE43" i="13"/>
  <c r="AE42" i="13"/>
  <c r="AF21" i="13" s="1"/>
  <c r="AG41" i="13"/>
  <c r="AE41" i="13"/>
  <c r="AG40" i="13"/>
  <c r="AE40" i="13"/>
  <c r="AG39" i="13"/>
  <c r="AL22" i="13" s="1"/>
  <c r="AE39" i="13"/>
  <c r="AF22" i="13" s="1"/>
  <c r="G14" i="8"/>
  <c r="G13" i="8"/>
  <c r="G12" i="8"/>
  <c r="G11" i="8"/>
  <c r="G10" i="8"/>
  <c r="G9" i="8"/>
  <c r="M8" i="8" s="1"/>
  <c r="M9" i="8" s="1" a="1"/>
  <c r="M9" i="8" s="1"/>
  <c r="G8" i="8"/>
  <c r="G7" i="8"/>
  <c r="G6" i="8"/>
  <c r="G5" i="8"/>
  <c r="G4" i="8"/>
  <c r="E14" i="8"/>
  <c r="E13" i="8"/>
  <c r="E12" i="8"/>
  <c r="E11" i="8"/>
  <c r="E10" i="8"/>
  <c r="E9" i="8"/>
  <c r="K8" i="8" s="1"/>
  <c r="K9" i="8" s="1" a="1"/>
  <c r="K9" i="8" s="1"/>
  <c r="E8" i="8"/>
  <c r="E7" i="8"/>
  <c r="E6" i="8"/>
  <c r="E5" i="8"/>
  <c r="E4" i="8"/>
  <c r="O2" i="13"/>
  <c r="O3" i="13"/>
  <c r="N3" i="13"/>
  <c r="N4" i="13"/>
  <c r="N5" i="13"/>
  <c r="N6" i="13"/>
  <c r="N9" i="13"/>
  <c r="N10" i="13"/>
  <c r="N11" i="13"/>
  <c r="N12" i="13"/>
  <c r="N13" i="13"/>
  <c r="N14" i="13"/>
  <c r="N15" i="13"/>
  <c r="N16" i="13"/>
  <c r="N17" i="13"/>
  <c r="N18" i="13"/>
  <c r="N19" i="13"/>
  <c r="N20" i="13"/>
  <c r="N21" i="13"/>
  <c r="N22" i="13"/>
  <c r="N23" i="13"/>
  <c r="N24" i="13"/>
  <c r="N25" i="13"/>
  <c r="N26" i="13"/>
  <c r="N27" i="13"/>
  <c r="N28" i="13"/>
  <c r="N29" i="13"/>
  <c r="N30" i="13"/>
  <c r="N31" i="13"/>
  <c r="N32" i="13"/>
  <c r="N33" i="13"/>
  <c r="N2" i="13"/>
  <c r="H3" i="13"/>
  <c r="H4" i="13"/>
  <c r="H5" i="13"/>
  <c r="H6" i="13"/>
  <c r="H7" i="13"/>
  <c r="H8" i="13"/>
  <c r="H9" i="13"/>
  <c r="H10" i="13"/>
  <c r="H11" i="13"/>
  <c r="H12" i="13"/>
  <c r="H13" i="13"/>
  <c r="H14" i="13"/>
  <c r="H15" i="13"/>
  <c r="H16" i="13"/>
  <c r="H17" i="13"/>
  <c r="H18" i="13"/>
  <c r="H19" i="13"/>
  <c r="H20" i="13"/>
  <c r="H21" i="13"/>
  <c r="H22" i="13"/>
  <c r="H23" i="13"/>
  <c r="H24" i="13"/>
  <c r="H25" i="13"/>
  <c r="H26" i="13"/>
  <c r="H27" i="13"/>
  <c r="H28" i="13"/>
  <c r="H29" i="13"/>
  <c r="H30" i="13"/>
  <c r="H31" i="13"/>
  <c r="H32" i="13"/>
  <c r="H33" i="13"/>
  <c r="H2" i="13"/>
  <c r="O3" i="2"/>
  <c r="P3" i="2" s="1"/>
  <c r="O4" i="2"/>
  <c r="O5" i="2"/>
  <c r="O6" i="2"/>
  <c r="O7" i="2"/>
  <c r="O8" i="2"/>
  <c r="O9" i="2"/>
  <c r="O10" i="2"/>
  <c r="O11" i="2"/>
  <c r="O13" i="2"/>
  <c r="O14" i="2"/>
  <c r="O15" i="2"/>
  <c r="O16" i="2"/>
  <c r="O17" i="2"/>
  <c r="O18" i="2"/>
  <c r="O19" i="2"/>
  <c r="O20" i="2"/>
  <c r="O21" i="2"/>
  <c r="O22" i="2"/>
  <c r="O23" i="2"/>
  <c r="O24" i="2"/>
  <c r="O25" i="2"/>
  <c r="O26" i="2"/>
  <c r="O27" i="2"/>
  <c r="O28" i="2"/>
  <c r="O29" i="2"/>
  <c r="O30" i="2"/>
  <c r="O31" i="2"/>
  <c r="O32" i="2"/>
  <c r="O33" i="2"/>
  <c r="O2" i="2"/>
  <c r="H3" i="2"/>
  <c r="J3" i="2" s="1"/>
  <c r="K3" i="2" s="1"/>
  <c r="H4" i="2"/>
  <c r="J4" i="2" s="1"/>
  <c r="K4" i="2" s="1"/>
  <c r="H5" i="2"/>
  <c r="J5" i="2" s="1"/>
  <c r="K5" i="2" s="1"/>
  <c r="H6" i="2"/>
  <c r="J6" i="2" s="1"/>
  <c r="K6" i="2" s="1"/>
  <c r="H7" i="2"/>
  <c r="J7" i="2" s="1"/>
  <c r="K7" i="2" s="1"/>
  <c r="H8" i="2"/>
  <c r="J8" i="2" s="1"/>
  <c r="K8" i="2" s="1"/>
  <c r="H9" i="2"/>
  <c r="J9" i="2" s="1"/>
  <c r="K9" i="2" s="1"/>
  <c r="H10" i="2"/>
  <c r="J10" i="2" s="1"/>
  <c r="K10" i="2" s="1"/>
  <c r="H11" i="2"/>
  <c r="J11" i="2" s="1"/>
  <c r="K11" i="2" s="1"/>
  <c r="H12" i="2"/>
  <c r="H13" i="2"/>
  <c r="J13" i="2" s="1"/>
  <c r="K13" i="2" s="1"/>
  <c r="H14" i="2"/>
  <c r="J14" i="2" s="1"/>
  <c r="K14" i="2" s="1"/>
  <c r="H15" i="2"/>
  <c r="J15" i="2" s="1"/>
  <c r="K15" i="2" s="1"/>
  <c r="H16" i="2"/>
  <c r="J16" i="2" s="1"/>
  <c r="K16" i="2" s="1"/>
  <c r="H17" i="2"/>
  <c r="J17" i="2" s="1"/>
  <c r="K17" i="2" s="1"/>
  <c r="H18" i="2"/>
  <c r="H19" i="2"/>
  <c r="H20" i="2"/>
  <c r="H21" i="2"/>
  <c r="J21" i="2" s="1"/>
  <c r="K21" i="2" s="1"/>
  <c r="H22" i="2"/>
  <c r="J22" i="2" s="1"/>
  <c r="K22" i="2" s="1"/>
  <c r="H23" i="2"/>
  <c r="H24" i="2"/>
  <c r="H25" i="2"/>
  <c r="H26" i="2"/>
  <c r="H27" i="2"/>
  <c r="H28" i="2"/>
  <c r="H29" i="2"/>
  <c r="H30" i="2"/>
  <c r="H31" i="2"/>
  <c r="H32" i="2"/>
  <c r="H33" i="2"/>
  <c r="H2" i="2"/>
  <c r="J2" i="2" s="1"/>
  <c r="K2" i="2" s="1"/>
  <c r="J12" i="2"/>
  <c r="K12" i="2" s="1"/>
  <c r="J18" i="2"/>
  <c r="K18" i="2" s="1"/>
  <c r="J19" i="2"/>
  <c r="K19" i="2" s="1"/>
  <c r="J20" i="2"/>
  <c r="K20" i="2" s="1"/>
  <c r="J23" i="2"/>
  <c r="K23" i="2" s="1"/>
  <c r="J27" i="2"/>
  <c r="K27" i="2" s="1"/>
  <c r="J28" i="2"/>
  <c r="K28" i="2" s="1"/>
  <c r="J29" i="2"/>
  <c r="K29" i="2" s="1"/>
  <c r="J30" i="2"/>
  <c r="K30" i="2" s="1"/>
  <c r="J31" i="2"/>
  <c r="K31" i="2" s="1"/>
  <c r="J32" i="2"/>
  <c r="K32" i="2" s="1"/>
  <c r="J24" i="2"/>
  <c r="K24" i="2" s="1"/>
  <c r="J25" i="2"/>
  <c r="K25" i="2" s="1"/>
  <c r="J26" i="2"/>
  <c r="K26" i="2" s="1"/>
  <c r="J33" i="2"/>
  <c r="K33" i="2" s="1"/>
  <c r="O33" i="13"/>
  <c r="C33" i="13"/>
  <c r="B33" i="13"/>
  <c r="A33" i="13"/>
  <c r="S33" i="13" s="1"/>
  <c r="T33" i="13" s="1"/>
  <c r="O32" i="13"/>
  <c r="C32" i="13"/>
  <c r="B32" i="13"/>
  <c r="A32" i="13"/>
  <c r="S32" i="13" s="1"/>
  <c r="U32" i="13" s="1"/>
  <c r="O31" i="13"/>
  <c r="C31" i="13"/>
  <c r="B31" i="13"/>
  <c r="A31" i="13"/>
  <c r="S31" i="13" s="1"/>
  <c r="T31" i="13" s="1"/>
  <c r="O30" i="13"/>
  <c r="C30" i="13"/>
  <c r="B30" i="13"/>
  <c r="A30" i="13"/>
  <c r="S30" i="13" s="1"/>
  <c r="U30" i="13" s="1"/>
  <c r="O29" i="13"/>
  <c r="C29" i="13"/>
  <c r="B29" i="13"/>
  <c r="A29" i="13"/>
  <c r="S29" i="13" s="1"/>
  <c r="T29" i="13" s="1"/>
  <c r="O28" i="13"/>
  <c r="C28" i="13"/>
  <c r="B28" i="13"/>
  <c r="A28" i="13"/>
  <c r="S28" i="13" s="1"/>
  <c r="U28" i="13" s="1"/>
  <c r="O27" i="13"/>
  <c r="C27" i="13"/>
  <c r="B27" i="13"/>
  <c r="A27" i="13"/>
  <c r="S27" i="13" s="1"/>
  <c r="T27" i="13" s="1"/>
  <c r="O26" i="13"/>
  <c r="C26" i="13"/>
  <c r="B26" i="13"/>
  <c r="A26" i="13"/>
  <c r="S26" i="13" s="1"/>
  <c r="U26" i="13" s="1"/>
  <c r="O25" i="13"/>
  <c r="C25" i="13"/>
  <c r="B25" i="13"/>
  <c r="A25" i="13"/>
  <c r="S25" i="13" s="1"/>
  <c r="T25" i="13" s="1"/>
  <c r="O24" i="13"/>
  <c r="C24" i="13"/>
  <c r="B24" i="13"/>
  <c r="A24" i="13"/>
  <c r="S24" i="13" s="1"/>
  <c r="T24" i="13" s="1"/>
  <c r="O23" i="13"/>
  <c r="C23" i="13"/>
  <c r="B23" i="13"/>
  <c r="A23" i="13"/>
  <c r="S23" i="13" s="1"/>
  <c r="T23" i="13" s="1"/>
  <c r="O22" i="13"/>
  <c r="C22" i="13"/>
  <c r="B22" i="13"/>
  <c r="A22" i="13"/>
  <c r="O21" i="13"/>
  <c r="C21" i="13"/>
  <c r="B21" i="13"/>
  <c r="A21" i="13"/>
  <c r="S21" i="13" s="1"/>
  <c r="T21" i="13" s="1"/>
  <c r="O20" i="13"/>
  <c r="C20" i="13"/>
  <c r="B20" i="13"/>
  <c r="A20" i="13"/>
  <c r="O19" i="13"/>
  <c r="C19" i="13"/>
  <c r="B19" i="13"/>
  <c r="A19" i="13"/>
  <c r="O18" i="13"/>
  <c r="C18" i="13"/>
  <c r="B18" i="13"/>
  <c r="A18" i="13"/>
  <c r="O17" i="13"/>
  <c r="C17" i="13"/>
  <c r="B17" i="13"/>
  <c r="A17" i="13"/>
  <c r="O16" i="13"/>
  <c r="C16" i="13"/>
  <c r="B16" i="13"/>
  <c r="A16" i="13"/>
  <c r="O15" i="13"/>
  <c r="C15" i="13"/>
  <c r="B15" i="13"/>
  <c r="A15" i="13"/>
  <c r="O14" i="13"/>
  <c r="C14" i="13"/>
  <c r="B14" i="13"/>
  <c r="A14" i="13"/>
  <c r="O13" i="13"/>
  <c r="C13" i="13"/>
  <c r="B13" i="13"/>
  <c r="A13" i="13"/>
  <c r="O12" i="13"/>
  <c r="C12" i="13"/>
  <c r="B12" i="13"/>
  <c r="A12" i="13"/>
  <c r="O11" i="13"/>
  <c r="C11" i="13"/>
  <c r="B11" i="13"/>
  <c r="A11" i="13"/>
  <c r="S11" i="13" s="1"/>
  <c r="T11" i="13" s="1"/>
  <c r="O10" i="13"/>
  <c r="C10" i="13"/>
  <c r="B10" i="13"/>
  <c r="A10" i="13"/>
  <c r="O9" i="13"/>
  <c r="C9" i="13"/>
  <c r="B9" i="13"/>
  <c r="A9" i="13"/>
  <c r="O8" i="13"/>
  <c r="Q8" i="13" s="1"/>
  <c r="C8" i="13"/>
  <c r="B8" i="13"/>
  <c r="A8" i="13"/>
  <c r="S8" i="13" s="1"/>
  <c r="U8" i="13" s="1"/>
  <c r="O7" i="13"/>
  <c r="Q7" i="13" s="1"/>
  <c r="C7" i="13"/>
  <c r="B7" i="13"/>
  <c r="A7" i="13"/>
  <c r="S7" i="13" s="1"/>
  <c r="U7" i="13" s="1"/>
  <c r="O6" i="13"/>
  <c r="C6" i="13"/>
  <c r="B6" i="13"/>
  <c r="A6" i="13"/>
  <c r="O5" i="13"/>
  <c r="C5" i="13"/>
  <c r="B5" i="13"/>
  <c r="A5" i="13"/>
  <c r="O4" i="13"/>
  <c r="C4" i="13"/>
  <c r="B4" i="13"/>
  <c r="A4" i="13"/>
  <c r="B3" i="13"/>
  <c r="A3" i="13"/>
  <c r="S3" i="13" s="1"/>
  <c r="T3" i="13" s="1"/>
  <c r="C2" i="13"/>
  <c r="B2" i="13"/>
  <c r="A2" i="13"/>
  <c r="AG14" i="13" l="1" a="1"/>
  <c r="AG14" i="13" s="1"/>
  <c r="AC14" i="13" s="1"/>
  <c r="AG11" i="13" a="1"/>
  <c r="AG11" i="13" s="1"/>
  <c r="AC11" i="13" s="1"/>
  <c r="Q12" i="13"/>
  <c r="Q11" i="13"/>
  <c r="O12" i="2"/>
  <c r="AL18" i="13"/>
  <c r="AM18" i="13" s="1" a="1"/>
  <c r="AM18" i="13" s="1"/>
  <c r="AI18" i="13" s="1"/>
  <c r="AL20" i="13"/>
  <c r="AG21" i="13" a="1"/>
  <c r="AG21" i="13" s="1"/>
  <c r="AC21" i="13" s="1"/>
  <c r="Q26" i="13"/>
  <c r="AA26" i="13" s="1"/>
  <c r="AF18" i="13"/>
  <c r="AG18" i="13" s="1" a="1"/>
  <c r="AG18" i="13" s="1"/>
  <c r="AC18" i="13" s="1"/>
  <c r="AF20" i="13"/>
  <c r="AG20" i="13" s="1" a="1"/>
  <c r="AG20" i="13" s="1"/>
  <c r="AC20" i="13" s="1"/>
  <c r="S20" i="13" s="1"/>
  <c r="T20" i="13" s="1"/>
  <c r="AM21" i="13" a="1"/>
  <c r="AM21" i="13" s="1"/>
  <c r="AI21" i="13" s="1"/>
  <c r="AG22" i="13" a="1"/>
  <c r="AG22" i="13" s="1"/>
  <c r="AC22" i="13" s="1"/>
  <c r="AM22" i="13" a="1"/>
  <c r="AM22" i="13" s="1"/>
  <c r="AI22" i="13" s="1"/>
  <c r="S22" i="13" s="1"/>
  <c r="Q25" i="13"/>
  <c r="AF13" i="13"/>
  <c r="AG13" i="13" s="1" a="1"/>
  <c r="AG13" i="13" s="1"/>
  <c r="AC13" i="13" s="1"/>
  <c r="S13" i="13" s="1"/>
  <c r="AF12" i="13"/>
  <c r="AG12" i="13" s="1" a="1"/>
  <c r="AG12" i="13" s="1"/>
  <c r="AC12" i="13" s="1"/>
  <c r="AM14" i="13" a="1"/>
  <c r="AM14" i="13" s="1"/>
  <c r="AI14" i="13" s="1"/>
  <c r="S14" i="13" s="1"/>
  <c r="AM11" i="13" a="1"/>
  <c r="AM11" i="13" s="1"/>
  <c r="AI11" i="13" s="1"/>
  <c r="AL12" i="13"/>
  <c r="AL13" i="13"/>
  <c r="AL8" i="13"/>
  <c r="AM8" i="13" s="1" a="1"/>
  <c r="AM8" i="13" s="1"/>
  <c r="AI8" i="13" s="1"/>
  <c r="AL19" i="13"/>
  <c r="AF8" i="13"/>
  <c r="AG8" i="13" s="1" a="1"/>
  <c r="AG8" i="13" s="1"/>
  <c r="AC8" i="13" s="1"/>
  <c r="AF19" i="13"/>
  <c r="AG19" i="13" s="1" a="1"/>
  <c r="AG19" i="13" s="1"/>
  <c r="AC19" i="13" s="1"/>
  <c r="Q18" i="13"/>
  <c r="Q33" i="13"/>
  <c r="Q24" i="13"/>
  <c r="Q32" i="13"/>
  <c r="AA32" i="13" s="1"/>
  <c r="AF9" i="13"/>
  <c r="AG9" i="13" s="1" a="1"/>
  <c r="AG9" i="13" s="1"/>
  <c r="AC9" i="13" s="1"/>
  <c r="AF15" i="13"/>
  <c r="AG15" i="13" s="1" a="1"/>
  <c r="AG15" i="13" s="1"/>
  <c r="AC15" i="13" s="1"/>
  <c r="AF10" i="13"/>
  <c r="AG10" i="13" s="1" a="1"/>
  <c r="AG10" i="13" s="1"/>
  <c r="AC10" i="13" s="1"/>
  <c r="AF7" i="13"/>
  <c r="AG7" i="13" s="1" a="1"/>
  <c r="AG7" i="13" s="1"/>
  <c r="AC7" i="13" s="1"/>
  <c r="AF17" i="13"/>
  <c r="AG17" i="13" s="1" a="1"/>
  <c r="AG17" i="13" s="1"/>
  <c r="AC17" i="13" s="1"/>
  <c r="AF16" i="13"/>
  <c r="AG16" i="13" s="1" a="1"/>
  <c r="AG16" i="13" s="1"/>
  <c r="AC16" i="13" s="1"/>
  <c r="AL9" i="13"/>
  <c r="AM9" i="13" s="1" a="1"/>
  <c r="AM9" i="13" s="1"/>
  <c r="AI9" i="13" s="1"/>
  <c r="S9" i="13" s="1"/>
  <c r="AL15" i="13"/>
  <c r="AL10" i="13"/>
  <c r="AM10" i="13" s="1" a="1"/>
  <c r="AM10" i="13" s="1"/>
  <c r="AI10" i="13" s="1"/>
  <c r="AL7" i="13"/>
  <c r="AM7" i="13" s="1" a="1"/>
  <c r="AM7" i="13" s="1"/>
  <c r="AI7" i="13" s="1"/>
  <c r="AL17" i="13"/>
  <c r="AL16" i="13"/>
  <c r="Q19" i="13"/>
  <c r="T7" i="13"/>
  <c r="U29" i="13"/>
  <c r="Q3" i="13"/>
  <c r="Q29" i="13"/>
  <c r="U21" i="13"/>
  <c r="Q21" i="13"/>
  <c r="Q14" i="13"/>
  <c r="Q28" i="13"/>
  <c r="AA28" i="13" s="1"/>
  <c r="Q15" i="13"/>
  <c r="Q10" i="13"/>
  <c r="AA8" i="13"/>
  <c r="AA7" i="13"/>
  <c r="Q5" i="13"/>
  <c r="Q4" i="13"/>
  <c r="Q9" i="13"/>
  <c r="Q13" i="13"/>
  <c r="Q17" i="13"/>
  <c r="Q20" i="13"/>
  <c r="Q23" i="13"/>
  <c r="Q27" i="13"/>
  <c r="Q31" i="13"/>
  <c r="AG5" i="13" a="1"/>
  <c r="AG5" i="13" s="1"/>
  <c r="AC5" i="13" s="1"/>
  <c r="AM5" i="13" a="1"/>
  <c r="AM5" i="13" s="1"/>
  <c r="AI5" i="13" s="1"/>
  <c r="AF3" i="13"/>
  <c r="AG3" i="13" s="1" a="1"/>
  <c r="AG3" i="13" s="1"/>
  <c r="AC3" i="13" s="1"/>
  <c r="AF6" i="13"/>
  <c r="AG6" i="13" s="1" a="1"/>
  <c r="AG6" i="13" s="1"/>
  <c r="AC6" i="13" s="1"/>
  <c r="S6" i="13" s="1"/>
  <c r="AF4" i="13"/>
  <c r="AG4" i="13" s="1" a="1"/>
  <c r="AG4" i="13" s="1"/>
  <c r="AC4" i="13" s="1"/>
  <c r="Q6" i="13"/>
  <c r="Q16" i="13"/>
  <c r="Q22" i="13"/>
  <c r="Q30" i="13"/>
  <c r="AA30" i="13" s="1"/>
  <c r="AL6" i="13"/>
  <c r="AL4" i="13"/>
  <c r="AL3" i="13"/>
  <c r="R2" i="2"/>
  <c r="U27" i="13"/>
  <c r="AJ2" i="13"/>
  <c r="AD2" i="13"/>
  <c r="AF2" i="13"/>
  <c r="AG2" i="13" s="1" a="1"/>
  <c r="AG2" i="13" s="1"/>
  <c r="AL43" i="13"/>
  <c r="AL44" i="13" s="1" a="1"/>
  <c r="AL44" i="13" s="1"/>
  <c r="AL2" i="13"/>
  <c r="AM2" i="13" s="1" a="1"/>
  <c r="AM2" i="13" s="1"/>
  <c r="AN43" i="13"/>
  <c r="AN44" i="13" s="1" a="1"/>
  <c r="AN44" i="13" s="1"/>
  <c r="T26" i="13"/>
  <c r="T30" i="13"/>
  <c r="T32" i="13"/>
  <c r="T8" i="13"/>
  <c r="U24" i="13"/>
  <c r="T28" i="13"/>
  <c r="U31" i="13"/>
  <c r="U23" i="13"/>
  <c r="U3" i="13"/>
  <c r="U33" i="13"/>
  <c r="U25" i="13"/>
  <c r="U11" i="13"/>
  <c r="AA11" i="13" s="1"/>
  <c r="AE2" i="13" a="1"/>
  <c r="AE2" i="13" s="1"/>
  <c r="AL40" i="13"/>
  <c r="AK2" i="13" a="1"/>
  <c r="AK2" i="13" s="1"/>
  <c r="Q2" i="13"/>
  <c r="AA24" i="13" l="1"/>
  <c r="S18" i="13"/>
  <c r="T18" i="13" s="1"/>
  <c r="S5" i="13"/>
  <c r="U5" i="13" s="1"/>
  <c r="AA5" i="13" s="1"/>
  <c r="U22" i="13"/>
  <c r="AA22" i="13" s="1"/>
  <c r="T22" i="13"/>
  <c r="AA3" i="13"/>
  <c r="AM20" i="13" a="1"/>
  <c r="AM20" i="13" s="1"/>
  <c r="AI20" i="13" s="1"/>
  <c r="AA25" i="13"/>
  <c r="U20" i="13"/>
  <c r="AA20" i="13" s="1"/>
  <c r="AA33" i="13"/>
  <c r="AA29" i="13"/>
  <c r="AA23" i="13"/>
  <c r="U14" i="13"/>
  <c r="AA14" i="13" s="1"/>
  <c r="T14" i="13"/>
  <c r="T13" i="13"/>
  <c r="U13" i="13"/>
  <c r="AA13" i="13" s="1"/>
  <c r="AM16" i="13" a="1"/>
  <c r="AM16" i="13" s="1"/>
  <c r="AI16" i="13" s="1"/>
  <c r="S16" i="13" s="1"/>
  <c r="T16" i="13" s="1"/>
  <c r="AM19" i="13" a="1"/>
  <c r="AM19" i="13" s="1"/>
  <c r="AI19" i="13" s="1"/>
  <c r="S19" i="13" s="1"/>
  <c r="AM17" i="13" a="1"/>
  <c r="AM17" i="13" s="1"/>
  <c r="AI17" i="13" s="1"/>
  <c r="S17" i="13" s="1"/>
  <c r="U17" i="13" s="1"/>
  <c r="AA17" i="13" s="1"/>
  <c r="AM13" i="13" a="1"/>
  <c r="AM13" i="13" s="1"/>
  <c r="AI13" i="13" s="1"/>
  <c r="AM12" i="13" a="1"/>
  <c r="AM12" i="13" s="1"/>
  <c r="AI12" i="13" s="1"/>
  <c r="S12" i="13" s="1"/>
  <c r="AM15" i="13" a="1"/>
  <c r="AM15" i="13" s="1"/>
  <c r="AI15" i="13" s="1"/>
  <c r="S15" i="13" s="1"/>
  <c r="AA21" i="13"/>
  <c r="AI2" i="13"/>
  <c r="S10" i="13"/>
  <c r="T10" i="13" s="1"/>
  <c r="AM4" i="13" a="1"/>
  <c r="AM4" i="13" s="1"/>
  <c r="AI4" i="13" s="1"/>
  <c r="S4" i="13" s="1"/>
  <c r="AM6" i="13" a="1"/>
  <c r="AM6" i="13" s="1"/>
  <c r="AI6" i="13" s="1"/>
  <c r="AA31" i="13"/>
  <c r="AA27" i="13"/>
  <c r="AM3" i="13" a="1"/>
  <c r="AM3" i="13" s="1"/>
  <c r="AI3" i="13" s="1"/>
  <c r="AN40" i="13"/>
  <c r="T6" i="13"/>
  <c r="U6" i="13"/>
  <c r="AA6" i="13" s="1"/>
  <c r="AC2" i="13"/>
  <c r="N53" i="7"/>
  <c r="N52" i="7"/>
  <c r="N50" i="7"/>
  <c r="N49" i="7"/>
  <c r="Q4" i="7"/>
  <c r="Q5" i="7"/>
  <c r="Q6" i="7" s="1"/>
  <c r="P5" i="7"/>
  <c r="P4" i="7"/>
  <c r="P6" i="7" s="1"/>
  <c r="N10" i="7"/>
  <c r="N9" i="7"/>
  <c r="N6" i="7"/>
  <c r="N5" i="7"/>
  <c r="M10" i="7"/>
  <c r="M9" i="7"/>
  <c r="M6" i="7"/>
  <c r="M5" i="7"/>
  <c r="L10" i="7"/>
  <c r="L9" i="7"/>
  <c r="L6" i="7"/>
  <c r="L5" i="7"/>
  <c r="K10" i="7"/>
  <c r="K6" i="7"/>
  <c r="K9" i="7"/>
  <c r="K5" i="7"/>
  <c r="T5" i="13" l="1"/>
  <c r="U18" i="13"/>
  <c r="AA18" i="13" s="1"/>
  <c r="T4" i="13"/>
  <c r="U4" i="13"/>
  <c r="AA4" i="13" s="1"/>
  <c r="T19" i="13"/>
  <c r="U19" i="13"/>
  <c r="AA19" i="13" s="1"/>
  <c r="T17" i="13"/>
  <c r="U16" i="13"/>
  <c r="AA16" i="13" s="1"/>
  <c r="U15" i="13"/>
  <c r="AA15" i="13" s="1"/>
  <c r="T15" i="13"/>
  <c r="T12" i="13"/>
  <c r="U12" i="13"/>
  <c r="AA12" i="13" s="1"/>
  <c r="U10" i="13"/>
  <c r="AA10" i="13" s="1"/>
  <c r="T9" i="13"/>
  <c r="U9" i="13"/>
  <c r="AA9" i="13" s="1"/>
  <c r="H10" i="7"/>
  <c r="H9" i="7"/>
  <c r="H6" i="7" l="1"/>
  <c r="H5" i="7"/>
  <c r="C6" i="9" l="1"/>
  <c r="E3" i="9"/>
  <c r="J3" i="9" s="1"/>
  <c r="E4" i="9"/>
  <c r="J4" i="9" s="1"/>
  <c r="E5" i="9"/>
  <c r="J5" i="9" s="1"/>
  <c r="E6" i="9"/>
  <c r="J6" i="9" s="1"/>
  <c r="E7" i="9"/>
  <c r="J7" i="9" s="1"/>
  <c r="E8" i="9"/>
  <c r="J8" i="9" s="1"/>
  <c r="E9" i="9"/>
  <c r="J9" i="9" s="1"/>
  <c r="E10" i="9"/>
  <c r="J10" i="9" s="1"/>
  <c r="E11" i="9"/>
  <c r="J11" i="9" s="1"/>
  <c r="E12" i="9"/>
  <c r="J12" i="9" s="1"/>
  <c r="E13" i="9"/>
  <c r="J13" i="9" s="1"/>
  <c r="E14" i="9"/>
  <c r="J14" i="9" s="1"/>
  <c r="E15" i="9"/>
  <c r="J15" i="9" s="1"/>
  <c r="E16" i="9"/>
  <c r="J16" i="9" s="1"/>
  <c r="E17" i="9"/>
  <c r="J17" i="9" s="1"/>
  <c r="E18" i="9"/>
  <c r="J18" i="9" s="1"/>
  <c r="E19" i="9"/>
  <c r="J19" i="9" s="1"/>
  <c r="E20" i="9"/>
  <c r="J20" i="9" s="1"/>
  <c r="E21" i="9"/>
  <c r="J21" i="9" s="1"/>
  <c r="E22" i="9"/>
  <c r="J22" i="9" s="1"/>
  <c r="E23" i="9"/>
  <c r="J23" i="9" s="1"/>
  <c r="E24" i="9"/>
  <c r="J24" i="9" s="1"/>
  <c r="E25" i="9"/>
  <c r="J25" i="9" s="1"/>
  <c r="E26" i="9"/>
  <c r="J26" i="9" s="1"/>
  <c r="E27" i="9"/>
  <c r="J27" i="9" s="1"/>
  <c r="E28" i="9"/>
  <c r="J28" i="9" s="1"/>
  <c r="E29" i="9"/>
  <c r="J29" i="9" s="1"/>
  <c r="E30" i="9"/>
  <c r="J30" i="9" s="1"/>
  <c r="E31" i="9"/>
  <c r="J31" i="9" s="1"/>
  <c r="E32" i="9"/>
  <c r="J32" i="9" s="1"/>
  <c r="E33" i="9"/>
  <c r="J33" i="9" s="1"/>
  <c r="E2" i="9"/>
  <c r="C2" i="9"/>
  <c r="E11" i="4"/>
  <c r="J11" i="4" s="1"/>
  <c r="E12" i="4"/>
  <c r="E13" i="4"/>
  <c r="E14" i="4"/>
  <c r="E15" i="4"/>
  <c r="E16" i="4"/>
  <c r="E17" i="4"/>
  <c r="E18" i="4"/>
  <c r="E19" i="4"/>
  <c r="E20" i="4"/>
  <c r="E21" i="4"/>
  <c r="E22" i="4"/>
  <c r="E23" i="4"/>
  <c r="E24" i="4"/>
  <c r="E25" i="4"/>
  <c r="E26" i="4"/>
  <c r="E27" i="4"/>
  <c r="E28" i="4"/>
  <c r="E29" i="4"/>
  <c r="E30" i="4"/>
  <c r="E31" i="4"/>
  <c r="E32" i="4"/>
  <c r="E33" i="4"/>
  <c r="E3" i="4"/>
  <c r="E4" i="4"/>
  <c r="E5" i="4"/>
  <c r="E6" i="4"/>
  <c r="E7" i="4"/>
  <c r="E8" i="4"/>
  <c r="E9" i="4"/>
  <c r="E10" i="4"/>
  <c r="E2" i="4"/>
  <c r="Y2" i="13" s="1"/>
  <c r="Z2" i="13" s="1"/>
  <c r="S2" i="13" s="1"/>
  <c r="C2" i="4"/>
  <c r="T2" i="13" l="1"/>
  <c r="U2" i="13"/>
  <c r="AA2" i="13" s="1"/>
  <c r="J2" i="9"/>
  <c r="J12" i="4"/>
  <c r="J13" i="4"/>
  <c r="J14" i="4"/>
  <c r="J15" i="4"/>
  <c r="J16" i="4"/>
  <c r="J17" i="4"/>
  <c r="J18" i="4"/>
  <c r="J19" i="4"/>
  <c r="J20" i="4"/>
  <c r="J21" i="4"/>
  <c r="J22" i="4"/>
  <c r="J23" i="4"/>
  <c r="J24" i="4"/>
  <c r="J25" i="4"/>
  <c r="J26" i="4"/>
  <c r="J27" i="4"/>
  <c r="J28" i="4"/>
  <c r="J29" i="4"/>
  <c r="J30" i="4"/>
  <c r="J31" i="4"/>
  <c r="J32" i="4"/>
  <c r="J33" i="4"/>
  <c r="J3" i="4"/>
  <c r="J4" i="4"/>
  <c r="J5" i="4"/>
  <c r="J6" i="4"/>
  <c r="J7" i="4"/>
  <c r="J8" i="4"/>
  <c r="J9" i="4"/>
  <c r="J10" i="4"/>
  <c r="J2" i="4"/>
  <c r="C2" i="10"/>
  <c r="G33" i="9"/>
  <c r="F33" i="9"/>
  <c r="K33" i="9" s="1"/>
  <c r="C33" i="9"/>
  <c r="B33" i="9"/>
  <c r="A33" i="9"/>
  <c r="G32" i="9"/>
  <c r="F32" i="9"/>
  <c r="C32" i="9"/>
  <c r="B32" i="9"/>
  <c r="A32" i="9"/>
  <c r="G31" i="9"/>
  <c r="F31" i="9"/>
  <c r="K31" i="9" s="1"/>
  <c r="C31" i="9"/>
  <c r="B31" i="9"/>
  <c r="A31" i="9"/>
  <c r="G30" i="9"/>
  <c r="F30" i="9"/>
  <c r="K30" i="9" s="1"/>
  <c r="C30" i="9"/>
  <c r="B30" i="9"/>
  <c r="A30" i="9"/>
  <c r="G29" i="9"/>
  <c r="F29" i="9"/>
  <c r="K29" i="9" s="1"/>
  <c r="C29" i="9"/>
  <c r="B29" i="9"/>
  <c r="A29" i="9"/>
  <c r="G28" i="9"/>
  <c r="F28" i="9"/>
  <c r="C28" i="9"/>
  <c r="B28" i="9"/>
  <c r="A28" i="9"/>
  <c r="G27" i="9"/>
  <c r="F27" i="9"/>
  <c r="K27" i="9" s="1"/>
  <c r="C27" i="9"/>
  <c r="B27" i="9"/>
  <c r="A27" i="9"/>
  <c r="G26" i="9"/>
  <c r="F26" i="9"/>
  <c r="K26" i="9" s="1"/>
  <c r="C26" i="9"/>
  <c r="B26" i="9"/>
  <c r="A26" i="9"/>
  <c r="G25" i="9"/>
  <c r="F25" i="9"/>
  <c r="K25" i="9" s="1"/>
  <c r="C25" i="9"/>
  <c r="B25" i="9"/>
  <c r="A25" i="9"/>
  <c r="G24" i="9"/>
  <c r="F24" i="9"/>
  <c r="K24" i="9" s="1"/>
  <c r="C24" i="9"/>
  <c r="B24" i="9"/>
  <c r="A24" i="9"/>
  <c r="G23" i="9"/>
  <c r="F23" i="9"/>
  <c r="K23" i="9" s="1"/>
  <c r="C23" i="9"/>
  <c r="B23" i="9"/>
  <c r="A23" i="9"/>
  <c r="G22" i="9"/>
  <c r="F22" i="9"/>
  <c r="K22" i="9" s="1"/>
  <c r="C22" i="9"/>
  <c r="B22" i="9"/>
  <c r="A22" i="9"/>
  <c r="G21" i="9"/>
  <c r="F21" i="9"/>
  <c r="K21" i="9" s="1"/>
  <c r="C21" i="9"/>
  <c r="B21" i="9"/>
  <c r="A21" i="9"/>
  <c r="G20" i="9"/>
  <c r="F20" i="9"/>
  <c r="K20" i="9" s="1"/>
  <c r="C20" i="9"/>
  <c r="B20" i="9"/>
  <c r="A20" i="9"/>
  <c r="G19" i="9"/>
  <c r="F19" i="9"/>
  <c r="K19" i="9" s="1"/>
  <c r="C19" i="9"/>
  <c r="B19" i="9"/>
  <c r="A19" i="9"/>
  <c r="G18" i="9"/>
  <c r="F18" i="9"/>
  <c r="K18" i="9" s="1"/>
  <c r="C18" i="9"/>
  <c r="B18" i="9"/>
  <c r="A18" i="9"/>
  <c r="G17" i="9"/>
  <c r="F17" i="9"/>
  <c r="K17" i="9" s="1"/>
  <c r="C17" i="9"/>
  <c r="B17" i="9"/>
  <c r="A17" i="9"/>
  <c r="G16" i="9"/>
  <c r="F16" i="9"/>
  <c r="C16" i="9"/>
  <c r="B16" i="9"/>
  <c r="A16" i="9"/>
  <c r="G15" i="9"/>
  <c r="F15" i="9"/>
  <c r="C15" i="9"/>
  <c r="B15" i="9"/>
  <c r="A15" i="9"/>
  <c r="G14" i="9"/>
  <c r="F14" i="9"/>
  <c r="C14" i="9"/>
  <c r="B14" i="9"/>
  <c r="A14" i="9"/>
  <c r="G13" i="9"/>
  <c r="F13" i="9"/>
  <c r="C13" i="9"/>
  <c r="B13" i="9"/>
  <c r="A13" i="9"/>
  <c r="G12" i="9"/>
  <c r="F12" i="9"/>
  <c r="K12" i="9" s="1"/>
  <c r="C12" i="9"/>
  <c r="B12" i="9"/>
  <c r="A12" i="9"/>
  <c r="G11" i="9"/>
  <c r="F11" i="9"/>
  <c r="K11" i="9" s="1"/>
  <c r="C11" i="9"/>
  <c r="B11" i="9"/>
  <c r="A11" i="9"/>
  <c r="G10" i="9"/>
  <c r="F10" i="9"/>
  <c r="C10" i="9"/>
  <c r="B10" i="9"/>
  <c r="A10" i="9"/>
  <c r="G9" i="9"/>
  <c r="F9" i="9"/>
  <c r="K9" i="9" s="1"/>
  <c r="C9" i="9"/>
  <c r="B9" i="9"/>
  <c r="A9" i="9"/>
  <c r="G8" i="9"/>
  <c r="F8" i="9"/>
  <c r="K8" i="9" s="1"/>
  <c r="C8" i="9"/>
  <c r="B8" i="9"/>
  <c r="A8" i="9"/>
  <c r="G7" i="9"/>
  <c r="F7" i="9"/>
  <c r="K7" i="9" s="1"/>
  <c r="C7" i="9"/>
  <c r="B7" i="9"/>
  <c r="A7" i="9"/>
  <c r="G6" i="9"/>
  <c r="F6" i="9"/>
  <c r="K6" i="9" s="1"/>
  <c r="B6" i="9"/>
  <c r="A6" i="9"/>
  <c r="G5" i="9"/>
  <c r="F5" i="9"/>
  <c r="K5" i="9" s="1"/>
  <c r="C5" i="9"/>
  <c r="B5" i="9"/>
  <c r="A5" i="9"/>
  <c r="G4" i="9"/>
  <c r="F4" i="9"/>
  <c r="K4" i="9" s="1"/>
  <c r="C4" i="9"/>
  <c r="B4" i="9"/>
  <c r="A4" i="9"/>
  <c r="G3" i="9"/>
  <c r="F3" i="9"/>
  <c r="K3" i="9" s="1"/>
  <c r="C3" i="9"/>
  <c r="B3" i="9"/>
  <c r="A3" i="9"/>
  <c r="G2" i="9"/>
  <c r="F2" i="9"/>
  <c r="B2" i="9"/>
  <c r="A2" i="9"/>
  <c r="B10" i="2"/>
  <c r="F6" i="4"/>
  <c r="C7" i="4"/>
  <c r="C3" i="4"/>
  <c r="B3" i="2"/>
  <c r="B4" i="2"/>
  <c r="B5" i="2"/>
  <c r="F4" i="4"/>
  <c r="K4" i="4" l="1"/>
  <c r="K2" i="9"/>
  <c r="L2" i="9" s="1"/>
  <c r="K6" i="4"/>
  <c r="H32" i="9"/>
  <c r="I32" i="9" s="1"/>
  <c r="K32" i="9"/>
  <c r="L32" i="9" s="1"/>
  <c r="K28" i="9"/>
  <c r="L28" i="9" s="1"/>
  <c r="F2" i="3"/>
  <c r="F2" i="10"/>
  <c r="K16" i="9"/>
  <c r="L16" i="9" s="1"/>
  <c r="K15" i="9"/>
  <c r="L15" i="9" s="1"/>
  <c r="K14" i="9"/>
  <c r="L14" i="9" s="1"/>
  <c r="K13" i="9"/>
  <c r="L13" i="9" s="1"/>
  <c r="H10" i="9"/>
  <c r="I10" i="9" s="1"/>
  <c r="K10" i="9"/>
  <c r="L10" i="9" s="1"/>
  <c r="H2" i="9"/>
  <c r="I2" i="9" s="1"/>
  <c r="H15" i="9"/>
  <c r="I15" i="9" s="1"/>
  <c r="H21" i="9"/>
  <c r="I21" i="9" s="1"/>
  <c r="L29" i="9"/>
  <c r="L21" i="9"/>
  <c r="H19" i="9"/>
  <c r="I19" i="9" s="1"/>
  <c r="H20" i="9"/>
  <c r="I20" i="9" s="1"/>
  <c r="H7" i="9"/>
  <c r="I7" i="9" s="1"/>
  <c r="L23" i="9"/>
  <c r="H27" i="9"/>
  <c r="I27" i="9" s="1"/>
  <c r="L31" i="9"/>
  <c r="L26" i="9"/>
  <c r="L8" i="9"/>
  <c r="H18" i="9"/>
  <c r="I18" i="9" s="1"/>
  <c r="L20" i="9"/>
  <c r="L19" i="9"/>
  <c r="H22" i="9"/>
  <c r="I22" i="9" s="1"/>
  <c r="L30" i="9"/>
  <c r="L17" i="9"/>
  <c r="L33" i="9"/>
  <c r="L9" i="9"/>
  <c r="H12" i="9"/>
  <c r="I12" i="9" s="1"/>
  <c r="H24" i="9"/>
  <c r="I24" i="9" s="1"/>
  <c r="H31" i="9"/>
  <c r="I31" i="9" s="1"/>
  <c r="L27" i="9"/>
  <c r="H16" i="9"/>
  <c r="I16" i="9" s="1"/>
  <c r="H4" i="9"/>
  <c r="I4" i="9" s="1"/>
  <c r="H13" i="9"/>
  <c r="I13" i="9" s="1"/>
  <c r="H29" i="9"/>
  <c r="I29" i="9" s="1"/>
  <c r="L3" i="9"/>
  <c r="L11" i="9"/>
  <c r="L22" i="9"/>
  <c r="H26" i="9"/>
  <c r="I26" i="9" s="1"/>
  <c r="L12" i="9"/>
  <c r="L5" i="9"/>
  <c r="H8" i="9"/>
  <c r="I8" i="9" s="1"/>
  <c r="L25" i="9"/>
  <c r="L7" i="9"/>
  <c r="H6" i="9"/>
  <c r="I6" i="9" s="1"/>
  <c r="H5" i="9"/>
  <c r="I5" i="9" s="1"/>
  <c r="L4" i="9"/>
  <c r="H30" i="9"/>
  <c r="I30" i="9" s="1"/>
  <c r="H3" i="9"/>
  <c r="I3" i="9" s="1"/>
  <c r="H11" i="9"/>
  <c r="I11" i="9" s="1"/>
  <c r="L18" i="9"/>
  <c r="L24" i="9"/>
  <c r="H25" i="9"/>
  <c r="I25" i="9" s="1"/>
  <c r="H33" i="9"/>
  <c r="I33" i="9" s="1"/>
  <c r="H28" i="9"/>
  <c r="I28" i="9" s="1"/>
  <c r="H9" i="9"/>
  <c r="I9" i="9" s="1"/>
  <c r="H17" i="9"/>
  <c r="I17" i="9" s="1"/>
  <c r="H23" i="9"/>
  <c r="I23" i="9" s="1"/>
  <c r="H14" i="9"/>
  <c r="I14" i="9" s="1"/>
  <c r="L6" i="9"/>
  <c r="M5" i="8"/>
  <c r="K5" i="8"/>
  <c r="N4" i="5"/>
  <c r="O4" i="5"/>
  <c r="N5" i="5"/>
  <c r="O5" i="5"/>
  <c r="N6" i="5"/>
  <c r="O6" i="5"/>
  <c r="N7" i="5"/>
  <c r="O7" i="5"/>
  <c r="N8" i="5"/>
  <c r="O8" i="5"/>
  <c r="N9" i="5"/>
  <c r="O9" i="5"/>
  <c r="N10" i="5"/>
  <c r="O10" i="5"/>
  <c r="N11" i="5"/>
  <c r="O11" i="5"/>
  <c r="N12" i="5"/>
  <c r="O12" i="5"/>
  <c r="N13" i="5"/>
  <c r="O13" i="5"/>
  <c r="N14" i="5"/>
  <c r="O14" i="5"/>
  <c r="N15" i="5"/>
  <c r="O15" i="5"/>
  <c r="N16" i="5"/>
  <c r="O16" i="5"/>
  <c r="N17" i="5"/>
  <c r="O17" i="5"/>
  <c r="N18" i="5"/>
  <c r="O18" i="5"/>
  <c r="N19" i="5"/>
  <c r="O19" i="5"/>
  <c r="N20" i="5"/>
  <c r="O20" i="5"/>
  <c r="N21" i="5"/>
  <c r="O21" i="5"/>
  <c r="N22" i="5"/>
  <c r="O22" i="5"/>
  <c r="N23" i="5"/>
  <c r="O23" i="5"/>
  <c r="N24" i="5"/>
  <c r="O24" i="5"/>
  <c r="N25" i="5"/>
  <c r="O25" i="5"/>
  <c r="N26" i="5"/>
  <c r="O26" i="5"/>
  <c r="N27" i="5"/>
  <c r="O27" i="5"/>
  <c r="N28" i="5"/>
  <c r="O28" i="5"/>
  <c r="N29" i="5"/>
  <c r="O29" i="5"/>
  <c r="N30" i="5"/>
  <c r="O30" i="5"/>
  <c r="N31" i="5"/>
  <c r="O31" i="5"/>
  <c r="N32" i="5"/>
  <c r="O32" i="5"/>
  <c r="N33" i="5"/>
  <c r="O33" i="5"/>
  <c r="N34" i="5"/>
  <c r="O34" i="5"/>
  <c r="N35" i="5"/>
  <c r="O35" i="5"/>
  <c r="N36" i="5"/>
  <c r="O36" i="5"/>
  <c r="N37" i="5"/>
  <c r="O37" i="5"/>
  <c r="N38" i="5"/>
  <c r="O38" i="5"/>
  <c r="N39" i="5"/>
  <c r="O39" i="5"/>
  <c r="N40" i="5"/>
  <c r="O40" i="5"/>
  <c r="N41" i="5"/>
  <c r="O41" i="5"/>
  <c r="N42" i="5"/>
  <c r="O42" i="5"/>
  <c r="N43" i="5"/>
  <c r="O43" i="5"/>
  <c r="N44" i="5"/>
  <c r="O44" i="5"/>
  <c r="N45" i="5"/>
  <c r="O45" i="5"/>
  <c r="N46" i="5"/>
  <c r="O46" i="5"/>
  <c r="N47" i="5"/>
  <c r="O47" i="5"/>
  <c r="N48" i="5"/>
  <c r="O48" i="5"/>
  <c r="N49" i="5"/>
  <c r="O49" i="5"/>
  <c r="N50" i="5"/>
  <c r="O50" i="5"/>
  <c r="N51" i="5"/>
  <c r="O51" i="5"/>
  <c r="N52" i="5"/>
  <c r="O52" i="5"/>
  <c r="N53" i="5"/>
  <c r="O53" i="5"/>
  <c r="O3" i="5"/>
  <c r="N3" i="5"/>
  <c r="R3" i="2"/>
  <c r="P4" i="2"/>
  <c r="R4" i="2" s="1"/>
  <c r="P5" i="2"/>
  <c r="R5" i="2" s="1"/>
  <c r="P6" i="2"/>
  <c r="R6" i="2" s="1"/>
  <c r="P7" i="2"/>
  <c r="R7" i="2" s="1"/>
  <c r="P8" i="2"/>
  <c r="R8" i="2" s="1"/>
  <c r="P9" i="2"/>
  <c r="R9" i="2" s="1"/>
  <c r="P10" i="2"/>
  <c r="R10" i="2" s="1"/>
  <c r="P11" i="2"/>
  <c r="R11" i="2" s="1"/>
  <c r="P12" i="2"/>
  <c r="R12" i="2" s="1"/>
  <c r="P13" i="2"/>
  <c r="R13" i="2" s="1"/>
  <c r="P14" i="2"/>
  <c r="R14" i="2" s="1"/>
  <c r="P15" i="2"/>
  <c r="R15" i="2" s="1"/>
  <c r="P16" i="2"/>
  <c r="R16" i="2" s="1"/>
  <c r="F16" i="10" s="1"/>
  <c r="P17" i="2"/>
  <c r="R17" i="2" s="1"/>
  <c r="F17" i="10" s="1"/>
  <c r="P18" i="2"/>
  <c r="R18" i="2" s="1"/>
  <c r="F18" i="10" s="1"/>
  <c r="P19" i="2"/>
  <c r="R19" i="2" s="1"/>
  <c r="P20" i="2"/>
  <c r="R20" i="2" s="1"/>
  <c r="F20" i="10" s="1"/>
  <c r="P21" i="2"/>
  <c r="R21" i="2" s="1"/>
  <c r="P22" i="2"/>
  <c r="R22" i="2" s="1"/>
  <c r="P23" i="2"/>
  <c r="R23" i="2" s="1"/>
  <c r="P24" i="2"/>
  <c r="R24" i="2" s="1"/>
  <c r="P25" i="2"/>
  <c r="R25" i="2" s="1"/>
  <c r="P26" i="2"/>
  <c r="R26" i="2" s="1"/>
  <c r="P27" i="2"/>
  <c r="R27" i="2" s="1"/>
  <c r="P28" i="2"/>
  <c r="R28" i="2" s="1"/>
  <c r="P29" i="2"/>
  <c r="R29" i="2" s="1"/>
  <c r="P30" i="2"/>
  <c r="R30" i="2" s="1"/>
  <c r="P31" i="2"/>
  <c r="R31" i="2" s="1"/>
  <c r="P32" i="2"/>
  <c r="R32" i="2" s="1"/>
  <c r="P33" i="2"/>
  <c r="R33" i="2" s="1"/>
  <c r="M32" i="9" l="1"/>
  <c r="G32" i="10" s="1"/>
  <c r="H32" i="10" s="1"/>
  <c r="M2" i="9"/>
  <c r="G2" i="10" s="1"/>
  <c r="F22" i="10"/>
  <c r="F22" i="3"/>
  <c r="F21" i="10"/>
  <c r="F21" i="3"/>
  <c r="F20" i="3"/>
  <c r="F19" i="10"/>
  <c r="F19" i="3"/>
  <c r="F9" i="10"/>
  <c r="F9" i="3"/>
  <c r="F16" i="3"/>
  <c r="F7" i="3"/>
  <c r="F7" i="10"/>
  <c r="F14" i="10"/>
  <c r="F14" i="3"/>
  <c r="F6" i="10"/>
  <c r="F6" i="3"/>
  <c r="F13" i="10"/>
  <c r="F13" i="3"/>
  <c r="F5" i="10"/>
  <c r="F5" i="3"/>
  <c r="F12" i="10"/>
  <c r="F12" i="3"/>
  <c r="F4" i="3"/>
  <c r="F4" i="10"/>
  <c r="M28" i="9"/>
  <c r="G28" i="10" s="1"/>
  <c r="H28" i="10" s="1"/>
  <c r="F8" i="10"/>
  <c r="F8" i="3"/>
  <c r="F15" i="10"/>
  <c r="F15" i="3"/>
  <c r="F3" i="3"/>
  <c r="F3" i="10"/>
  <c r="F10" i="3"/>
  <c r="F10" i="10"/>
  <c r="F18" i="3"/>
  <c r="F17" i="3"/>
  <c r="F11" i="3"/>
  <c r="F11" i="10"/>
  <c r="M29" i="9"/>
  <c r="G29" i="10" s="1"/>
  <c r="M15" i="9"/>
  <c r="G15" i="10" s="1"/>
  <c r="M10" i="9"/>
  <c r="G10" i="10" s="1"/>
  <c r="M21" i="9"/>
  <c r="G21" i="10" s="1"/>
  <c r="M20" i="9"/>
  <c r="G20" i="10" s="1"/>
  <c r="M19" i="9"/>
  <c r="G19" i="10" s="1"/>
  <c r="M16" i="9"/>
  <c r="G16" i="10" s="1"/>
  <c r="M22" i="9"/>
  <c r="G22" i="10" s="1"/>
  <c r="M7" i="9"/>
  <c r="G7" i="10" s="1"/>
  <c r="M27" i="9"/>
  <c r="G27" i="10" s="1"/>
  <c r="M31" i="9"/>
  <c r="G31" i="10" s="1"/>
  <c r="M8" i="9"/>
  <c r="G8" i="10" s="1"/>
  <c r="M26" i="9"/>
  <c r="G26" i="10" s="1"/>
  <c r="M14" i="9"/>
  <c r="G14" i="10" s="1"/>
  <c r="M23" i="9"/>
  <c r="G23" i="10" s="1"/>
  <c r="M18" i="9"/>
  <c r="G18" i="10" s="1"/>
  <c r="H18" i="10" s="1"/>
  <c r="M9" i="9"/>
  <c r="G9" i="10" s="1"/>
  <c r="M5" i="9"/>
  <c r="G5" i="10" s="1"/>
  <c r="M4" i="9"/>
  <c r="G4" i="10" s="1"/>
  <c r="M33" i="9"/>
  <c r="G33" i="10" s="1"/>
  <c r="M3" i="9"/>
  <c r="G3" i="10" s="1"/>
  <c r="M30" i="9"/>
  <c r="G30" i="10" s="1"/>
  <c r="M24" i="9"/>
  <c r="G24" i="10" s="1"/>
  <c r="M12" i="9"/>
  <c r="G12" i="10" s="1"/>
  <c r="M13" i="9"/>
  <c r="G13" i="10" s="1"/>
  <c r="M25" i="9"/>
  <c r="G25" i="10" s="1"/>
  <c r="M17" i="9"/>
  <c r="G17" i="10" s="1"/>
  <c r="M11" i="9"/>
  <c r="G11" i="10" s="1"/>
  <c r="M6" i="9"/>
  <c r="G6" i="10" s="1"/>
  <c r="H21" i="10" l="1"/>
  <c r="H10" i="10"/>
  <c r="H29" i="10"/>
  <c r="H27" i="10"/>
  <c r="H15" i="10"/>
  <c r="H24" i="10"/>
  <c r="H8" i="10"/>
  <c r="H26" i="10"/>
  <c r="H17" i="10"/>
  <c r="H13" i="10"/>
  <c r="H16" i="10"/>
  <c r="H19" i="10"/>
  <c r="H22" i="10"/>
  <c r="H23" i="10"/>
  <c r="H14" i="10"/>
  <c r="H20" i="10"/>
  <c r="H25" i="10"/>
  <c r="H31" i="10"/>
  <c r="H33" i="10"/>
  <c r="H30" i="10"/>
  <c r="H7" i="10"/>
  <c r="H4" i="10"/>
  <c r="H9" i="10"/>
  <c r="H5" i="10"/>
  <c r="H6" i="10"/>
  <c r="H12" i="10"/>
  <c r="H3" i="10"/>
  <c r="H11" i="10"/>
  <c r="H13" i="7"/>
  <c r="L13" i="7"/>
  <c r="M13" i="7"/>
  <c r="H14" i="7"/>
  <c r="L14" i="7"/>
  <c r="M14" i="7"/>
  <c r="H17" i="7"/>
  <c r="L17" i="7"/>
  <c r="M17" i="7"/>
  <c r="H18" i="7"/>
  <c r="L18" i="7"/>
  <c r="M18" i="7"/>
  <c r="H21" i="7"/>
  <c r="L21" i="7"/>
  <c r="M21" i="7"/>
  <c r="H22" i="7"/>
  <c r="L22" i="7"/>
  <c r="M22" i="7"/>
  <c r="H25" i="7"/>
  <c r="L25" i="7"/>
  <c r="M25" i="7"/>
  <c r="H26" i="7"/>
  <c r="L26" i="7"/>
  <c r="M26" i="7"/>
  <c r="H29" i="7"/>
  <c r="L29" i="7"/>
  <c r="M29" i="7"/>
  <c r="H30" i="7"/>
  <c r="L30" i="7"/>
  <c r="M30" i="7"/>
  <c r="H33" i="7"/>
  <c r="L33" i="7"/>
  <c r="M33" i="7"/>
  <c r="H34" i="7"/>
  <c r="L34" i="7"/>
  <c r="M34" i="7"/>
  <c r="H37" i="7"/>
  <c r="L37" i="7"/>
  <c r="M37" i="7"/>
  <c r="H38" i="7"/>
  <c r="L38" i="7"/>
  <c r="M38" i="7"/>
  <c r="H41" i="7"/>
  <c r="L41" i="7"/>
  <c r="M41" i="7"/>
  <c r="H42" i="7"/>
  <c r="L42" i="7"/>
  <c r="M42" i="7"/>
  <c r="H45" i="7"/>
  <c r="L45" i="7"/>
  <c r="M45" i="7"/>
  <c r="H46" i="7"/>
  <c r="L46" i="7"/>
  <c r="M46" i="7"/>
  <c r="K25" i="7" l="1"/>
  <c r="N25" i="7"/>
  <c r="K37" i="7"/>
  <c r="N37" i="7"/>
  <c r="K34" i="7"/>
  <c r="N34" i="7"/>
  <c r="K38" i="7"/>
  <c r="N38" i="7"/>
  <c r="K22" i="7"/>
  <c r="N22" i="7"/>
  <c r="K46" i="7"/>
  <c r="N46" i="7"/>
  <c r="K29" i="7"/>
  <c r="N29" i="7"/>
  <c r="K33" i="7"/>
  <c r="N33" i="7"/>
  <c r="K21" i="7"/>
  <c r="N21" i="7"/>
  <c r="K30" i="7"/>
  <c r="N30" i="7"/>
  <c r="K41" i="7"/>
  <c r="N41" i="7"/>
  <c r="K45" i="7"/>
  <c r="N45" i="7"/>
  <c r="K42" i="7"/>
  <c r="N42" i="7"/>
  <c r="K26" i="7"/>
  <c r="N26" i="7"/>
  <c r="K14" i="7"/>
  <c r="N14" i="7"/>
  <c r="K18" i="7"/>
  <c r="N18" i="7"/>
  <c r="K13" i="7"/>
  <c r="N13" i="7"/>
  <c r="K17" i="7"/>
  <c r="N17" i="7"/>
  <c r="A14" i="2"/>
  <c r="B14" i="2"/>
  <c r="C14" i="2"/>
  <c r="C15" i="2"/>
  <c r="A16" i="2"/>
  <c r="B16" i="2"/>
  <c r="C16" i="2"/>
  <c r="A17" i="2"/>
  <c r="B17" i="2"/>
  <c r="C17" i="2"/>
  <c r="A18" i="2"/>
  <c r="B18" i="2"/>
  <c r="C18" i="2"/>
  <c r="A19" i="2"/>
  <c r="B19" i="2"/>
  <c r="C19" i="2"/>
  <c r="A20" i="2"/>
  <c r="B20" i="2"/>
  <c r="C20" i="2"/>
  <c r="A21" i="2"/>
  <c r="B21" i="2"/>
  <c r="C21" i="2"/>
  <c r="A22" i="2"/>
  <c r="B22" i="2"/>
  <c r="C22" i="2"/>
  <c r="A23" i="2"/>
  <c r="B23" i="2"/>
  <c r="C23" i="2"/>
  <c r="A24" i="2"/>
  <c r="B24" i="2"/>
  <c r="C24" i="2"/>
  <c r="A25" i="2"/>
  <c r="B25" i="2"/>
  <c r="C25" i="2"/>
  <c r="A26" i="2"/>
  <c r="B26" i="2"/>
  <c r="C26" i="2"/>
  <c r="A27" i="2"/>
  <c r="B27" i="2"/>
  <c r="C27" i="2"/>
  <c r="A28" i="2"/>
  <c r="B28" i="2"/>
  <c r="C28" i="2"/>
  <c r="A29" i="2"/>
  <c r="B29" i="2"/>
  <c r="C29" i="2"/>
  <c r="A30" i="2"/>
  <c r="B30" i="2"/>
  <c r="C30" i="2"/>
  <c r="A31" i="2"/>
  <c r="B31" i="2"/>
  <c r="C31" i="2"/>
  <c r="A32" i="2"/>
  <c r="B32" i="2"/>
  <c r="C32" i="2"/>
  <c r="A33" i="2"/>
  <c r="B33" i="2"/>
  <c r="C33" i="2"/>
  <c r="A33" i="4"/>
  <c r="B33" i="4"/>
  <c r="C33" i="4"/>
  <c r="F33" i="4"/>
  <c r="K33" i="4" s="1"/>
  <c r="G33" i="4"/>
  <c r="A14" i="4"/>
  <c r="B14" i="4"/>
  <c r="C14" i="4"/>
  <c r="F14" i="4"/>
  <c r="K14" i="4" s="1"/>
  <c r="G14" i="4"/>
  <c r="A15" i="4"/>
  <c r="B15" i="4"/>
  <c r="C15" i="4"/>
  <c r="F15" i="4"/>
  <c r="K15" i="4" s="1"/>
  <c r="G15" i="4"/>
  <c r="A16" i="4"/>
  <c r="B16" i="4"/>
  <c r="C16" i="4"/>
  <c r="F16" i="4"/>
  <c r="K16" i="4" s="1"/>
  <c r="G16" i="4"/>
  <c r="A17" i="4"/>
  <c r="B17" i="4"/>
  <c r="C17" i="4"/>
  <c r="F17" i="4"/>
  <c r="K17" i="4" s="1"/>
  <c r="G17" i="4"/>
  <c r="A18" i="4"/>
  <c r="B18" i="4"/>
  <c r="C18" i="4"/>
  <c r="F18" i="4"/>
  <c r="K18" i="4" s="1"/>
  <c r="G18" i="4"/>
  <c r="A19" i="4"/>
  <c r="B19" i="4"/>
  <c r="C19" i="4"/>
  <c r="F19" i="4"/>
  <c r="K19" i="4" s="1"/>
  <c r="G19" i="4"/>
  <c r="A20" i="4"/>
  <c r="B20" i="4"/>
  <c r="C20" i="4"/>
  <c r="F20" i="4"/>
  <c r="K20" i="4" s="1"/>
  <c r="G20" i="4"/>
  <c r="A21" i="4"/>
  <c r="B21" i="4"/>
  <c r="C21" i="4"/>
  <c r="F21" i="4"/>
  <c r="K21" i="4" s="1"/>
  <c r="G21" i="4"/>
  <c r="A22" i="4"/>
  <c r="B22" i="4"/>
  <c r="C22" i="4"/>
  <c r="F22" i="4"/>
  <c r="K22" i="4" s="1"/>
  <c r="G22" i="4"/>
  <c r="A23" i="4"/>
  <c r="B23" i="4"/>
  <c r="C23" i="4"/>
  <c r="F23" i="4"/>
  <c r="K23" i="4" s="1"/>
  <c r="G23" i="4"/>
  <c r="A24" i="4"/>
  <c r="B24" i="4"/>
  <c r="C24" i="4"/>
  <c r="F24" i="4"/>
  <c r="K24" i="4" s="1"/>
  <c r="G24" i="4"/>
  <c r="A25" i="4"/>
  <c r="B25" i="4"/>
  <c r="C25" i="4"/>
  <c r="F25" i="4"/>
  <c r="K25" i="4" s="1"/>
  <c r="G25" i="4"/>
  <c r="A26" i="4"/>
  <c r="B26" i="4"/>
  <c r="C26" i="4"/>
  <c r="F26" i="4"/>
  <c r="K26" i="4" s="1"/>
  <c r="G26" i="4"/>
  <c r="A27" i="4"/>
  <c r="B27" i="4"/>
  <c r="C27" i="4"/>
  <c r="F27" i="4"/>
  <c r="K27" i="4" s="1"/>
  <c r="G27" i="4"/>
  <c r="A28" i="4"/>
  <c r="B28" i="4"/>
  <c r="C28" i="4"/>
  <c r="F28" i="4"/>
  <c r="K28" i="4" s="1"/>
  <c r="G28" i="4"/>
  <c r="A29" i="4"/>
  <c r="B29" i="4"/>
  <c r="C29" i="4"/>
  <c r="F29" i="4"/>
  <c r="K29" i="4" s="1"/>
  <c r="G29" i="4"/>
  <c r="A30" i="4"/>
  <c r="B30" i="4"/>
  <c r="C30" i="4"/>
  <c r="F30" i="4"/>
  <c r="K30" i="4" s="1"/>
  <c r="G30" i="4"/>
  <c r="A31" i="4"/>
  <c r="B31" i="4"/>
  <c r="C31" i="4"/>
  <c r="F31" i="4"/>
  <c r="K31" i="4" s="1"/>
  <c r="G31" i="4"/>
  <c r="A32" i="4"/>
  <c r="B32" i="4"/>
  <c r="C32" i="4"/>
  <c r="F32" i="4"/>
  <c r="K32" i="4" s="1"/>
  <c r="G32" i="4"/>
  <c r="L14" i="1"/>
  <c r="L15" i="1"/>
  <c r="L16" i="1"/>
  <c r="L17" i="1"/>
  <c r="L18" i="1"/>
  <c r="L19" i="1"/>
  <c r="L20" i="1"/>
  <c r="L21" i="1"/>
  <c r="L22" i="1"/>
  <c r="L23" i="1"/>
  <c r="L24" i="1"/>
  <c r="L25" i="1"/>
  <c r="L26" i="1"/>
  <c r="L27" i="1"/>
  <c r="L28" i="1"/>
  <c r="L29" i="1"/>
  <c r="L30" i="1"/>
  <c r="L31" i="1"/>
  <c r="L32" i="1"/>
  <c r="F3" i="4"/>
  <c r="K3" i="4" s="1"/>
  <c r="G3" i="4"/>
  <c r="G4" i="4"/>
  <c r="F5" i="4"/>
  <c r="K5" i="4" s="1"/>
  <c r="G5" i="4"/>
  <c r="G6" i="4"/>
  <c r="F7" i="4"/>
  <c r="K7" i="4" s="1"/>
  <c r="G7" i="4"/>
  <c r="F8" i="4"/>
  <c r="K8" i="4" s="1"/>
  <c r="G8" i="4"/>
  <c r="F9" i="4"/>
  <c r="K9" i="4" s="1"/>
  <c r="G9" i="4"/>
  <c r="F10" i="4"/>
  <c r="K10" i="4" s="1"/>
  <c r="G10" i="4"/>
  <c r="F11" i="4"/>
  <c r="K11" i="4" s="1"/>
  <c r="G11" i="4"/>
  <c r="F12" i="4"/>
  <c r="K12" i="4" s="1"/>
  <c r="G12" i="4"/>
  <c r="F13" i="4"/>
  <c r="K13" i="4" s="1"/>
  <c r="G13" i="4"/>
  <c r="L11" i="1"/>
  <c r="L12" i="1"/>
  <c r="L13" i="1"/>
  <c r="G2" i="4"/>
  <c r="F2" i="4"/>
  <c r="K2" i="4" s="1"/>
  <c r="P2" i="2"/>
  <c r="A3" i="2"/>
  <c r="C3" i="2"/>
  <c r="A4" i="2"/>
  <c r="C4" i="2"/>
  <c r="A5" i="2"/>
  <c r="C5" i="2"/>
  <c r="A6" i="2"/>
  <c r="B6" i="2"/>
  <c r="C6" i="2"/>
  <c r="A7" i="2"/>
  <c r="B7" i="2"/>
  <c r="C7" i="2"/>
  <c r="A8" i="2"/>
  <c r="B8" i="2"/>
  <c r="C8" i="2"/>
  <c r="A9" i="2"/>
  <c r="B9" i="2"/>
  <c r="C9" i="2"/>
  <c r="A10" i="2"/>
  <c r="C10" i="2"/>
  <c r="A11" i="2"/>
  <c r="B11" i="2"/>
  <c r="C11" i="2"/>
  <c r="A12" i="2"/>
  <c r="B12" i="2"/>
  <c r="C12" i="2"/>
  <c r="C2" i="3"/>
  <c r="A13" i="2"/>
  <c r="B13" i="2"/>
  <c r="C13" i="2"/>
  <c r="C2" i="2"/>
  <c r="B2" i="2"/>
  <c r="A2" i="2"/>
  <c r="C4" i="4"/>
  <c r="C5" i="4"/>
  <c r="C6" i="4"/>
  <c r="C8" i="4"/>
  <c r="C9" i="4"/>
  <c r="C10" i="4"/>
  <c r="C11" i="4"/>
  <c r="C12" i="4"/>
  <c r="C13" i="4"/>
  <c r="A3" i="4"/>
  <c r="B3" i="4"/>
  <c r="A4" i="4"/>
  <c r="B4" i="4"/>
  <c r="A5" i="4"/>
  <c r="B5" i="4"/>
  <c r="A6" i="4"/>
  <c r="B6" i="4"/>
  <c r="A7" i="4"/>
  <c r="B7" i="4"/>
  <c r="A8" i="4"/>
  <c r="B8" i="4"/>
  <c r="A9" i="4"/>
  <c r="B9" i="4"/>
  <c r="A10" i="4"/>
  <c r="B10" i="4"/>
  <c r="A11" i="4"/>
  <c r="B11" i="4"/>
  <c r="A12" i="4"/>
  <c r="B12" i="4"/>
  <c r="A13" i="4"/>
  <c r="B13" i="4"/>
  <c r="B2" i="4"/>
  <c r="A2" i="4"/>
  <c r="N55" i="7" l="1"/>
  <c r="H16" i="4"/>
  <c r="I16" i="4" s="1"/>
  <c r="H23" i="4"/>
  <c r="I23" i="4" s="1"/>
  <c r="L20" i="4"/>
  <c r="H17" i="4"/>
  <c r="I17" i="4" s="1"/>
  <c r="H33" i="4"/>
  <c r="I33" i="4" s="1"/>
  <c r="H32" i="4"/>
  <c r="I32" i="4" s="1"/>
  <c r="L10" i="4"/>
  <c r="L6" i="4"/>
  <c r="H3" i="4"/>
  <c r="I3" i="4" s="1"/>
  <c r="L11" i="4"/>
  <c r="H18" i="4"/>
  <c r="I18" i="4" s="1"/>
  <c r="L7" i="4"/>
  <c r="H28" i="4"/>
  <c r="I28" i="4" s="1"/>
  <c r="H29" i="4"/>
  <c r="I29" i="4" s="1"/>
  <c r="H25" i="4"/>
  <c r="I25" i="4" s="1"/>
  <c r="L23" i="4"/>
  <c r="L4" i="4"/>
  <c r="H24" i="4"/>
  <c r="I24" i="4" s="1"/>
  <c r="N56" i="7"/>
  <c r="H9" i="4"/>
  <c r="I9" i="4" s="1"/>
  <c r="H30" i="4"/>
  <c r="I30" i="4" s="1"/>
  <c r="H8" i="4"/>
  <c r="I8" i="4" s="1"/>
  <c r="H27" i="4"/>
  <c r="I27" i="4" s="1"/>
  <c r="H19" i="4"/>
  <c r="I19" i="4" s="1"/>
  <c r="H15" i="4"/>
  <c r="I15" i="4" s="1"/>
  <c r="L26" i="4"/>
  <c r="L17" i="4"/>
  <c r="L13" i="4"/>
  <c r="H21" i="4"/>
  <c r="I21" i="4" s="1"/>
  <c r="L33" i="4"/>
  <c r="H14" i="4"/>
  <c r="I14" i="4" s="1"/>
  <c r="H12" i="4"/>
  <c r="I12" i="4" s="1"/>
  <c r="H5" i="4"/>
  <c r="I5" i="4" s="1"/>
  <c r="H31" i="4"/>
  <c r="I31" i="4" s="1"/>
  <c r="H22" i="4"/>
  <c r="I22" i="4" s="1"/>
  <c r="L28" i="4"/>
  <c r="L24" i="4"/>
  <c r="L14" i="4"/>
  <c r="H26" i="4"/>
  <c r="I26" i="4" s="1"/>
  <c r="L3" i="4"/>
  <c r="L31" i="4"/>
  <c r="L29" i="4"/>
  <c r="L27" i="4"/>
  <c r="L19" i="4"/>
  <c r="L15" i="4"/>
  <c r="L2" i="4"/>
  <c r="L9" i="4"/>
  <c r="L32" i="4"/>
  <c r="H20" i="4"/>
  <c r="I20" i="4" s="1"/>
  <c r="L18" i="4"/>
  <c r="L12" i="4"/>
  <c r="L8" i="4"/>
  <c r="L5" i="4"/>
  <c r="L21" i="4"/>
  <c r="L25" i="4"/>
  <c r="L30" i="4"/>
  <c r="L22" i="4"/>
  <c r="L16" i="4"/>
  <c r="H7" i="4"/>
  <c r="I7" i="4" s="1"/>
  <c r="H4" i="4"/>
  <c r="I4" i="4" s="1"/>
  <c r="H2" i="4"/>
  <c r="I2" i="4" s="1"/>
  <c r="H11" i="4"/>
  <c r="I11" i="4" s="1"/>
  <c r="H10" i="4"/>
  <c r="I10" i="4" s="1"/>
  <c r="H13" i="4"/>
  <c r="I13" i="4" s="1"/>
  <c r="H6" i="4"/>
  <c r="I6" i="4" s="1"/>
  <c r="M16" i="4" l="1"/>
  <c r="G16" i="3" s="1"/>
  <c r="H16" i="3" s="1"/>
  <c r="M17" i="4"/>
  <c r="G17" i="3" s="1"/>
  <c r="H17" i="3" s="1"/>
  <c r="M11" i="4"/>
  <c r="G11" i="3" s="1"/>
  <c r="H11" i="3" s="1"/>
  <c r="M3" i="4"/>
  <c r="G3" i="3" s="1"/>
  <c r="H3" i="3" s="1"/>
  <c r="M33" i="4"/>
  <c r="G33" i="3" s="1"/>
  <c r="H33" i="3" s="1"/>
  <c r="M32" i="4"/>
  <c r="G32" i="3" s="1"/>
  <c r="H32" i="3" s="1"/>
  <c r="M6" i="4"/>
  <c r="G6" i="3" s="1"/>
  <c r="H6" i="3" s="1"/>
  <c r="M28" i="4"/>
  <c r="G28" i="3" s="1"/>
  <c r="H28" i="3" s="1"/>
  <c r="M22" i="4"/>
  <c r="G22" i="3" s="1"/>
  <c r="H22" i="3" s="1"/>
  <c r="M8" i="4"/>
  <c r="G8" i="3" s="1"/>
  <c r="H8" i="3" s="1"/>
  <c r="M10" i="4"/>
  <c r="G10" i="3" s="1"/>
  <c r="H10" i="3" s="1"/>
  <c r="M30" i="4"/>
  <c r="G30" i="3" s="1"/>
  <c r="H30" i="3" s="1"/>
  <c r="M20" i="4"/>
  <c r="G20" i="3" s="1"/>
  <c r="H20" i="3" s="1"/>
  <c r="M29" i="4"/>
  <c r="G29" i="3" s="1"/>
  <c r="H29" i="3" s="1"/>
  <c r="M23" i="4"/>
  <c r="G23" i="3" s="1"/>
  <c r="H23" i="3" s="1"/>
  <c r="M21" i="4"/>
  <c r="G21" i="3" s="1"/>
  <c r="H21" i="3" s="1"/>
  <c r="M15" i="4"/>
  <c r="G15" i="3" s="1"/>
  <c r="H15" i="3" s="1"/>
  <c r="M14" i="4"/>
  <c r="G14" i="3" s="1"/>
  <c r="H14" i="3" s="1"/>
  <c r="M19" i="4"/>
  <c r="G19" i="3" s="1"/>
  <c r="H19" i="3" s="1"/>
  <c r="M24" i="4"/>
  <c r="G24" i="3" s="1"/>
  <c r="H24" i="3" s="1"/>
  <c r="M4" i="4"/>
  <c r="G4" i="3" s="1"/>
  <c r="H4" i="3" s="1"/>
  <c r="M18" i="4"/>
  <c r="G18" i="3" s="1"/>
  <c r="H18" i="3" s="1"/>
  <c r="M31" i="4"/>
  <c r="G31" i="3" s="1"/>
  <c r="H31" i="3" s="1"/>
  <c r="M9" i="4"/>
  <c r="G9" i="3" s="1"/>
  <c r="H9" i="3" s="1"/>
  <c r="M26" i="4"/>
  <c r="G26" i="3" s="1"/>
  <c r="H26" i="3" s="1"/>
  <c r="M7" i="4"/>
  <c r="G7" i="3" s="1"/>
  <c r="H7" i="3" s="1"/>
  <c r="M25" i="4"/>
  <c r="G25" i="3" s="1"/>
  <c r="H25" i="3" s="1"/>
  <c r="M13" i="4"/>
  <c r="G13" i="3" s="1"/>
  <c r="H13" i="3" s="1"/>
  <c r="M5" i="4"/>
  <c r="G5" i="3" s="1"/>
  <c r="H5" i="3" s="1"/>
  <c r="M27" i="4"/>
  <c r="G27" i="3" s="1"/>
  <c r="H27" i="3" s="1"/>
  <c r="M12" i="4"/>
  <c r="G12" i="3" s="1"/>
  <c r="H12" i="3" s="1"/>
  <c r="M2" i="4"/>
  <c r="G2" i="3" s="1"/>
  <c r="H2" i="10" l="1"/>
  <c r="H2"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<sst xmlns="http://schemas.openxmlformats.org/spreadsheetml/2006/main" count="584" uniqueCount="317">
  <si>
    <t>NPDES Number</t>
  </si>
  <si>
    <t>Facility Name</t>
  </si>
  <si>
    <r>
      <t xml:space="preserve">State
</t>
    </r>
    <r>
      <rPr>
        <b/>
        <i/>
        <sz val="10"/>
        <color theme="1"/>
        <rFont val="Calibri"/>
        <family val="2"/>
      </rPr>
      <t>(select from dropdown</t>
    </r>
    <r>
      <rPr>
        <b/>
        <i/>
        <sz val="11"/>
        <color theme="1"/>
        <rFont val="Calibri"/>
        <family val="2"/>
      </rPr>
      <t>)</t>
    </r>
  </si>
  <si>
    <t>Nutrient Removal Project and
[Target Nutrient(s)]</t>
  </si>
  <si>
    <t>Average Monthly Influent TN (as N) Concentration</t>
  </si>
  <si>
    <t>MN0030066</t>
  </si>
  <si>
    <t>New Ulm WWTP</t>
  </si>
  <si>
    <t>Activated Sludge + Biological Phosphorus Removal</t>
  </si>
  <si>
    <t>3/2015 - 7/2024</t>
  </si>
  <si>
    <t>Average Flow (MGD)</t>
  </si>
  <si>
    <t>Average Daily Influent TN (as N) Loading</t>
  </si>
  <si>
    <t>Nutrient Removal Project and Target Nutrient(s)</t>
  </si>
  <si>
    <t>Year</t>
  </si>
  <si>
    <t>CWCCIS Index for 19 - Buildings, Grounds, and Utilities</t>
  </si>
  <si>
    <t>Implicit Price Deflator</t>
  </si>
  <si>
    <t>State</t>
  </si>
  <si>
    <t>CWCCIS
State Adjustment Factor</t>
  </si>
  <si>
    <t>BLS OEWS Median Annual Wage for Water and Wastewater Treatment Plant and System Operators (May 2023)</t>
  </si>
  <si>
    <t>NA</t>
  </si>
  <si>
    <t>Pre-Project Average Monthly Effluent TN (as N)
Concentration</t>
  </si>
  <si>
    <t>Period of Record for Post-Project TN (as N)
Effluent Concentration</t>
  </si>
  <si>
    <t>Period of Record for Pre-Project TN (as N) Effluent Concentration</t>
  </si>
  <si>
    <t>Estimated</t>
  </si>
  <si>
    <t>Average Daily Effluent TN (as N) Loading Pre-Project</t>
  </si>
  <si>
    <t>Alabama</t>
  </si>
  <si>
    <t>Alaska</t>
  </si>
  <si>
    <t>Arizona</t>
  </si>
  <si>
    <t>Arkansas</t>
  </si>
  <si>
    <t>California</t>
  </si>
  <si>
    <t>Colorado</t>
  </si>
  <si>
    <t>Connecticut</t>
  </si>
  <si>
    <t>Delaware</t>
  </si>
  <si>
    <t>Florida</t>
  </si>
  <si>
    <t>Georgia</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</si>
  <si>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</si>
  <si>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</si>
  <si>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</si>
  <si>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</si>
  <si>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</si>
  <si>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</si>
  <si>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</si>
  <si>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</si>
  <si>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</si>
  <si>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</si>
  <si>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</si>
  <si>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</si>
  <si>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</si>
  <si>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</si>
  <si>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</si>
  <si>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</si>
  <si>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</si>
  <si>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</si>
  <si>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</si>
  <si>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</si>
  <si>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</si>
  <si>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</si>
  <si>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</si>
  <si>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</si>
  <si>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</si>
  <si>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</si>
  <si>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</si>
  <si>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</si>
  <si>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Rhode Island</t>
  </si>
  <si>
    <t>South Carolina</t>
  </si>
  <si>
    <t>South Dakota</t>
  </si>
  <si>
    <t>Tennessee</t>
  </si>
  <si>
    <t>Texas</t>
  </si>
  <si>
    <t>Utah</t>
  </si>
  <si>
    <t>Vermont</t>
  </si>
  <si>
    <t>Virginia</t>
  </si>
  <si>
    <t>Washington</t>
  </si>
  <si>
    <t>West Virginia</t>
  </si>
  <si>
    <t>Wisconsin</t>
  </si>
  <si>
    <t>Wyoming</t>
  </si>
  <si>
    <t>District of Columbia</t>
  </si>
  <si>
    <t>Average Price of Electricity to Commercial Customers for 2023 (Cents per kWh)</t>
  </si>
  <si>
    <t>A2O / BNR 3- to 5-Stage</t>
  </si>
  <si>
    <t>A/O / BNR 2-Stage</t>
  </si>
  <si>
    <t>Fraction to Apply to Energy Adjustment Factor</t>
  </si>
  <si>
    <t>Fraction to Apply to O&amp;M Wage Adjustment Factor</t>
  </si>
  <si>
    <t>Upgrade O&amp;M Cost ($/1,000 gal.)</t>
  </si>
  <si>
    <t>Total ($/yr)</t>
  </si>
  <si>
    <t>Energy ($/yr)</t>
  </si>
  <si>
    <t>Chemical ($/yr)</t>
  </si>
  <si>
    <t>Material ($/yr)</t>
  </si>
  <si>
    <t>Maintenance ($/yr)</t>
  </si>
  <si>
    <t>Operation ($/yr)</t>
  </si>
  <si>
    <t>% of Total O&amp;M Costs Attributable to Upgrade</t>
  </si>
  <si>
    <t>O&amp;M Cost After Upgrade</t>
  </si>
  <si>
    <t>Averages:</t>
  </si>
  <si>
    <t>Average if &gt; 10 MGD</t>
  </si>
  <si>
    <r>
      <t xml:space="preserve">Average if </t>
    </r>
    <r>
      <rPr>
        <b/>
        <u/>
        <sz val="11"/>
        <color rgb="FFC00000"/>
        <rFont val="Calibri"/>
        <family val="2"/>
      </rPr>
      <t>&lt;</t>
    </r>
    <r>
      <rPr>
        <b/>
        <sz val="11"/>
        <color rgb="FFC00000"/>
        <rFont val="Calibri"/>
        <family val="2"/>
      </rPr>
      <t xml:space="preserve"> 10 MGD</t>
    </r>
  </si>
  <si>
    <t>Types</t>
  </si>
  <si>
    <t>System</t>
  </si>
  <si>
    <t>Flow</t>
  </si>
  <si>
    <t>Total</t>
  </si>
  <si>
    <t>Percentage</t>
  </si>
  <si>
    <t>Nutrient Removal Project Description and
[Target Nutrient(s)]</t>
  </si>
  <si>
    <t>Averages</t>
  </si>
  <si>
    <t>A/O or BNR 2-Stage</t>
  </si>
  <si>
    <t>A2O or BNR 3- to 5-Stage</t>
  </si>
  <si>
    <t>Period of Record for TN (as N)
Influent Concentration</t>
  </si>
  <si>
    <t>9/2019 - 7/2024</t>
  </si>
  <si>
    <t>Post-Project Average Monthly Effluent TN (as N) Concentration</t>
  </si>
  <si>
    <r>
      <t xml:space="preserve">Post-Project Average TN % Removal (Concentration)
</t>
    </r>
    <r>
      <rPr>
        <b/>
        <i/>
        <sz val="10"/>
        <color theme="1"/>
        <rFont val="Calibri"/>
        <family val="2"/>
      </rPr>
      <t>(calculated)</t>
    </r>
  </si>
  <si>
    <t>IA0029025</t>
  </si>
  <si>
    <t>City of Atlantic WWTP</t>
  </si>
  <si>
    <t>Trickling Filters</t>
  </si>
  <si>
    <t>11/2019 - 7/2024</t>
  </si>
  <si>
    <t>12/2016 - 6/2024</t>
  </si>
  <si>
    <t>MN0066079</t>
  </si>
  <si>
    <t>City of Long Prairie WWTF</t>
  </si>
  <si>
    <t>1/2020 - 6/2024</t>
  </si>
  <si>
    <t>MT0020125</t>
  </si>
  <si>
    <t>Chinook WWTF</t>
  </si>
  <si>
    <t>Activiated Sludge-Oxidation Ditch</t>
  </si>
  <si>
    <t>7/2014 - 8/2024</t>
  </si>
  <si>
    <t>6/2018 - 12/2019</t>
  </si>
  <si>
    <t>x</t>
  </si>
  <si>
    <t>y</t>
  </si>
  <si>
    <t>x1</t>
  </si>
  <si>
    <t>y1</t>
  </si>
  <si>
    <t>x2</t>
  </si>
  <si>
    <t>y2</t>
  </si>
  <si>
    <t>2-Stage BNR</t>
  </si>
  <si>
    <t>3- to 5-Stage BNR</t>
  </si>
  <si>
    <t>Enter Flow</t>
  </si>
  <si>
    <t>O&amp;M Cost</t>
  </si>
  <si>
    <t>MN0040878</t>
  </si>
  <si>
    <t>St. Cloud NEW RF</t>
  </si>
  <si>
    <t>Baseline Treatment System Description</t>
  </si>
  <si>
    <t>Conventional Step-Feed Activated Sludge</t>
  </si>
  <si>
    <t>NY0027561</t>
  </si>
  <si>
    <t>LeRoy R Summerson WWTF (City of Cortland)</t>
  </si>
  <si>
    <t>City of Kalispell Advanced Wastewater Treatment and Biological Nutrient Removal Facility</t>
  </si>
  <si>
    <t>MT0021938</t>
  </si>
  <si>
    <t>MT0022594</t>
  </si>
  <si>
    <t>Missoula WWTP</t>
  </si>
  <si>
    <t>Conventional Activated Sludge</t>
  </si>
  <si>
    <t>10/2022 - 7/2024</t>
  </si>
  <si>
    <t>9/2014 - 9/2022</t>
  </si>
  <si>
    <t>5/2017 - 7/2024</t>
  </si>
  <si>
    <t>Modified University of Capetown</t>
  </si>
  <si>
    <t>MN0020192</t>
  </si>
  <si>
    <t>10/2019 - 8/2024</t>
  </si>
  <si>
    <t>11/2017 - 6/2019</t>
  </si>
  <si>
    <t>9/2019 - 8/2024</t>
  </si>
  <si>
    <t>Detroit Lakes WRF</t>
  </si>
  <si>
    <t>Design Flow (MGD)</t>
  </si>
  <si>
    <t>Design Flow Daily Influent TN (as N) Loading</t>
  </si>
  <si>
    <t>A/O or BNR 2-Stage Replace</t>
  </si>
  <si>
    <t>A/O or BNR 2-Stage Retrofit</t>
  </si>
  <si>
    <t>A2O or BNR 3- to 5-Stage Replace</t>
  </si>
  <si>
    <t>A2O or BNR 3- to 5-Stage Retrofit</t>
  </si>
  <si>
    <t>Notes</t>
  </si>
  <si>
    <t>% of Total Cost Attributed to Upgrade</t>
  </si>
  <si>
    <t>Estimated Upgrade Cost</t>
  </si>
  <si>
    <t>Average Flow as a % of Design Flow</t>
  </si>
  <si>
    <t>O&amp;M Cost Components--BNR Upgrade Only</t>
  </si>
  <si>
    <t>Modeled-Ohio 2022</t>
  </si>
  <si>
    <t>Interpolated-Ohio 2022</t>
  </si>
  <si>
    <t>Facility-Supplied Pre-Project Annual O&amp;M Cost (2023$, MN)</t>
  </si>
  <si>
    <t>Facility-Supplied Post-Project Annual O&amp;M Cost (2023$, MN)</t>
  </si>
  <si>
    <t>Facility-Supplied Estimated Capital Cost of Upgrade</t>
  </si>
  <si>
    <r>
      <t xml:space="preserve">Facility-Supplied Estimated Capital Cost Year
</t>
    </r>
    <r>
      <rPr>
        <b/>
        <i/>
        <sz val="10"/>
        <color theme="1"/>
        <rFont val="Calibri"/>
        <family val="2"/>
      </rPr>
      <t>(select from dropdown)</t>
    </r>
  </si>
  <si>
    <t>Estimated Capital Cost of Nutrient Removal Project from Facility-Supplied Costs
(2023$, MN)</t>
  </si>
  <si>
    <t>Estimated Annualized Capital Cost of Nutrient Removal Project from Facility-Supplied Costs
(2023$, MN)</t>
  </si>
  <si>
    <t>Percent of Facility-Supplied Estimated Upgrade Capital Cost Attributed to Nutrient Removal Project</t>
  </si>
  <si>
    <t>Estimated Capital Cost of Nutrient Removal Project</t>
  </si>
  <si>
    <t>Estimated Capital Cost of Nutrient Removal Project from Modeled Costs
(2023$, MN)</t>
  </si>
  <si>
    <t>Estimated Annualized Capital Cost of Nutrient Removal Project from Modeled Costs
(2023$, MN)</t>
  </si>
  <si>
    <t xml:space="preserve">Facility-Supplied O&amp;M Cost Attributed to Nutrient Removal Project </t>
  </si>
  <si>
    <t>Facility-Supplied  Annual O&amp;M Cost for Nutrient Removal Project (2023$, MN)</t>
  </si>
  <si>
    <r>
      <t xml:space="preserve">Facility-Supplied O&amp;M Cost Year
</t>
    </r>
    <r>
      <rPr>
        <b/>
        <i/>
        <sz val="10"/>
        <color theme="1"/>
        <rFont val="Calibri"/>
        <family val="2"/>
      </rPr>
      <t>(select from dropdown)</t>
    </r>
  </si>
  <si>
    <t>Facility-Supplied Pre-Upgrade O&amp;M Cost</t>
  </si>
  <si>
    <t>Facility-Supplied Post-Upgrade Annual O&amp;M Cost</t>
  </si>
  <si>
    <r>
      <t>Facility-Supplied
Pre-Upgrade O&amp;M Cost Year
(</t>
    </r>
    <r>
      <rPr>
        <b/>
        <i/>
        <sz val="10"/>
        <color theme="1"/>
        <rFont val="Calibri"/>
        <family val="2"/>
      </rPr>
      <t>select from dropdown</t>
    </r>
    <r>
      <rPr>
        <b/>
        <sz val="11"/>
        <color theme="1"/>
        <rFont val="Calibri"/>
        <family val="2"/>
      </rPr>
      <t>)</t>
    </r>
  </si>
  <si>
    <r>
      <t>Facility-Supplied
Post-Upgrade O&amp;M Cost Year
(</t>
    </r>
    <r>
      <rPr>
        <b/>
        <i/>
        <sz val="10"/>
        <color theme="1"/>
        <rFont val="Calibri"/>
        <family val="2"/>
      </rPr>
      <t>select from dropdown</t>
    </r>
    <r>
      <rPr>
        <b/>
        <sz val="11"/>
        <color theme="1"/>
        <rFont val="Calibri"/>
        <family val="2"/>
      </rPr>
      <t>)</t>
    </r>
  </si>
  <si>
    <t>Percent of Upgrade O&amp;M Cost Attributed to Nutrient Removal Project</t>
  </si>
  <si>
    <t>Model-Estimated Nutrient Removal Project O&amp;M Cost</t>
  </si>
  <si>
    <t>Model Estimated Annual O&amp;M Cost for Nutrient Removal Project (2023$, MN)</t>
  </si>
  <si>
    <t>Total Estimated Capital Cost of Treatment System</t>
  </si>
  <si>
    <t>Capital Cost</t>
  </si>
  <si>
    <t>Modeled Ohio-2022</t>
  </si>
  <si>
    <t>Estimated O&amp;M Cost</t>
  </si>
  <si>
    <t>Estimated Annual Cost/lb
TN (as N) Removed
Based on Design Flow</t>
  </si>
  <si>
    <t>Annual TN (as N) Removed (lbs.) as a Result of Nutrient Removal Project Based on Design Flow</t>
  </si>
  <si>
    <t>Annual TN (as N) Removed (lbs.) as a Result of Nutrient Removal Project Based on Average Flow</t>
  </si>
  <si>
    <t>Estimated Annual Cost/lb
TN (as N) Removed
Based on Average Flow</t>
  </si>
  <si>
    <t>IL0028053</t>
  </si>
  <si>
    <t>Stickney WRP</t>
  </si>
  <si>
    <t>Conventional Activated Sludge with EBPR</t>
  </si>
  <si>
    <t>Estimated Annualized Capital Cost</t>
  </si>
  <si>
    <t>Post-project O&amp;M cost based on estimate from facility; pre-project O&amp;M cost and % of upgrade O&amp;M cost attributed to nutrient removal project based on estimates from CapdetWorks</t>
  </si>
  <si>
    <t>MN0020567</t>
  </si>
  <si>
    <t>Monticello WWTP</t>
  </si>
  <si>
    <t>Total capital cost of upgrades provided by facility; percent of capital cost attributed to nutrient removal project estimated based on conservative estimate from CapdetWorks model</t>
  </si>
  <si>
    <t>6/2020 - 8/2024</t>
  </si>
  <si>
    <t>Average Daily Effluent TN (as N) Loading Post-Project</t>
  </si>
  <si>
    <t>Average lbs/day
TN (as N) Removed Post-Project</t>
  </si>
  <si>
    <t>Average Annual 
TN (as N) Removed
(lbs) Post-Project</t>
  </si>
  <si>
    <t>Average lbs/day TN (as N) Removed Pre- Project</t>
  </si>
  <si>
    <t>Average Annual TN (as N) Removed Pre- Project (lbs) Pre-Project</t>
  </si>
  <si>
    <t>Average Annual TN (as N) Removed as a Result of Nutrient Removal Project based on Actual Flow</t>
  </si>
  <si>
    <t>Average lbs/day TN (as N) Removed Pre-Project</t>
  </si>
  <si>
    <t>Average Annual TN (as N) Removed as a Result of Nutrient Removal Project based on Design Flow</t>
  </si>
  <si>
    <t>Assumed "BNR 2-Stage Replace" based on reported construction of new aeration basins; some basins converted to anoxic basins; 100% of capital cost attributed to nutrient removal; no O&amp;M cost reported by facility</t>
  </si>
  <si>
    <t>Assumed "BNR 2-Stage Replace" based on reported addition of tanks; entire capital cost of upgrade reported by facility is attributed to nutrient removal; no O&amp;M cost reported by facility</t>
  </si>
  <si>
    <t>Capital cost reported by facility for BNR and additional secondary clarifiers; 100% of this cost attributed to nutrient removal</t>
  </si>
  <si>
    <t>Assumed "BNR 3- to 5-Stage Retrofit" based on report of modifications made to existing plant; capital cost reported by facility for BNR and additional secondary clarifiers; 100% of this cost attributed to nutrient removal; no O&amp;M cost reported by facility</t>
  </si>
  <si>
    <t>Negative O&amp;M cost based on reported energy cost savings (before and after installation of new equipment)</t>
  </si>
  <si>
    <t>No major infrastructure changes; addition of mixers, DO probe, and SCADA; negative O&amp;M cost based on reported energy cost savings (before and after installation of new equipment)</t>
  </si>
  <si>
    <t>No O&amp;M cost information provided by facility</t>
  </si>
  <si>
    <t>Capital cost provided by facility for upgrade of existing activated sludge system to BNR and addition of new BNR treatment units</t>
  </si>
  <si>
    <t>Assumed BNR 3- to 5-stage replace; capital cost provided by facility for upgrade of existing activated sludge system to BNR and addition of new BNR treatment units; no O&amp;M cost information provided by facility</t>
  </si>
  <si>
    <t>No major infrastructure changes; addition of mixers, DO probe, and SCADA only; cost provided by facility</t>
  </si>
  <si>
    <t>Capital cost provided by facility for conversion of Modified UCT to Johannesburg and for expansion of faclity capacity (characterized here as BNR 3- to 5-stage retrofit; assumed no additional O&amp;M cost based on facility estimate</t>
  </si>
  <si>
    <t>There were no infrastructure changes at the facility; the faciltiy has been able to achieve consistently greater nutrient removal through reprogramming the SCADA system to cycle air in and off in the tanks and selectively bypassing the gravity clarifier to increase carbon to the tanks</t>
  </si>
  <si>
    <t>The facility reports no change in O&amp;M costs after operational changes to improve nutrient removal</t>
  </si>
  <si>
    <t>MN0055361</t>
  </si>
  <si>
    <t>Plainview Township WWTP</t>
  </si>
  <si>
    <t>12/2022 - 8/2024</t>
  </si>
  <si>
    <t>Capital cost reported by facility for biological phosphorus removal upgrade; conservatively assumed that 100% of the reported capital cost is for nitrogen removal</t>
  </si>
  <si>
    <t>Assumed BNR 3- to 5-stage replace based on description; conservatively assumed 100% of upgrade capital cost attributed to nutrient removal; no O&amp;M cost reported</t>
  </si>
  <si>
    <t>Assumes no additional O&amp;M cost savings at design flow</t>
  </si>
  <si>
    <t>MT0020435</t>
  </si>
  <si>
    <t>Livingston WRF</t>
  </si>
  <si>
    <t>MT0022568</t>
  </si>
  <si>
    <t>Billings WRF</t>
  </si>
  <si>
    <t>Complete Mix Activated Sludge</t>
  </si>
  <si>
    <t>7/2018 - 8/2024</t>
  </si>
  <si>
    <t>7/2014 - 6/2018</t>
  </si>
  <si>
    <t>MT0022608</t>
  </si>
  <si>
    <t>Bozeman WRF</t>
  </si>
  <si>
    <t>7/2014 - 7/2024</t>
  </si>
  <si>
    <t>Estimated total annual cost and annual cost/lb TN (as N) removed is based on both the 2007 and 2012 upgrades.</t>
  </si>
  <si>
    <t>Capital cost reported by facilty for upgrades based on a need to increase basin volume; assumed that 70% of the upgrade capital cost is attributed to nutrient removal (somewhat conservative estimate based on comparison to model).</t>
  </si>
  <si>
    <t>Capital cost provided by facility for upgrade and expansion of existing plant; conservatively assuming 50% of the capital cost attributed to nutrient removal technology upgrade.</t>
  </si>
  <si>
    <t>Upgraded system includes MBR; total capital cost of upgrades provided by facility; percent of capital cost attributed to nutrient removal project estimated based on conservative estimate from CapdetWorks cost model; pre-project O&amp;M cost and % of upgrade O&amp;M cost attributed to nutrient removal project based on estimates from CapdetWorks cost model using post-upgrade O&amp;M cost provided by facility</t>
  </si>
  <si>
    <t>Assumed BNR 3- to 5-stage retrofit based on description; no information on cost or year of upgrade and no O&amp;M cost information provided by facility</t>
  </si>
  <si>
    <t>In addition to 2012 upgrade capital cost, a cost of $54,000,000 was incurred in 2007 to upgrade existing conventional activated sludge system to BNR; this additional cost is included in the unit cost calculations ($/lb TN (as N) removed) but is not shown here; estimated percent of capital cost attributed to upgrade based on approximate percentage of total treatment system cost attributed to nutrient removal treatment technology by CapdetWorks cost model; assumes upgrade of all treatment units to increase capacity and performance and, therefore, only a percentage of total cost attributed to nutrient removal</t>
  </si>
  <si>
    <t xml:space="preserve">Assume BNR 3- to 5-Stage replace based on a combination of 2007 upgrades to conventional activated sludge system to BNR in 2007 and addition of new 5-stage Bardenpho reactor in 2012; pre-2007 annual average reported by facility was 17.8 mg/L TN; post-2007/pre-2012 upgrade annual average reported by facility was 10.5 mg/L; estimated percent of capital cost attributed to upgrade based on approximate percentage of total treatment system cost attributed to nutrient removal treatment technology by cost model; assumes upgrade of all treatment units to increase capacity and performance and, therefore, only a percentage of total capital cost attributed to nutrient removal; no O&amp;M cost provided by facility </t>
  </si>
  <si>
    <t>Assume BNR 3- to 5-stage replace; upgrade included both retrofitting and building new infrastructure; construction began in 2017; estimated pre- and post-project dates based on assumed construction time and break in effluent concentration data; no O&amp;M cost provided by the facility</t>
  </si>
  <si>
    <r>
      <t xml:space="preserve">Upgraded Treatment System Type and Retrofit or Replace for Cost Estimation Purposes
</t>
    </r>
    <r>
      <rPr>
        <b/>
        <i/>
        <sz val="11"/>
        <color theme="1"/>
        <rFont val="Calibri"/>
        <family val="2"/>
      </rPr>
      <t>(select from dropdown)</t>
    </r>
  </si>
  <si>
    <t>Rotating biological contactor</t>
  </si>
  <si>
    <t>8/2019 - 8/2024</t>
  </si>
  <si>
    <t>7/2014 - 10/2018</t>
  </si>
  <si>
    <t xml:space="preserve">Total capital cost of upgrades provided by facility; percent of capital cost attributed to nutrient removal project estimated based on conservative estimate from CapdetWorks model </t>
  </si>
  <si>
    <t>O&amp;M cost estimate consistent with facility estimate of $1 million total O&amp;M cost and CapdetWorks cost model estimate of 3.75% of the total O&amp;M cost attributable to the nutrient removal technology</t>
  </si>
  <si>
    <t>MT0020079</t>
  </si>
  <si>
    <t>Conrad WWTF</t>
  </si>
  <si>
    <t>Lagoons</t>
  </si>
  <si>
    <t>9/2014 - 8/2024</t>
  </si>
  <si>
    <t>No O&amp;M cost information provided by the facility; O&amp;M cost estimate at design flow of 0.5 MGD, which is the lowest cost used in the model</t>
  </si>
  <si>
    <t>O&amp;M cost estimate calculated at design flow of 0.5 MGD, which is the lowest cost used in the model; therefore there was no adjustment of O&amp;M cost when estimating the unit cost at design flow</t>
  </si>
  <si>
    <t>O&amp;M cost estimate calculated at design flow of 0.5 MGD, which is the lowest cost used in the model</t>
  </si>
  <si>
    <t>Total capital cost of upgrade from lagoons to activated sludge provided by facility; percent of capital cost attributed to nutrient removal project estimated as 25% of total cost</t>
  </si>
  <si>
    <t>Kasson WWTP</t>
  </si>
  <si>
    <t>MN0050725</t>
  </si>
  <si>
    <t>3/2018 - 8/2024</t>
  </si>
  <si>
    <t>Facility was upgraded in 2015 to regionalize wastewater treatment and serve Kasson and Mantorville. An aging oxidation ditch aerator was replaced and nutrient removal was enhanced by adding an MLSS recycle loop and upgrading system controls and instrumentation. No capital cost information was provided by the facility; cost estimates based on model estimates for adding 2-Stage BNR. Facility indicates that 2015 upgrades were estimated to save $17,000 in annual electricity costs.</t>
  </si>
  <si>
    <t>WI0020478</t>
  </si>
  <si>
    <t>City of Sun Prairie WWTP</t>
  </si>
  <si>
    <t>11/2018 - 6/2024</t>
  </si>
  <si>
    <t>Effluent TN concentration data in DMRs are quarterly maximums, which would overestimate monthly average concentrations; few details on upgrade and no capital or O&amp;M cost information; assumed 2-Stage BNR retrofit for biological phosphorus removal</t>
  </si>
  <si>
    <t>MN0020117</t>
  </si>
  <si>
    <t>Central Iron Range Sanitary District WWTF</t>
  </si>
  <si>
    <t>2/2022 - 8/2024</t>
  </si>
  <si>
    <t>Assumed reported average dry weather flow of 2.5 MGD is the design flow; average monthly flow reported in DMRs = 0.8 MGD; assumed upgrade can be categorized as BNR 2-stage replace based on upgrade to SBRs; no capital or O&amp;M cost provided by facility</t>
  </si>
  <si>
    <t>PA0080314</t>
  </si>
  <si>
    <t>Hampden Township WWTP</t>
  </si>
  <si>
    <t>2010 upgrade consisted of addition of a process control system to monitor DO and nitrate; all available TN data are from after 2010; no capital or O&amp;M cost provided by facility; assumed no cost attributed to nutrient removal (potentially O&amp;M savings)</t>
  </si>
  <si>
    <t>MA0100153</t>
  </si>
  <si>
    <t>Town of Lee WWTF</t>
  </si>
  <si>
    <t>7/2014 - 3/2023</t>
  </si>
  <si>
    <t>Activated Sludge-Oxidation Ditch; Optimized through mixers, DO probe, and SCADA [Nitrogen]</t>
  </si>
  <si>
    <t>BNR [Total Nitrogen]</t>
  </si>
  <si>
    <t>Membrane Bioreactor with Bio-P [Phosphorus]</t>
  </si>
  <si>
    <t>Biological Phosphorus Removal [Phosphorus]</t>
  </si>
  <si>
    <t>Full Nitrification and BNR [Phosphorus, Nitrogen]</t>
  </si>
  <si>
    <t>Modified Johannesburg BNR [Phosphorus, Nitrogen]</t>
  </si>
  <si>
    <t>BNR [Phosphorus, Nitrogen]</t>
  </si>
  <si>
    <t>Cycling Air and Adding Internal Carbon Source [Phosphorus, Nitrogen]</t>
  </si>
  <si>
    <t>Sequencing Batch Reactors [Phosphorus, Nitrogen]</t>
  </si>
  <si>
    <t>Activated sludge with Biological Phosphorus Removal [Phosphorus]</t>
  </si>
  <si>
    <t>Continuously Sequencing Reactor</t>
  </si>
  <si>
    <t>Added Process Control System [Nitrogen]</t>
  </si>
  <si>
    <t>Design flow estimated based on actual average flow (average flow = 80% of design flow); assumed upgrade can be categorized as BNR 3- 5-stage replace based on replacement of RBCs with SBRs for phosphorus and nitrogen removal; total capital cost of upgrades provided by facility; percent of capital cost attributed to nutrient removal project estimated based on conservative estimate from CapdetWorks model; O&amp;M cost estimate consistent with facility estimate of $1 million total O&amp;M cost and CapdetWorks cost model estimate of 3.75% of the total O&amp;M cost attributable to the nutrient removal technology</t>
  </si>
  <si>
    <t>Sequencing Batch Reactors [Phosphorus]</t>
  </si>
  <si>
    <t>Extended Aeration Activated Sludge [Phosphorus]</t>
  </si>
  <si>
    <t>Assumed 2-Stage BNR replace based on description of upgrade from lagoons to extended aeration activated sludge. Total capital cost of upgrade from lagoons to activated sludge provided by facility; percent of capital cost attributed to nutrient removal project estimated as 25% of total cost; no O&amp;M cost information provided by the facility.O&amp;M cost estimate at design flow of 0.5 MGD, which is the lowest cost used in the model</t>
  </si>
  <si>
    <t>Extended Aeration Activated Sludge/BNR [Phosphorus]</t>
  </si>
  <si>
    <t>Assumed upgrade can be categorized as BNR 3- 5-stage replace based on replacement of conventional activated sludge with SBRs for phosphorus and nitrogen removal; total capital cost of upgrades provided by facility; percent of capital cost attributed to nutrient removal project estimated based on estimate from CapdetWorks model; no O&amp;M cost provided by facility</t>
  </si>
  <si>
    <t>Total capital cost of upgrades provided by facility; percent of capital cost attributed to nutrient removal project estimated based on estimate from CapdetWorks</t>
  </si>
  <si>
    <t>No capital cost provided by facility; assumed no cost attributed to nutrient removal</t>
  </si>
  <si>
    <t>No O&amp;M cost provided by facility; assumed no cost attributed to nutrient removal (potentially O&amp;M savings)</t>
  </si>
  <si>
    <t>Ostara Phosphorus Recovery [Phosphorus]</t>
  </si>
  <si>
    <t>1/2019 - 7/2024</t>
  </si>
  <si>
    <t>7/2014 - 12/2018</t>
  </si>
  <si>
    <t>Plant appears to be optimized for phosphorus removal/recovery; effluent TN concentrations have increased since the nutrient recovery technology was brought online in 2019; however, concentrations remain below 10 mg/L</t>
  </si>
  <si>
    <t>Effluent TN concentration has increased since phosphorus recovery technology brought online in 2019</t>
  </si>
  <si>
    <t>Facility-supplied O&amp;M cost; not clear how much is attributable to the phosphorus recovery system</t>
  </si>
  <si>
    <t>Facility-supplied capital cost for the Ostara phosphorus recovery system</t>
  </si>
  <si>
    <t>Total capital cost of upgrades provided by facility; conservatively assumed that 100% of upgrade cost reported by facility attributed to nutrient removal</t>
  </si>
  <si>
    <t>No capital cost information provided by the facility; estimated cost based on modeled cost to upgrade by addition of BNR 2-Stage</t>
  </si>
  <si>
    <t>No capital cost information provided by the facility. Estimated cost based on modeled cost to upgrade by retrofit to BNR 2-Stage</t>
  </si>
  <si>
    <t>No capital cost information provided by the facility. Estimated cost based on modeled cost to upgrade by replacing with BNR 2-Stage</t>
  </si>
  <si>
    <t>No information on cost or year of upgrade provided; estimated cost based on modeled cost to upgrade by BNR 3- 5-Stage retrofit</t>
  </si>
  <si>
    <t>Facility reports no significant change in O&amp;M cost following upgrade; assume no O&amp;M cost due to change in nutrient removal technology</t>
  </si>
  <si>
    <t>No O&amp;M cost information provided by the facility; facility indicates that 2015 upgrades were estimated to save $17,000 in annual electricity costs.</t>
  </si>
  <si>
    <t>No O&amp;M cost information provided by the facility</t>
  </si>
  <si>
    <t>Assumed no cost attributed to nutrient removal (potentially O&amp;M savings)</t>
  </si>
  <si>
    <t>Model-Estimated O&amp;M Cost Year</t>
  </si>
  <si>
    <t>Model-Estimated Capital Cost Year</t>
  </si>
  <si>
    <t>Percent of capital cost attributed to nutrient removal project estimated based on conservative estimate from CapdetWorks cost model</t>
  </si>
  <si>
    <t>Assumed BNR 2-stage retrofit based on description of modification to biological phosphorus removal; minimum capital costs and no O&amp;M cost provided by the facility; dry weather average flow of 1.92 MGD reported in project fact sheet is significantly greater than average monthly flow reported in DMRs</t>
  </si>
  <si>
    <t>Estimated Total Annual Cost Attributed to TN Removal (2023$, MN)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</si>
</sst>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164" formatCode="&quot;$&quot;#,##0.00"/>
    <numFmt numFmtId="165" formatCode="&quot;$&quot;#,##0"/>
    <numFmt numFmtId="166" formatCode="0.0000"/>
    <numFmt numFmtId="167" formatCode="0.0"/>
  </numFmts>
  <fonts count="20" x14ac:knownFonts="1">
    <font>
      <sz val="11"/>
      <color theme="1"/>
      <name val="Calibri"/>
      <family val="2"/>
    </font>
    <font>
      <b/>
      <sz val="11"/>
      <color theme="1"/>
      <name val="Calibri"/>
      <family val="2"/>
    </font>
    <font>
      <b/>
      <i/>
      <sz val="10"/>
      <color theme="1"/>
      <name val="Calibri"/>
      <family val="2"/>
    </font>
    <font>
      <b/>
      <i/>
      <sz val="11"/>
      <color theme="1"/>
      <name val="Calibri"/>
      <family val="2"/>
    </font>
    <font>
      <sz val="10"/>
      <color theme="1"/>
      <name val="Calibri"/>
      <family val="2"/>
    </font>
    <font>
      <sz val="11"/>
      <color theme="3" tint="0.499984740745262"/>
      <name val="Calibri"/>
      <family val="2"/>
    </font>
    <font>
      <b/>
      <sz val="11"/>
      <color theme="3" tint="0.499984740745262"/>
      <name val="Calibri"/>
      <family val="2"/>
    </font>
    <font>
      <b/>
      <sz val="10"/>
      <color theme="3" tint="0.499984740745262"/>
      <name val="Calibri"/>
      <family val="2"/>
    </font>
    <font>
      <b/>
      <sz val="10"/>
      <name val="Calibri"/>
      <family val="2"/>
    </font>
    <font>
      <b/>
      <sz val="11"/>
      <color rgb="FFC00000"/>
      <name val="Calibri"/>
      <family val="2"/>
    </font>
    <font>
      <b/>
      <sz val="12"/>
      <color theme="1"/>
      <name val="Calibri"/>
      <family val="2"/>
    </font>
    <font>
      <b/>
      <u/>
      <sz val="11"/>
      <color rgb="FFC00000"/>
      <name val="Calibri"/>
      <family val="2"/>
    </font>
    <font>
      <sz val="11"/>
      <color rgb="FFFF0000"/>
      <name val="Calibri"/>
      <family val="2"/>
    </font>
    <font>
      <b/>
      <sz val="11"/>
      <color theme="3" tint="0.249977111117893"/>
      <name val="Calibri"/>
      <family val="2"/>
    </font>
    <font>
      <b/>
      <i/>
      <sz val="10"/>
      <name val="Calibri"/>
      <family val="2"/>
    </font>
    <font>
      <sz val="10"/>
      <name val="Calibri"/>
      <family val="2"/>
    </font>
    <font>
      <sz val="11"/>
      <color rgb="FFC00000"/>
      <name val="Calibri"/>
      <family val="2"/>
    </font>
    <font>
      <sz val="11"/>
      <color theme="3" tint="0.249977111117893"/>
      <name val="Calibri"/>
      <family val="2"/>
    </font>
    <font>
      <sz val="11"/>
      <name val="Calibri"/>
      <family val="2"/>
    </font>
    <font>
      <b/>
      <sz val="11"/>
      <name val="Calibri"/>
      <family val="2"/>
    </font>
  </fonts>
  <fills count="17">
    <fill>
      <patternFill patternType="none"/>
    </fill>
    <fill>
      <patternFill patternType="gray125"/>
    </fill>
    <fill>
      <patternFill patternType="solid">
        <fgColor theme="5" tint="0.79998168889431442"/>
        <bgColor indexed="64"/>
      </patternFill>
    </fill>
    <fill>
      <patternFill patternType="solid">
        <fgColor theme="3" tint="0.89999084444715716"/>
        <bgColor indexed="64"/>
      </patternFill>
    </fill>
    <fill>
      <patternFill patternType="solid">
        <fgColor theme="6" tint="0.79998168889431442"/>
        <bgColor indexed="64"/>
      </patternFill>
    </fill>
    <fill>
      <patternFill patternType="solid">
        <fgColor theme="2" tint="-0.249977111117893"/>
        <bgColor indexed="64"/>
      </patternFill>
    </fill>
    <fill>
      <patternFill patternType="solid">
        <fgColor rgb="FFEB7D7D"/>
        <bgColor indexed="64"/>
      </patternFill>
    </fill>
    <fill>
      <patternFill patternType="solid">
        <fgColor rgb="FFFBF9B9"/>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7" tint="-0.249977111117893"/>
        <bgColor indexed="64"/>
      </patternFill>
    </fill>
    <fill>
      <patternFill patternType="solid">
        <fgColor rgb="FFF9D7D7"/>
        <bgColor indexed="64"/>
      </patternFill>
    </fill>
  </fills>
  <borders count="35">
    <border>
      <left/>
      <right/>
      <top/>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style="thin">
        <color auto="1"/>
      </right>
      <top style="thick">
        <color auto="1"/>
      </top>
      <bottom/>
      <diagonal/>
    </border>
    <border>
      <left style="thin">
        <color auto="1"/>
      </left>
      <right style="thin">
        <color auto="1"/>
      </right>
      <top style="thick">
        <color auto="1"/>
      </top>
      <bottom/>
      <diagonal/>
    </border>
    <border>
      <left style="thin">
        <color auto="1"/>
      </left>
      <right/>
      <top style="thick">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ck">
        <color auto="1"/>
      </top>
      <bottom style="thick">
        <color auto="1"/>
      </bottom>
      <diagonal/>
    </border>
    <border>
      <left style="thin">
        <color auto="1"/>
      </left>
      <right style="thick">
        <color auto="1"/>
      </right>
      <top style="thick">
        <color auto="1"/>
      </top>
      <bottom style="thick">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n">
        <color auto="1"/>
      </left>
      <right style="thin">
        <color auto="1"/>
      </right>
      <top/>
      <bottom/>
      <diagonal/>
    </border>
    <border>
      <left style="thick">
        <color auto="1"/>
      </left>
      <right style="thick">
        <color auto="1"/>
      </right>
      <top style="thick">
        <color auto="1"/>
      </top>
      <bottom style="thin">
        <color auto="1"/>
      </bottom>
      <diagonal/>
    </border>
    <border>
      <left style="thick">
        <color auto="1"/>
      </left>
      <right style="thick">
        <color auto="1"/>
      </right>
      <top style="thin">
        <color auto="1"/>
      </top>
      <bottom style="thin">
        <color auto="1"/>
      </bottom>
      <diagonal/>
    </border>
    <border>
      <left style="thick">
        <color auto="1"/>
      </left>
      <right style="thick">
        <color auto="1"/>
      </right>
      <top style="thin">
        <color auto="1"/>
      </top>
      <bottom style="thick">
        <color auto="1"/>
      </bottom>
      <diagonal/>
    </border>
    <border>
      <left style="thick">
        <color auto="1"/>
      </left>
      <right style="thin">
        <color auto="1"/>
      </right>
      <top style="thick">
        <color auto="1"/>
      </top>
      <bottom style="thick">
        <color auto="1"/>
      </bottom>
      <diagonal/>
    </border>
    <border>
      <left style="thick">
        <color auto="1"/>
      </left>
      <right style="thick">
        <color auto="1"/>
      </right>
      <top style="thick">
        <color auto="1"/>
      </top>
      <bottom style="thick">
        <color auto="1"/>
      </bottom>
      <diagonal/>
    </border>
    <border>
      <left style="thin">
        <color auto="1"/>
      </left>
      <right/>
      <top style="thin">
        <color auto="1"/>
      </top>
      <bottom style="thick">
        <color auto="1"/>
      </bottom>
      <diagonal/>
    </border>
    <border>
      <left style="thin">
        <color auto="1"/>
      </left>
      <right/>
      <top style="thick">
        <color auto="1"/>
      </top>
      <bottom/>
      <diagonal/>
    </border>
    <border>
      <left style="thick">
        <color auto="1"/>
      </left>
      <right style="thick">
        <color auto="1"/>
      </right>
      <top/>
      <bottom style="thin">
        <color auto="1"/>
      </bottom>
      <diagonal/>
    </border>
    <border>
      <left/>
      <right/>
      <top style="thin">
        <color auto="1"/>
      </top>
      <bottom style="thin">
        <color auto="1"/>
      </bottom>
      <diagonal/>
    </border>
    <border>
      <left/>
      <right/>
      <top/>
      <bottom style="thin">
        <color auto="1"/>
      </bottom>
      <diagonal/>
    </border>
  </borders>
  <cellStyleXfs count="1">
    <xf numFmtId="0" fontId="0" fillId="0" borderId="0"/>
  </cellStyleXfs>
  <cellXfs count="223">
    <xf numFmtId="0" fontId="0" fillId="0" borderId="0" xfId="0"/>
    <xf numFmtId="0" fontId="0" fillId="0" borderId="0" xfId="0" applyAlignment="1">
      <alignment wrapText="1"/>
    </xf>
    <xf numFmtId="0" fontId="1" fillId="0" borderId="0" xfId="0" applyFont="1"/>
    <xf numFmtId="0" fontId="1" fillId="0" borderId="0" xfId="0" applyFont="1" applyAlignment="1">
      <alignment wrapText="1"/>
    </xf>
    <xf numFmtId="0" fontId="0" fillId="0" borderId="0" xfId="0" applyAlignment="1">
      <alignment horizontal="right"/>
    </xf>
    <xf numFmtId="0" fontId="0" fillId="5" borderId="0" xfId="0" applyFill="1"/>
    <xf numFmtId="0" fontId="0" fillId="3" borderId="0" xfId="0" applyFill="1"/>
    <xf numFmtId="0" fontId="4" fillId="0" borderId="0" xfId="0" applyFont="1" applyAlignment="1">
      <alignment horizontal="left" vertical="center" wrapText="1"/>
    </xf>
    <xf numFmtId="0" fontId="4" fillId="0" borderId="0" xfId="0" applyFont="1" applyAlignment="1">
      <alignment wrapText="1"/>
    </xf>
    <xf numFmtId="2" fontId="5" fillId="0" borderId="0" xfId="0" applyNumberFormat="1" applyFont="1" applyAlignment="1">
      <alignment wrapText="1"/>
    </xf>
    <xf numFmtId="2" fontId="5" fillId="0" borderId="0" xfId="0" applyNumberFormat="1" applyFont="1"/>
    <xf numFmtId="164" fontId="0" fillId="0" borderId="0" xfId="0" applyNumberFormat="1"/>
    <xf numFmtId="165" fontId="0" fillId="0" borderId="0" xfId="0" applyNumberFormat="1"/>
    <xf numFmtId="0" fontId="1" fillId="0" borderId="0" xfId="0" applyFont="1" applyAlignment="1">
      <alignment horizontal="center" vertical="center"/>
    </xf>
    <xf numFmtId="0" fontId="1" fillId="0" borderId="0" xfId="0" applyFont="1" applyAlignment="1">
      <alignment horizontal="center"/>
    </xf>
    <xf numFmtId="0" fontId="5" fillId="0" borderId="0" xfId="0" applyFont="1" applyAlignment="1">
      <alignment wrapText="1"/>
    </xf>
    <xf numFmtId="0" fontId="5" fillId="0" borderId="0" xfId="0" applyFont="1"/>
    <xf numFmtId="0" fontId="6" fillId="0" borderId="0" xfId="0" applyFont="1" applyAlignment="1">
      <alignment wrapText="1"/>
    </xf>
    <xf numFmtId="0" fontId="7" fillId="0" borderId="0" xfId="0" applyFont="1" applyAlignment="1">
      <alignment wrapText="1"/>
    </xf>
    <xf numFmtId="0" fontId="8" fillId="0" borderId="0" xfId="0" applyFont="1" applyAlignment="1">
      <alignment wrapText="1"/>
    </xf>
    <xf numFmtId="10" fontId="0" fillId="0" borderId="0" xfId="0" applyNumberFormat="1"/>
    <xf numFmtId="0" fontId="9" fillId="0" borderId="0" xfId="0" applyFont="1" applyAlignment="1">
      <alignment wrapText="1"/>
    </xf>
    <xf numFmtId="0" fontId="8" fillId="3" borderId="21" xfId="0" applyFont="1" applyFill="1" applyBorder="1"/>
    <xf numFmtId="0" fontId="8" fillId="3" borderId="22" xfId="0" applyFont="1" applyFill="1" applyBorder="1"/>
    <xf numFmtId="0" fontId="8" fillId="3" borderId="23" xfId="0" applyFont="1" applyFill="1" applyBorder="1"/>
    <xf numFmtId="10" fontId="9" fillId="0" borderId="0" xfId="0" applyNumberFormat="1" applyFont="1"/>
    <xf numFmtId="0" fontId="9" fillId="0" borderId="0" xfId="0" applyFont="1" applyAlignment="1">
      <alignment horizontal="left" vertical="center" wrapText="1"/>
    </xf>
    <xf numFmtId="0" fontId="0" fillId="0" borderId="0" xfId="0" applyAlignment="1">
      <alignment horizontal="left" vertical="center" wrapText="1"/>
    </xf>
    <xf numFmtId="166" fontId="0" fillId="0" borderId="0" xfId="0" applyNumberFormat="1"/>
    <xf numFmtId="2" fontId="6" fillId="0" borderId="0" xfId="0" applyNumberFormat="1" applyFont="1"/>
    <xf numFmtId="0" fontId="6" fillId="0" borderId="0" xfId="0" applyFont="1"/>
    <xf numFmtId="0" fontId="12" fillId="0" borderId="0" xfId="0" applyFont="1"/>
    <xf numFmtId="0" fontId="1" fillId="11" borderId="11" xfId="0" applyFont="1" applyFill="1" applyBorder="1" applyAlignment="1">
      <alignment horizontal="center" vertical="center" wrapText="1"/>
    </xf>
    <xf numFmtId="0" fontId="0" fillId="11" borderId="2" xfId="0" applyFill="1" applyBorder="1"/>
    <xf numFmtId="0" fontId="0" fillId="11" borderId="5" xfId="0" applyFill="1" applyBorder="1"/>
    <xf numFmtId="0" fontId="0" fillId="11" borderId="8" xfId="0" applyFill="1" applyBorder="1"/>
    <xf numFmtId="0" fontId="13" fillId="0" borderId="0" xfId="0" applyFont="1"/>
    <xf numFmtId="0" fontId="13" fillId="0" borderId="0" xfId="0" applyFont="1" applyAlignment="1">
      <alignment wrapText="1"/>
    </xf>
    <xf numFmtId="0" fontId="13" fillId="0" borderId="0" xfId="0" applyFont="1" applyAlignment="1">
      <alignment horizontal="left" vertical="center" wrapText="1"/>
    </xf>
    <xf numFmtId="0" fontId="14" fillId="0" borderId="0" xfId="0" applyFont="1" applyAlignment="1">
      <alignment horizontal="left" vertical="center" wrapText="1"/>
    </xf>
    <xf numFmtId="9" fontId="0" fillId="0" borderId="16" xfId="0" applyNumberFormat="1" applyBorder="1" applyAlignment="1">
      <alignment horizontal="center"/>
    </xf>
    <xf numFmtId="0" fontId="0" fillId="0" borderId="5" xfId="0" applyBorder="1" applyProtection="1">
      <protection locked="0"/>
    </xf>
    <xf numFmtId="0" fontId="0" fillId="0" borderId="8" xfId="0" applyBorder="1" applyProtection="1">
      <protection locked="0"/>
    </xf>
    <xf numFmtId="0" fontId="1" fillId="3" borderId="10" xfId="0" applyFont="1" applyFill="1" applyBorder="1" applyAlignment="1" applyProtection="1">
      <alignment vertical="center" wrapText="1"/>
      <protection locked="0"/>
    </xf>
    <xf numFmtId="0" fontId="1" fillId="3" borderId="11" xfId="0" applyFont="1" applyFill="1" applyBorder="1" applyAlignment="1" applyProtection="1">
      <alignment horizontal="center" vertical="center" wrapText="1"/>
      <protection locked="0"/>
    </xf>
    <xf numFmtId="0" fontId="1" fillId="3" borderId="11" xfId="0" applyFont="1" applyFill="1" applyBorder="1" applyAlignment="1" applyProtection="1">
      <alignment vertical="center" wrapText="1"/>
      <protection locked="0"/>
    </xf>
    <xf numFmtId="0" fontId="1" fillId="3" borderId="14" xfId="0" applyFont="1" applyFill="1" applyBorder="1" applyAlignment="1" applyProtection="1">
      <alignment horizontal="center" vertical="center" wrapText="1"/>
      <protection locked="0"/>
    </xf>
    <xf numFmtId="0" fontId="1" fillId="8" borderId="14" xfId="0" applyFont="1" applyFill="1" applyBorder="1" applyAlignment="1" applyProtection="1">
      <alignment horizontal="center" vertical="center" wrapText="1"/>
      <protection locked="0"/>
    </xf>
    <xf numFmtId="0" fontId="1" fillId="2" borderId="14" xfId="0" applyFont="1" applyFill="1" applyBorder="1" applyAlignment="1" applyProtection="1">
      <alignment horizontal="center" vertical="center" wrapText="1"/>
      <protection locked="0"/>
    </xf>
    <xf numFmtId="0" fontId="1" fillId="12" borderId="14" xfId="0" applyFont="1" applyFill="1" applyBorder="1" applyAlignment="1" applyProtection="1">
      <alignment horizontal="center" vertical="center" wrapText="1"/>
      <protection locked="0"/>
    </xf>
    <xf numFmtId="0" fontId="1" fillId="7" borderId="14" xfId="0" applyFont="1" applyFill="1" applyBorder="1" applyAlignment="1" applyProtection="1">
      <alignment horizontal="center" vertical="center" wrapText="1"/>
      <protection locked="0"/>
    </xf>
    <xf numFmtId="0" fontId="1" fillId="7" borderId="15" xfId="0" applyFont="1" applyFill="1" applyBorder="1" applyAlignment="1" applyProtection="1">
      <alignment horizontal="center" vertical="center" wrapText="1"/>
      <protection locked="0"/>
    </xf>
    <xf numFmtId="0" fontId="0" fillId="0" borderId="1" xfId="0" applyBorder="1" applyProtection="1">
      <protection locked="0"/>
    </xf>
    <xf numFmtId="0" fontId="0" fillId="0" borderId="2" xfId="0" applyBorder="1" applyProtection="1">
      <protection locked="0"/>
    </xf>
    <xf numFmtId="0" fontId="0" fillId="0" borderId="2" xfId="0" applyBorder="1" applyAlignment="1" applyProtection="1">
      <alignment wrapText="1"/>
      <protection locked="0"/>
    </xf>
    <xf numFmtId="0" fontId="0" fillId="0" borderId="12" xfId="0" applyBorder="1" applyAlignment="1" applyProtection="1">
      <alignment wrapText="1"/>
      <protection locked="0"/>
    </xf>
    <xf numFmtId="0" fontId="0" fillId="0" borderId="2" xfId="0" applyBorder="1" applyAlignment="1" applyProtection="1">
      <alignment horizontal="center"/>
      <protection locked="0"/>
    </xf>
    <xf numFmtId="0" fontId="0" fillId="0" borderId="16" xfId="0" applyBorder="1" applyAlignment="1" applyProtection="1">
      <alignment horizontal="center"/>
      <protection locked="0"/>
    </xf>
    <xf numFmtId="1" fontId="0" fillId="0" borderId="17" xfId="0" applyNumberFormat="1" applyBorder="1" applyAlignment="1" applyProtection="1">
      <alignment horizontal="center"/>
      <protection locked="0"/>
    </xf>
    <xf numFmtId="0" fontId="0" fillId="0" borderId="3" xfId="0" applyBorder="1" applyAlignment="1" applyProtection="1">
      <alignment horizontal="center"/>
      <protection locked="0"/>
    </xf>
    <xf numFmtId="0" fontId="0" fillId="0" borderId="4" xfId="0" applyBorder="1" applyProtection="1">
      <protection locked="0"/>
    </xf>
    <xf numFmtId="0" fontId="0" fillId="0" borderId="5" xfId="0" applyBorder="1" applyAlignment="1" applyProtection="1">
      <alignment wrapText="1"/>
      <protection locked="0"/>
    </xf>
    <xf numFmtId="0" fontId="0" fillId="0" borderId="13" xfId="0" applyBorder="1" applyAlignment="1" applyProtection="1">
      <alignment wrapText="1"/>
      <protection locked="0"/>
    </xf>
    <xf numFmtId="1" fontId="0" fillId="0" borderId="5" xfId="0" applyNumberFormat="1" applyBorder="1" applyAlignment="1" applyProtection="1">
      <alignment horizontal="center"/>
      <protection locked="0"/>
    </xf>
    <xf numFmtId="1" fontId="0" fillId="0" borderId="16" xfId="0" applyNumberFormat="1" applyBorder="1" applyAlignment="1" applyProtection="1">
      <alignment horizontal="center"/>
      <protection locked="0"/>
    </xf>
    <xf numFmtId="0" fontId="0" fillId="0" borderId="7" xfId="0" applyBorder="1" applyProtection="1">
      <protection locked="0"/>
    </xf>
    <xf numFmtId="0" fontId="0" fillId="0" borderId="8" xfId="0" applyBorder="1" applyAlignment="1" applyProtection="1">
      <alignment wrapText="1"/>
      <protection locked="0"/>
    </xf>
    <xf numFmtId="1" fontId="0" fillId="0" borderId="8" xfId="0" applyNumberFormat="1" applyBorder="1" applyAlignment="1" applyProtection="1">
      <alignment horizontal="center"/>
      <protection locked="0"/>
    </xf>
    <xf numFmtId="0" fontId="1" fillId="3" borderId="10" xfId="0" applyFont="1" applyFill="1" applyBorder="1" applyAlignment="1" applyProtection="1">
      <alignment horizontal="left" vertical="center" wrapText="1"/>
      <protection locked="0"/>
    </xf>
    <xf numFmtId="0" fontId="1" fillId="3" borderId="11" xfId="0" applyFont="1" applyFill="1" applyBorder="1" applyAlignment="1" applyProtection="1">
      <alignment horizontal="left" vertical="center"/>
      <protection locked="0"/>
    </xf>
    <xf numFmtId="0" fontId="1" fillId="3" borderId="11" xfId="0" applyFont="1" applyFill="1" applyBorder="1" applyAlignment="1" applyProtection="1">
      <alignment horizontal="left" vertical="center" wrapText="1"/>
      <protection locked="0"/>
    </xf>
    <xf numFmtId="0" fontId="1" fillId="8" borderId="11" xfId="0" applyFont="1" applyFill="1" applyBorder="1" applyAlignment="1" applyProtection="1">
      <alignment horizontal="center" vertical="center" wrapText="1"/>
      <protection locked="0"/>
    </xf>
    <xf numFmtId="0" fontId="1" fillId="2" borderId="11" xfId="0" applyFont="1" applyFill="1" applyBorder="1" applyAlignment="1" applyProtection="1">
      <alignment horizontal="center" vertical="center" wrapText="1"/>
      <protection locked="0"/>
    </xf>
    <xf numFmtId="0" fontId="1" fillId="6" borderId="15" xfId="0" applyFont="1" applyFill="1" applyBorder="1" applyAlignment="1" applyProtection="1">
      <alignment horizontal="center" vertical="center" wrapText="1"/>
      <protection locked="0"/>
    </xf>
    <xf numFmtId="0" fontId="0" fillId="0" borderId="1" xfId="0" applyBorder="1" applyAlignment="1">
      <alignment wrapText="1"/>
    </xf>
    <xf numFmtId="0" fontId="0" fillId="0" borderId="2" xfId="0" applyBorder="1" applyAlignment="1">
      <alignment wrapText="1"/>
    </xf>
    <xf numFmtId="0" fontId="0" fillId="0" borderId="4" xfId="0" applyBorder="1" applyAlignment="1">
      <alignment wrapText="1"/>
    </xf>
    <xf numFmtId="0" fontId="0" fillId="0" borderId="5" xfId="0" applyBorder="1" applyAlignment="1">
      <alignment wrapText="1"/>
    </xf>
    <xf numFmtId="0" fontId="0" fillId="0" borderId="7" xfId="0" applyBorder="1" applyAlignment="1">
      <alignment wrapText="1"/>
    </xf>
    <xf numFmtId="0" fontId="0" fillId="0" borderId="8" xfId="0" applyBorder="1" applyAlignment="1">
      <alignment wrapText="1"/>
    </xf>
    <xf numFmtId="1" fontId="0" fillId="0" borderId="2" xfId="0" applyNumberFormat="1" applyBorder="1" applyAlignment="1">
      <alignment wrapText="1"/>
    </xf>
    <xf numFmtId="1" fontId="0" fillId="0" borderId="5" xfId="0" applyNumberFormat="1" applyBorder="1" applyAlignment="1">
      <alignment wrapText="1"/>
    </xf>
    <xf numFmtId="1" fontId="0" fillId="0" borderId="6" xfId="0" applyNumberFormat="1" applyBorder="1"/>
    <xf numFmtId="1" fontId="0" fillId="0" borderId="8" xfId="0" applyNumberFormat="1" applyBorder="1" applyAlignment="1">
      <alignment wrapText="1"/>
    </xf>
    <xf numFmtId="1" fontId="0" fillId="0" borderId="9" xfId="0" applyNumberFormat="1" applyBorder="1"/>
    <xf numFmtId="0" fontId="1" fillId="3" borderId="1" xfId="0" applyFont="1" applyFill="1" applyBorder="1" applyAlignment="1" applyProtection="1">
      <alignment horizontal="left" vertical="center" wrapText="1"/>
      <protection locked="0"/>
    </xf>
    <xf numFmtId="0" fontId="1" fillId="3" borderId="2" xfId="0" applyFont="1" applyFill="1" applyBorder="1" applyAlignment="1" applyProtection="1">
      <alignment horizontal="left" vertical="center"/>
      <protection locked="0"/>
    </xf>
    <xf numFmtId="0" fontId="1" fillId="9" borderId="11" xfId="0" applyFont="1" applyFill="1" applyBorder="1" applyAlignment="1" applyProtection="1">
      <alignment horizontal="center" vertical="center" wrapText="1"/>
      <protection locked="0"/>
    </xf>
    <xf numFmtId="0" fontId="1" fillId="4" borderId="11" xfId="0" applyFont="1" applyFill="1" applyBorder="1" applyAlignment="1" applyProtection="1">
      <alignment horizontal="center" vertical="center" wrapText="1"/>
      <protection locked="0"/>
    </xf>
    <xf numFmtId="165" fontId="0" fillId="0" borderId="2" xfId="0" applyNumberFormat="1" applyBorder="1"/>
    <xf numFmtId="6" fontId="0" fillId="0" borderId="2" xfId="0" applyNumberFormat="1" applyBorder="1"/>
    <xf numFmtId="165" fontId="0" fillId="0" borderId="5" xfId="0" applyNumberFormat="1" applyBorder="1"/>
    <xf numFmtId="6" fontId="0" fillId="0" borderId="5" xfId="0" applyNumberFormat="1" applyBorder="1"/>
    <xf numFmtId="165" fontId="0" fillId="0" borderId="8" xfId="0" applyNumberFormat="1" applyBorder="1"/>
    <xf numFmtId="6" fontId="0" fillId="0" borderId="8" xfId="0" applyNumberFormat="1" applyBorder="1"/>
    <xf numFmtId="0" fontId="1" fillId="4" borderId="14" xfId="0" applyFont="1" applyFill="1" applyBorder="1" applyAlignment="1" applyProtection="1">
      <alignment horizontal="center" vertical="center" wrapText="1"/>
      <protection locked="0"/>
    </xf>
    <xf numFmtId="0" fontId="1" fillId="4" borderId="15" xfId="0" applyFont="1" applyFill="1" applyBorder="1" applyAlignment="1" applyProtection="1">
      <alignment horizontal="center" vertical="center" wrapText="1"/>
      <protection locked="0"/>
    </xf>
    <xf numFmtId="0" fontId="0" fillId="0" borderId="1" xfId="0" applyBorder="1"/>
    <xf numFmtId="1" fontId="0" fillId="0" borderId="2" xfId="0" applyNumberFormat="1" applyBorder="1"/>
    <xf numFmtId="164" fontId="0" fillId="0" borderId="3" xfId="0" applyNumberFormat="1" applyBorder="1"/>
    <xf numFmtId="0" fontId="0" fillId="0" borderId="4" xfId="0" applyBorder="1"/>
    <xf numFmtId="0" fontId="0" fillId="0" borderId="5" xfId="0" applyBorder="1"/>
    <xf numFmtId="0" fontId="0" fillId="0" borderId="13" xfId="0" applyBorder="1" applyAlignment="1">
      <alignment wrapText="1"/>
    </xf>
    <xf numFmtId="1" fontId="0" fillId="0" borderId="5" xfId="0" applyNumberFormat="1" applyBorder="1"/>
    <xf numFmtId="164" fontId="0" fillId="0" borderId="6" xfId="0" applyNumberFormat="1" applyBorder="1"/>
    <xf numFmtId="0" fontId="0" fillId="0" borderId="7" xfId="0" applyBorder="1"/>
    <xf numFmtId="0" fontId="0" fillId="0" borderId="8" xfId="0" applyBorder="1"/>
    <xf numFmtId="1" fontId="0" fillId="0" borderId="8" xfId="0" applyNumberFormat="1" applyBorder="1"/>
    <xf numFmtId="164" fontId="0" fillId="0" borderId="9" xfId="0" applyNumberFormat="1" applyBorder="1"/>
    <xf numFmtId="0" fontId="15" fillId="0" borderId="0" xfId="0" applyFont="1" applyAlignment="1">
      <alignment horizontal="left" vertical="center" wrapText="1"/>
    </xf>
    <xf numFmtId="0" fontId="0" fillId="0" borderId="5" xfId="0" applyBorder="1" applyAlignment="1" applyProtection="1">
      <alignment horizontal="center"/>
      <protection locked="0"/>
    </xf>
    <xf numFmtId="9" fontId="0" fillId="0" borderId="5" xfId="0" applyNumberFormat="1" applyBorder="1" applyAlignment="1">
      <alignment horizontal="center"/>
    </xf>
    <xf numFmtId="0" fontId="0" fillId="0" borderId="6" xfId="0" applyBorder="1" applyAlignment="1" applyProtection="1">
      <alignment horizontal="center"/>
      <protection locked="0"/>
    </xf>
    <xf numFmtId="0" fontId="0" fillId="0" borderId="8" xfId="0" applyBorder="1" applyAlignment="1" applyProtection="1">
      <alignment horizontal="center"/>
      <protection locked="0"/>
    </xf>
    <xf numFmtId="9" fontId="0" fillId="0" borderId="8" xfId="0" applyNumberFormat="1" applyBorder="1" applyAlignment="1">
      <alignment horizontal="center"/>
    </xf>
    <xf numFmtId="0" fontId="0" fillId="0" borderId="9" xfId="0" applyBorder="1" applyAlignment="1" applyProtection="1">
      <alignment horizontal="center"/>
      <protection locked="0"/>
    </xf>
    <xf numFmtId="0" fontId="16" fillId="0" borderId="0" xfId="0" applyFont="1"/>
    <xf numFmtId="165" fontId="16" fillId="0" borderId="0" xfId="0" applyNumberFormat="1" applyFont="1"/>
    <xf numFmtId="0" fontId="17" fillId="0" borderId="0" xfId="0" applyFont="1"/>
    <xf numFmtId="2" fontId="0" fillId="0" borderId="16" xfId="0" applyNumberFormat="1" applyBorder="1" applyAlignment="1" applyProtection="1">
      <alignment horizontal="center"/>
      <protection locked="0"/>
    </xf>
    <xf numFmtId="165" fontId="0" fillId="0" borderId="2" xfId="0" applyNumberFormat="1" applyBorder="1" applyAlignment="1">
      <alignment wrapText="1"/>
    </xf>
    <xf numFmtId="165" fontId="0" fillId="0" borderId="5" xfId="0" applyNumberFormat="1" applyBorder="1" applyAlignment="1">
      <alignment wrapText="1"/>
    </xf>
    <xf numFmtId="9" fontId="0" fillId="0" borderId="2" xfId="0" applyNumberFormat="1" applyBorder="1" applyAlignment="1">
      <alignment wrapText="1"/>
    </xf>
    <xf numFmtId="9" fontId="0" fillId="0" borderId="5" xfId="0" applyNumberFormat="1" applyBorder="1" applyAlignment="1">
      <alignment wrapText="1"/>
    </xf>
    <xf numFmtId="9" fontId="0" fillId="0" borderId="8" xfId="0" applyNumberFormat="1" applyBorder="1" applyAlignment="1">
      <alignment wrapText="1"/>
    </xf>
    <xf numFmtId="165" fontId="0" fillId="0" borderId="8" xfId="0" applyNumberFormat="1" applyBorder="1" applyAlignment="1">
      <alignment wrapText="1"/>
    </xf>
    <xf numFmtId="0" fontId="1" fillId="13" borderId="25" xfId="0" applyFont="1" applyFill="1" applyBorder="1" applyAlignment="1">
      <alignment horizontal="center" vertical="center"/>
    </xf>
    <xf numFmtId="0" fontId="0" fillId="0" borderId="26" xfId="0" applyBorder="1"/>
    <xf numFmtId="0" fontId="0" fillId="0" borderId="27" xfId="0" applyBorder="1"/>
    <xf numFmtId="0" fontId="8" fillId="3" borderId="15" xfId="0" applyFont="1" applyFill="1" applyBorder="1" applyAlignment="1">
      <alignment horizontal="center" vertical="center" wrapText="1"/>
    </xf>
    <xf numFmtId="0" fontId="1" fillId="14" borderId="11" xfId="0" applyFont="1" applyFill="1" applyBorder="1" applyAlignment="1" applyProtection="1">
      <alignment horizontal="center" vertical="center" wrapText="1"/>
      <protection locked="0"/>
    </xf>
    <xf numFmtId="0" fontId="0" fillId="0" borderId="24" xfId="0" applyBorder="1" applyAlignment="1" applyProtection="1">
      <alignment horizontal="center"/>
      <protection locked="0"/>
    </xf>
    <xf numFmtId="0" fontId="8" fillId="0" borderId="0" xfId="0" applyFont="1"/>
    <xf numFmtId="165" fontId="18" fillId="0" borderId="0" xfId="0" applyNumberFormat="1" applyFont="1"/>
    <xf numFmtId="0" fontId="19" fillId="0" borderId="0" xfId="0" applyFont="1"/>
    <xf numFmtId="165" fontId="18" fillId="0" borderId="0" xfId="0" applyNumberFormat="1" applyFont="1" applyAlignment="1">
      <alignment wrapText="1"/>
    </xf>
    <xf numFmtId="0" fontId="1" fillId="11" borderId="11" xfId="0" applyFont="1" applyFill="1" applyBorder="1" applyAlignment="1" applyProtection="1">
      <alignment horizontal="center" vertical="center" wrapText="1"/>
      <protection locked="0"/>
    </xf>
    <xf numFmtId="165" fontId="0" fillId="11" borderId="2" xfId="0" applyNumberFormat="1" applyFill="1" applyBorder="1" applyProtection="1">
      <protection locked="0"/>
    </xf>
    <xf numFmtId="165" fontId="0" fillId="11" borderId="5" xfId="0" applyNumberFormat="1" applyFill="1" applyBorder="1" applyProtection="1">
      <protection locked="0"/>
    </xf>
    <xf numFmtId="165" fontId="0" fillId="11" borderId="8" xfId="0" applyNumberFormat="1" applyFill="1" applyBorder="1" applyProtection="1">
      <protection locked="0"/>
    </xf>
    <xf numFmtId="0" fontId="1" fillId="10" borderId="11" xfId="0" applyFont="1" applyFill="1" applyBorder="1" applyAlignment="1">
      <alignment horizontal="center" vertical="center" wrapText="1"/>
    </xf>
    <xf numFmtId="0" fontId="0" fillId="0" borderId="2" xfId="0" applyBorder="1"/>
    <xf numFmtId="0" fontId="0" fillId="15" borderId="0" xfId="0" applyFill="1"/>
    <xf numFmtId="0" fontId="8" fillId="3" borderId="29" xfId="0" applyFont="1" applyFill="1" applyBorder="1" applyAlignment="1">
      <alignment horizontal="center" vertical="center"/>
    </xf>
    <xf numFmtId="0" fontId="8" fillId="3" borderId="28" xfId="0" applyFont="1" applyFill="1" applyBorder="1" applyAlignment="1">
      <alignment horizontal="center" vertical="center" wrapText="1"/>
    </xf>
    <xf numFmtId="6" fontId="0" fillId="0" borderId="0" xfId="0" applyNumberFormat="1"/>
    <xf numFmtId="165" fontId="0" fillId="0" borderId="0" xfId="0" applyNumberFormat="1" applyAlignment="1">
      <alignment horizontal="right" vertical="center"/>
    </xf>
    <xf numFmtId="0" fontId="0" fillId="0" borderId="0" xfId="0" applyAlignment="1">
      <alignment horizontal="right" vertical="center"/>
    </xf>
    <xf numFmtId="165" fontId="0" fillId="4" borderId="2" xfId="0" applyNumberFormat="1" applyFill="1" applyBorder="1"/>
    <xf numFmtId="165" fontId="0" fillId="4" borderId="5" xfId="0" applyNumberFormat="1" applyFill="1" applyBorder="1"/>
    <xf numFmtId="165" fontId="0" fillId="4" borderId="8" xfId="0" applyNumberFormat="1" applyFill="1" applyBorder="1"/>
    <xf numFmtId="165" fontId="18" fillId="9" borderId="2" xfId="0" applyNumberFormat="1" applyFont="1" applyFill="1" applyBorder="1"/>
    <xf numFmtId="165" fontId="18" fillId="9" borderId="5" xfId="0" applyNumberFormat="1" applyFont="1" applyFill="1" applyBorder="1"/>
    <xf numFmtId="165" fontId="18" fillId="9" borderId="8" xfId="0" applyNumberFormat="1" applyFont="1" applyFill="1" applyBorder="1"/>
    <xf numFmtId="165" fontId="18" fillId="9" borderId="2" xfId="0" applyNumberFormat="1" applyFont="1" applyFill="1" applyBorder="1" applyProtection="1">
      <protection locked="0"/>
    </xf>
    <xf numFmtId="0" fontId="18" fillId="0" borderId="2" xfId="0" applyFont="1" applyBorder="1" applyAlignment="1" applyProtection="1">
      <alignment horizontal="right"/>
      <protection locked="0"/>
    </xf>
    <xf numFmtId="165" fontId="18" fillId="0" borderId="2" xfId="0" applyNumberFormat="1" applyFont="1" applyBorder="1"/>
    <xf numFmtId="0" fontId="18" fillId="11" borderId="2" xfId="0" applyFont="1" applyFill="1" applyBorder="1"/>
    <xf numFmtId="9" fontId="18" fillId="0" borderId="2" xfId="0" applyNumberFormat="1" applyFont="1" applyBorder="1"/>
    <xf numFmtId="165" fontId="18" fillId="9" borderId="5" xfId="0" applyNumberFormat="1" applyFont="1" applyFill="1" applyBorder="1" applyProtection="1">
      <protection locked="0"/>
    </xf>
    <xf numFmtId="0" fontId="18" fillId="0" borderId="5" xfId="0" applyFont="1" applyBorder="1" applyAlignment="1" applyProtection="1">
      <alignment horizontal="right"/>
      <protection locked="0"/>
    </xf>
    <xf numFmtId="165" fontId="18" fillId="0" borderId="5" xfId="0" applyNumberFormat="1" applyFont="1" applyBorder="1"/>
    <xf numFmtId="0" fontId="18" fillId="11" borderId="5" xfId="0" applyFont="1" applyFill="1" applyBorder="1"/>
    <xf numFmtId="9" fontId="18" fillId="0" borderId="5" xfId="0" applyNumberFormat="1" applyFont="1" applyBorder="1"/>
    <xf numFmtId="165" fontId="18" fillId="9" borderId="8" xfId="0" applyNumberFormat="1" applyFont="1" applyFill="1" applyBorder="1" applyProtection="1">
      <protection locked="0"/>
    </xf>
    <xf numFmtId="0" fontId="18" fillId="0" borderId="8" xfId="0" applyFont="1" applyBorder="1" applyAlignment="1" applyProtection="1">
      <alignment horizontal="right"/>
      <protection locked="0"/>
    </xf>
    <xf numFmtId="0" fontId="18" fillId="11" borderId="8" xfId="0" applyFont="1" applyFill="1" applyBorder="1"/>
    <xf numFmtId="165" fontId="18" fillId="0" borderId="8" xfId="0" applyNumberFormat="1" applyFont="1" applyBorder="1"/>
    <xf numFmtId="9" fontId="18" fillId="0" borderId="8" xfId="0" applyNumberFormat="1" applyFont="1" applyBorder="1"/>
    <xf numFmtId="0" fontId="1" fillId="14" borderId="14" xfId="0" applyFont="1" applyFill="1" applyBorder="1" applyAlignment="1" applyProtection="1">
      <alignment horizontal="center" vertical="center" wrapText="1"/>
      <protection locked="0"/>
    </xf>
    <xf numFmtId="165" fontId="0" fillId="0" borderId="0" xfId="0" applyNumberFormat="1" applyAlignment="1">
      <alignment wrapText="1"/>
    </xf>
    <xf numFmtId="0" fontId="1" fillId="10" borderId="31" xfId="0" applyFont="1" applyFill="1" applyBorder="1" applyAlignment="1">
      <alignment horizontal="center" vertical="center" wrapText="1"/>
    </xf>
    <xf numFmtId="6" fontId="0" fillId="0" borderId="12" xfId="0" applyNumberFormat="1" applyBorder="1"/>
    <xf numFmtId="6" fontId="0" fillId="0" borderId="13" xfId="0" applyNumberFormat="1" applyBorder="1"/>
    <xf numFmtId="6" fontId="0" fillId="0" borderId="30" xfId="0" applyNumberFormat="1" applyBorder="1"/>
    <xf numFmtId="0" fontId="1" fillId="13" borderId="25" xfId="0" applyFont="1" applyFill="1" applyBorder="1" applyAlignment="1">
      <alignment horizontal="center" vertical="center" wrapText="1"/>
    </xf>
    <xf numFmtId="0" fontId="1" fillId="13" borderId="29" xfId="0" applyFont="1" applyFill="1" applyBorder="1" applyAlignment="1">
      <alignment horizontal="center" vertical="center" wrapText="1"/>
    </xf>
    <xf numFmtId="165" fontId="0" fillId="0" borderId="12" xfId="0" applyNumberFormat="1" applyBorder="1"/>
    <xf numFmtId="165" fontId="0" fillId="0" borderId="13" xfId="0" applyNumberFormat="1" applyBorder="1"/>
    <xf numFmtId="165" fontId="0" fillId="0" borderId="30" xfId="0" applyNumberFormat="1" applyBorder="1"/>
    <xf numFmtId="165" fontId="0" fillId="0" borderId="26" xfId="0" applyNumberFormat="1" applyBorder="1" applyAlignment="1">
      <alignment wrapText="1"/>
    </xf>
    <xf numFmtId="6" fontId="0" fillId="0" borderId="32" xfId="0" applyNumberFormat="1" applyBorder="1" applyAlignment="1">
      <alignment wrapText="1"/>
    </xf>
    <xf numFmtId="6" fontId="0" fillId="0" borderId="26" xfId="0" applyNumberFormat="1" applyBorder="1" applyAlignment="1">
      <alignment wrapText="1"/>
    </xf>
    <xf numFmtId="6" fontId="0" fillId="0" borderId="27" xfId="0" applyNumberFormat="1" applyBorder="1" applyAlignment="1">
      <alignment wrapText="1"/>
    </xf>
    <xf numFmtId="0" fontId="1" fillId="3" borderId="14" xfId="0" applyFont="1" applyFill="1" applyBorder="1" applyAlignment="1" applyProtection="1">
      <alignment vertical="center" wrapText="1"/>
      <protection locked="0"/>
    </xf>
    <xf numFmtId="0" fontId="0" fillId="0" borderId="26" xfId="0" applyBorder="1" applyAlignment="1">
      <alignment wrapText="1"/>
    </xf>
    <xf numFmtId="0" fontId="0" fillId="0" borderId="27" xfId="0" applyBorder="1" applyAlignment="1">
      <alignment wrapText="1"/>
    </xf>
    <xf numFmtId="165" fontId="0" fillId="0" borderId="27" xfId="0" applyNumberFormat="1" applyBorder="1" applyAlignment="1">
      <alignment wrapText="1"/>
    </xf>
    <xf numFmtId="2" fontId="0" fillId="0" borderId="5" xfId="0" applyNumberFormat="1" applyBorder="1" applyAlignment="1">
      <alignment wrapText="1"/>
    </xf>
    <xf numFmtId="167" fontId="0" fillId="0" borderId="5" xfId="0" applyNumberFormat="1" applyBorder="1" applyAlignment="1" applyProtection="1">
      <alignment horizontal="center"/>
      <protection locked="0"/>
    </xf>
    <xf numFmtId="2" fontId="0" fillId="0" borderId="5" xfId="0" applyNumberFormat="1" applyBorder="1" applyAlignment="1" applyProtection="1">
      <alignment horizontal="center"/>
      <protection locked="0"/>
    </xf>
    <xf numFmtId="0" fontId="0" fillId="16" borderId="4" xfId="0" applyFill="1" applyBorder="1" applyAlignment="1">
      <alignment wrapText="1"/>
    </xf>
    <xf numFmtId="0" fontId="0" fillId="16" borderId="5" xfId="0" applyFill="1" applyBorder="1" applyAlignment="1">
      <alignment wrapText="1"/>
    </xf>
    <xf numFmtId="1" fontId="0" fillId="16" borderId="5" xfId="0" applyNumberFormat="1" applyFill="1" applyBorder="1" applyAlignment="1">
      <alignment wrapText="1"/>
    </xf>
    <xf numFmtId="0" fontId="0" fillId="16" borderId="4" xfId="0" applyFill="1" applyBorder="1" applyProtection="1">
      <protection locked="0"/>
    </xf>
    <xf numFmtId="0" fontId="0" fillId="16" borderId="5" xfId="0" applyFill="1" applyBorder="1" applyAlignment="1" applyProtection="1">
      <alignment wrapText="1"/>
      <protection locked="0"/>
    </xf>
    <xf numFmtId="0" fontId="0" fillId="16" borderId="5" xfId="0" applyFill="1" applyBorder="1" applyProtection="1">
      <protection locked="0"/>
    </xf>
    <xf numFmtId="0" fontId="0" fillId="16" borderId="13" xfId="0" applyFill="1" applyBorder="1" applyAlignment="1" applyProtection="1">
      <alignment wrapText="1"/>
      <protection locked="0"/>
    </xf>
    <xf numFmtId="9" fontId="0" fillId="16" borderId="5" xfId="0" applyNumberFormat="1" applyFill="1" applyBorder="1" applyAlignment="1">
      <alignment wrapText="1"/>
    </xf>
    <xf numFmtId="0" fontId="0" fillId="16" borderId="5" xfId="0" applyFill="1" applyBorder="1" applyAlignment="1" applyProtection="1">
      <alignment horizontal="center"/>
      <protection locked="0"/>
    </xf>
    <xf numFmtId="9" fontId="0" fillId="16" borderId="5" xfId="0" applyNumberFormat="1" applyFill="1" applyBorder="1" applyAlignment="1">
      <alignment horizontal="center"/>
    </xf>
    <xf numFmtId="0" fontId="0" fillId="16" borderId="5" xfId="0" applyFill="1" applyBorder="1" applyAlignment="1">
      <alignment horizontal="center"/>
    </xf>
    <xf numFmtId="1" fontId="0" fillId="16" borderId="16" xfId="0" applyNumberFormat="1" applyFill="1" applyBorder="1" applyAlignment="1" applyProtection="1">
      <alignment horizontal="center"/>
      <protection locked="0"/>
    </xf>
    <xf numFmtId="0" fontId="0" fillId="16" borderId="26" xfId="0" applyFill="1" applyBorder="1" applyAlignment="1">
      <alignment wrapText="1"/>
    </xf>
    <xf numFmtId="0" fontId="0" fillId="16" borderId="13" xfId="0" applyFill="1" applyBorder="1" applyAlignment="1">
      <alignment wrapText="1"/>
    </xf>
    <xf numFmtId="6" fontId="0" fillId="16" borderId="5" xfId="0" applyNumberFormat="1" applyFill="1" applyBorder="1"/>
    <xf numFmtId="1" fontId="0" fillId="16" borderId="5" xfId="0" applyNumberFormat="1" applyFill="1" applyBorder="1"/>
    <xf numFmtId="164" fontId="0" fillId="16" borderId="6" xfId="0" applyNumberFormat="1" applyFill="1" applyBorder="1"/>
    <xf numFmtId="164" fontId="0" fillId="16" borderId="6" xfId="0" applyNumberFormat="1" applyFill="1" applyBorder="1" applyAlignment="1">
      <alignment wrapText="1"/>
    </xf>
    <xf numFmtId="0" fontId="0" fillId="16" borderId="5" xfId="0" applyFill="1" applyBorder="1"/>
    <xf numFmtId="3" fontId="0" fillId="0" borderId="2" xfId="0" applyNumberFormat="1" applyBorder="1" applyAlignment="1">
      <alignment wrapText="1"/>
    </xf>
    <xf numFmtId="3" fontId="0" fillId="0" borderId="3" xfId="0" applyNumberFormat="1" applyBorder="1"/>
    <xf numFmtId="3" fontId="0" fillId="0" borderId="5" xfId="0" applyNumberFormat="1" applyBorder="1" applyAlignment="1">
      <alignment wrapText="1"/>
    </xf>
    <xf numFmtId="3" fontId="0" fillId="0" borderId="6" xfId="0" applyNumberFormat="1" applyBorder="1"/>
    <xf numFmtId="3" fontId="0" fillId="16" borderId="5" xfId="0" applyNumberFormat="1" applyFill="1" applyBorder="1" applyAlignment="1">
      <alignment wrapText="1"/>
    </xf>
    <xf numFmtId="3" fontId="0" fillId="16" borderId="6" xfId="0" applyNumberFormat="1" applyFill="1" applyBorder="1"/>
    <xf numFmtId="0" fontId="0" fillId="0" borderId="33" xfId="0" applyBorder="1" applyAlignment="1">
      <alignment wrapText="1"/>
    </xf>
    <xf numFmtId="0" fontId="0" fillId="0" borderId="34" xfId="0" applyBorder="1" applyAlignment="1">
      <alignment wrapText="1"/>
    </xf>
    <xf numFmtId="0" fontId="10" fillId="3" borderId="18" xfId="0" applyFont="1" applyFill="1" applyBorder="1" applyAlignment="1">
      <alignment horizontal="center" vertical="center"/>
    </xf>
    <xf numFmtId="0" fontId="10" fillId="3" borderId="19" xfId="0" applyFont="1" applyFill="1" applyBorder="1" applyAlignment="1">
      <alignment horizontal="center" vertical="center"/>
    </xf>
    <xf numFmtId="0" fontId="10" fillId="3" borderId="20" xfId="0" applyFont="1" applyFill="1" applyBorder="1" applyAlignment="1">
      <alignment horizontal="center" vertical="center"/>
    </xf>
    <xf numFmtId="0" fontId="9" fillId="0" borderId="0" xfId="0" applyFont="1" applyAlignment="1">
      <alignment horizontal="left" vertical="center" wrapText="1"/>
    </xf>
    <xf numFmtId="0" fontId="0" fillId="0" borderId="0" xfId="0" applyAlignment="1">
      <alignment horizontal="left" vertical="center" wrapText="1"/>
    </xf>
  </cellXfs>
  <cellStyles count="1">
    <cellStyle name="Normal" xfId="0" builtinId="0"/>
  </cellStyles>
  <dxfs count="6">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24994659260841701"/>
        </patternFill>
      </fill>
    </dxf>
    <dxf>
      <fill>
        <patternFill>
          <bgColor theme="9" tint="0.79998168889431442"/>
        </patternFill>
      </fill>
    </dxf>
  </dxfs>
  <tableStyles count="0" defaultTableStyle="TableStyleMedium2" defaultPivotStyle="PivotStyleLight16"/>
  <colors>
    <mruColors>
      <color rgb="FFF9D7D7"/>
      <color rgb="FFFBF9B9"/>
      <color rgb="FFCDEEC0"/>
      <color rgb="FFFDF25D"/>
      <color rgb="FFFCECE4"/>
      <color rgb="FFEB7D7D"/>
      <color rgb="FFE34949"/>
      <color rgb="FFF4BABA"/>
      <color rgb="FFF6F2C2"/>
      <color rgb="FFEF9F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E3C5C-322B-4AD4-AD8E-B39A7EB42A06}">
  <dimension ref="A1:A26"/>
  <sheetViews>
    <sheetView workbookViewId="0">
      <selection activeCell="A21" sqref="A21"/>
    </sheetView>
  </sheetViews>
  <sheetFormatPr defaultRowHeight="15" x14ac:dyDescent="0.25"/>
  <cols>
    <col min="1" max="1" width="164.5703125" customWidth="1"/>
  </cols>
  <sheetData>
    <row r="1" spans="1:1" x14ac:dyDescent="0.25">
      <c r="A1" s="36"/>
    </row>
    <row r="2" spans="1:1" x14ac:dyDescent="0.25">
      <c r="A2" s="8"/>
    </row>
    <row r="3" spans="1:1" x14ac:dyDescent="0.25">
      <c r="A3" s="8"/>
    </row>
    <row r="4" spans="1:1" x14ac:dyDescent="0.25">
      <c r="A4" s="8"/>
    </row>
    <row r="5" spans="1:1" x14ac:dyDescent="0.25">
      <c r="A5" s="8"/>
    </row>
    <row r="6" spans="1:1" x14ac:dyDescent="0.25">
      <c r="A6" s="8"/>
    </row>
    <row r="7" spans="1:1" x14ac:dyDescent="0.25">
      <c r="A7" s="8"/>
    </row>
    <row r="8" spans="1:1" x14ac:dyDescent="0.25">
      <c r="A8" s="37"/>
    </row>
    <row r="9" spans="1:1" x14ac:dyDescent="0.25">
      <c r="A9" s="8"/>
    </row>
    <row r="10" spans="1:1" x14ac:dyDescent="0.25">
      <c r="A10" s="8"/>
    </row>
    <row r="11" spans="1:1" x14ac:dyDescent="0.25">
      <c r="A11" s="38"/>
    </row>
    <row r="12" spans="1:1" x14ac:dyDescent="0.25">
      <c r="A12" s="109"/>
    </row>
    <row r="13" spans="1:1" x14ac:dyDescent="0.25">
      <c r="A13" s="7"/>
    </row>
    <row r="14" spans="1:1" x14ac:dyDescent="0.25">
      <c r="A14" s="7"/>
    </row>
    <row r="15" spans="1:1" x14ac:dyDescent="0.25">
      <c r="A15" s="7"/>
    </row>
    <row r="16" spans="1:1" x14ac:dyDescent="0.25">
      <c r="A16" s="7"/>
    </row>
    <row r="17" spans="1:1" x14ac:dyDescent="0.25">
      <c r="A17" s="39"/>
    </row>
    <row r="18" spans="1:1" x14ac:dyDescent="0.25">
      <c r="A18" s="7"/>
    </row>
    <row r="19" spans="1:1" x14ac:dyDescent="0.25">
      <c r="A19" s="7"/>
    </row>
    <row r="20" spans="1:1" x14ac:dyDescent="0.25">
      <c r="A20" s="7"/>
    </row>
    <row r="21" spans="1:1" ht="14.45" customHeight="1" x14ac:dyDescent="0.25">
      <c r="A21" s="7"/>
    </row>
    <row r="22" spans="1:1" x14ac:dyDescent="0.25">
      <c r="A22" s="7"/>
    </row>
    <row r="23" spans="1:1" ht="14.45" customHeight="1" x14ac:dyDescent="0.25">
      <c r="A23" s="7"/>
    </row>
    <row r="24" spans="1:1" x14ac:dyDescent="0.25">
      <c r="A24" s="38"/>
    </row>
    <row r="25" spans="1:1" x14ac:dyDescent="0.25">
      <c r="A25" s="7"/>
    </row>
    <row r="26" spans="1:1" x14ac:dyDescent="0.25">
      <c r="A26" s="7"/>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325D5-E494-4F49-804B-D52A5B0CA4AC}">
  <dimension ref="B1:O15"/>
  <sheetViews>
    <sheetView workbookViewId="0">
      <selection activeCell="A6" sqref="A6"/>
    </sheetView>
  </sheetViews>
  <sheetFormatPr defaultRowHeight="15" x14ac:dyDescent="0.25"/>
  <cols>
    <col min="5" max="5" width="10.85546875" bestFit="1" customWidth="1"/>
    <col min="7" max="7" width="15.42578125" bestFit="1" customWidth="1"/>
    <col min="8" max="8" width="8.7109375" customWidth="1"/>
    <col min="9" max="9" width="11.42578125" customWidth="1"/>
    <col min="11" max="11" width="12.28515625" bestFit="1" customWidth="1"/>
    <col min="13" max="13" width="15.42578125" bestFit="1" customWidth="1"/>
  </cols>
  <sheetData>
    <row r="1" spans="2:15" x14ac:dyDescent="0.25">
      <c r="E1" s="2" t="s">
        <v>159</v>
      </c>
      <c r="I1" s="2" t="s">
        <v>160</v>
      </c>
    </row>
    <row r="3" spans="2:15" x14ac:dyDescent="0.25">
      <c r="E3" s="2" t="s">
        <v>124</v>
      </c>
      <c r="F3" s="2"/>
      <c r="G3" s="2" t="s">
        <v>125</v>
      </c>
      <c r="K3" s="2" t="s">
        <v>124</v>
      </c>
      <c r="L3" s="2"/>
      <c r="M3" s="2" t="s">
        <v>125</v>
      </c>
    </row>
    <row r="4" spans="2:15" x14ac:dyDescent="0.25">
      <c r="B4">
        <v>0.5</v>
      </c>
      <c r="E4" s="12">
        <f>'Incremental O&amp;M OH 2022'!$J$5</f>
        <v>777994</v>
      </c>
      <c r="F4" s="2"/>
      <c r="G4" s="12">
        <f>'Incremental O&amp;M OH 2022'!$J$6</f>
        <v>864078</v>
      </c>
      <c r="I4" s="118" t="s">
        <v>126</v>
      </c>
      <c r="J4" s="118" t="s">
        <v>118</v>
      </c>
      <c r="K4" s="118">
        <v>7.7</v>
      </c>
      <c r="L4" s="118"/>
      <c r="M4" s="118">
        <v>7.7</v>
      </c>
    </row>
    <row r="5" spans="2:15" x14ac:dyDescent="0.25">
      <c r="B5">
        <v>0.75</v>
      </c>
      <c r="E5" s="12">
        <f>'Incremental O&amp;M OH 2022'!$J$9</f>
        <v>872861</v>
      </c>
      <c r="F5" s="2"/>
      <c r="G5" s="12">
        <f>'Incremental O&amp;M OH 2022'!$J$10</f>
        <v>977121</v>
      </c>
      <c r="I5" s="116" t="s">
        <v>127</v>
      </c>
      <c r="J5" s="116" t="s">
        <v>119</v>
      </c>
      <c r="K5" s="117">
        <f>K8+(K4-K6)*((K9-K8)/(K7-K6))</f>
        <v>2706750.36</v>
      </c>
      <c r="L5" s="116"/>
      <c r="M5" s="117">
        <f>M8+(M4-M6)*((M9-M8)/(M7-M6))</f>
        <v>2935848.8</v>
      </c>
    </row>
    <row r="6" spans="2:15" x14ac:dyDescent="0.25">
      <c r="B6">
        <v>1</v>
      </c>
      <c r="E6" s="12">
        <f>'Incremental O&amp;M OH 2022'!$J$13</f>
        <v>972687</v>
      </c>
      <c r="G6" s="12">
        <f>'Incremental O&amp;M OH 2022'!$J$14</f>
        <v>1073354</v>
      </c>
      <c r="H6" s="12"/>
      <c r="J6" t="s">
        <v>120</v>
      </c>
      <c r="K6">
        <f>VLOOKUP(K4,B4:B14,1,TRUE)</f>
        <v>7.5</v>
      </c>
      <c r="M6">
        <f>VLOOKUP(M4,B4:B14,1,TRUE)</f>
        <v>7.5</v>
      </c>
    </row>
    <row r="7" spans="2:15" x14ac:dyDescent="0.25">
      <c r="B7">
        <v>2.5</v>
      </c>
      <c r="E7" s="12">
        <f>'Incremental O&amp;M OH 2022'!$J$17</f>
        <v>1439822</v>
      </c>
      <c r="G7" s="12">
        <f>'Incremental O&amp;M OH 2022'!$J18</f>
        <v>1534159</v>
      </c>
      <c r="J7" t="s">
        <v>122</v>
      </c>
      <c r="K7" cm="1">
        <f t="array" ref="K7">INDEX(B4:B14,MATCH(K4,B4:B14)+1)</f>
        <v>10</v>
      </c>
      <c r="M7" cm="1">
        <f t="array" ref="M7">INDEX(B4:B14,MATCH(M4,B4:B14)+1)</f>
        <v>10</v>
      </c>
      <c r="O7" s="12"/>
    </row>
    <row r="8" spans="2:15" x14ac:dyDescent="0.25">
      <c r="B8">
        <v>5</v>
      </c>
      <c r="E8" s="12">
        <f>'Incremental O&amp;M OH 2022'!$J$21</f>
        <v>2087784</v>
      </c>
      <c r="G8" s="12">
        <f>'Incremental O&amp;M OH 2022'!$J$22</f>
        <v>2289877</v>
      </c>
      <c r="J8" t="s">
        <v>121</v>
      </c>
      <c r="K8" s="12">
        <f>VLOOKUP(K4,B4:E14,4,TRUE)</f>
        <v>2665819</v>
      </c>
      <c r="M8" s="12">
        <f>VLOOKUP(M4,B4:G14,6,TRUE)</f>
        <v>2892140</v>
      </c>
    </row>
    <row r="9" spans="2:15" x14ac:dyDescent="0.25">
      <c r="B9">
        <v>7.5</v>
      </c>
      <c r="E9" s="12">
        <f>'Incremental O&amp;M OH 2022'!$J$25</f>
        <v>2665819</v>
      </c>
      <c r="G9" s="12">
        <f>'Incremental O&amp;M OH 2022'!$J$26</f>
        <v>2892140</v>
      </c>
      <c r="J9" t="s">
        <v>123</v>
      </c>
      <c r="K9" s="12" cm="1">
        <f t="array" ref="K9">INDEX(E4:E14,MATCH(K8,E4:E14)+1)</f>
        <v>3177461</v>
      </c>
      <c r="M9" s="12" cm="1">
        <f t="array" ref="M9">INDEX(G4:G14,MATCH(M8,G4:G14)+1)</f>
        <v>3438500</v>
      </c>
    </row>
    <row r="10" spans="2:15" x14ac:dyDescent="0.25">
      <c r="B10">
        <v>10</v>
      </c>
      <c r="E10" s="12">
        <f>'Incremental O&amp;M OH 2022'!$J$29</f>
        <v>3177461</v>
      </c>
      <c r="G10" s="12">
        <f>'Incremental O&amp;M OH 2022'!$J$30</f>
        <v>3438500</v>
      </c>
    </row>
    <row r="11" spans="2:15" x14ac:dyDescent="0.25">
      <c r="B11">
        <v>20</v>
      </c>
      <c r="E11" s="12">
        <f>'Incremental O&amp;M OH 2022'!$J$33</f>
        <v>5247340</v>
      </c>
      <c r="G11" s="12">
        <f>'Incremental O&amp;M OH 2022'!$J$34</f>
        <v>5580090</v>
      </c>
    </row>
    <row r="12" spans="2:15" x14ac:dyDescent="0.25">
      <c r="B12">
        <v>30</v>
      </c>
      <c r="E12" s="12">
        <f>'Incremental O&amp;M OH 2022'!$J$37</f>
        <v>7256650</v>
      </c>
      <c r="G12" s="12">
        <f>'Incremental O&amp;M OH 2022'!$J$38</f>
        <v>7674780</v>
      </c>
    </row>
    <row r="13" spans="2:15" x14ac:dyDescent="0.25">
      <c r="B13">
        <v>40</v>
      </c>
      <c r="E13" s="12">
        <f>'Incremental O&amp;M OH 2022'!$J$41</f>
        <v>9162220</v>
      </c>
      <c r="G13" s="12">
        <f>'Incremental O&amp;M OH 2022'!$J$42</f>
        <v>9700420</v>
      </c>
    </row>
    <row r="14" spans="2:15" x14ac:dyDescent="0.25">
      <c r="B14">
        <v>50</v>
      </c>
      <c r="E14" s="12">
        <f>'Incremental O&amp;M OH 2022'!$J$45</f>
        <v>10928370</v>
      </c>
      <c r="G14" s="12">
        <f>'Incremental O&amp;M OH 2022'!$J$46</f>
        <v>11506100</v>
      </c>
    </row>
    <row r="15" spans="2:15" x14ac:dyDescent="0.25">
      <c r="E15" s="12"/>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AA6EA-2CF4-4F9C-BBE8-477D9D5172EE}">
  <dimension ref="B1:O53"/>
  <sheetViews>
    <sheetView topLeftCell="H1" workbookViewId="0">
      <selection activeCell="A6" sqref="A6"/>
    </sheetView>
  </sheetViews>
  <sheetFormatPr defaultRowHeight="15" x14ac:dyDescent="0.25"/>
  <cols>
    <col min="3" max="3" width="28.5703125" customWidth="1"/>
    <col min="4" max="4" width="19.85546875" customWidth="1"/>
    <col min="6" max="6" width="18.85546875" customWidth="1"/>
    <col min="7" max="7" width="23.140625" customWidth="1"/>
    <col min="8" max="8" width="22.42578125" customWidth="1"/>
    <col min="9" max="9" width="19.85546875" customWidth="1"/>
    <col min="10" max="10" width="2.5703125" customWidth="1"/>
  </cols>
  <sheetData>
    <row r="1" spans="2:15" ht="90" x14ac:dyDescent="0.25">
      <c r="B1" s="2" t="s">
        <v>12</v>
      </c>
      <c r="C1" s="3" t="s">
        <v>13</v>
      </c>
      <c r="D1" s="2" t="s">
        <v>14</v>
      </c>
      <c r="E1" s="5"/>
      <c r="F1" s="2" t="s">
        <v>15</v>
      </c>
      <c r="G1" s="3" t="s">
        <v>16</v>
      </c>
      <c r="H1" s="3" t="s">
        <v>17</v>
      </c>
      <c r="I1" s="3" t="s">
        <v>75</v>
      </c>
      <c r="J1" s="3"/>
    </row>
    <row r="2" spans="2:15" x14ac:dyDescent="0.25">
      <c r="B2" s="4" t="s">
        <v>18</v>
      </c>
      <c r="C2" s="3"/>
      <c r="D2" s="2"/>
      <c r="E2" s="5"/>
      <c r="F2" t="s">
        <v>18</v>
      </c>
      <c r="G2" s="3"/>
      <c r="H2" s="3"/>
      <c r="I2" s="3"/>
      <c r="J2" s="3"/>
    </row>
    <row r="3" spans="2:15" ht="14.45" customHeight="1" x14ac:dyDescent="0.25">
      <c r="B3">
        <v>2000</v>
      </c>
      <c r="C3">
        <v>468.05</v>
      </c>
      <c r="D3">
        <v>72.721999999999994</v>
      </c>
      <c r="E3" s="5"/>
      <c r="F3" t="s">
        <v>24</v>
      </c>
      <c r="G3">
        <v>0.92</v>
      </c>
      <c r="H3">
        <v>22.47</v>
      </c>
      <c r="I3">
        <v>13.18</v>
      </c>
      <c r="N3">
        <f t="shared" ref="N3:N34" si="0">$H$26/H3</f>
        <v>1.4183355585224746</v>
      </c>
      <c r="O3">
        <f t="shared" ref="O3:O34" si="1">$I$26/I3</f>
        <v>0.93930197268588778</v>
      </c>
    </row>
    <row r="4" spans="2:15" x14ac:dyDescent="0.25">
      <c r="B4">
        <v>2001</v>
      </c>
      <c r="C4">
        <v>472.18</v>
      </c>
      <c r="D4">
        <v>74.36</v>
      </c>
      <c r="E4" s="5"/>
      <c r="F4" t="s">
        <v>25</v>
      </c>
      <c r="G4">
        <v>1.1599999999999999</v>
      </c>
      <c r="H4">
        <v>37.19</v>
      </c>
      <c r="I4">
        <v>20.81</v>
      </c>
      <c r="N4">
        <f t="shared" si="0"/>
        <v>0.85695079322398504</v>
      </c>
      <c r="O4">
        <f t="shared" si="1"/>
        <v>0.59490629505045656</v>
      </c>
    </row>
    <row r="5" spans="2:15" x14ac:dyDescent="0.25">
      <c r="B5">
        <v>2002</v>
      </c>
      <c r="C5">
        <v>486.16</v>
      </c>
      <c r="D5">
        <v>75.515000000000001</v>
      </c>
      <c r="E5" s="5"/>
      <c r="F5" t="s">
        <v>26</v>
      </c>
      <c r="G5">
        <v>0.96</v>
      </c>
      <c r="H5">
        <v>26.5</v>
      </c>
      <c r="I5">
        <v>11.74</v>
      </c>
      <c r="N5">
        <f t="shared" si="0"/>
        <v>1.2026415094339622</v>
      </c>
      <c r="O5">
        <f t="shared" si="1"/>
        <v>1.0545144804088586</v>
      </c>
    </row>
    <row r="6" spans="2:15" ht="14.45" customHeight="1" x14ac:dyDescent="0.25">
      <c r="B6">
        <v>2003</v>
      </c>
      <c r="C6">
        <v>497.4</v>
      </c>
      <c r="D6">
        <v>77.006</v>
      </c>
      <c r="E6" s="5"/>
      <c r="F6" t="s">
        <v>27</v>
      </c>
      <c r="G6">
        <v>0.88</v>
      </c>
      <c r="H6">
        <v>18.82</v>
      </c>
      <c r="I6">
        <v>10.34</v>
      </c>
      <c r="N6">
        <f t="shared" si="0"/>
        <v>1.6934112646121149</v>
      </c>
      <c r="O6">
        <f t="shared" si="1"/>
        <v>1.1972920696324953</v>
      </c>
    </row>
    <row r="7" spans="2:15" ht="14.45" customHeight="1" x14ac:dyDescent="0.25">
      <c r="B7">
        <v>2004</v>
      </c>
      <c r="C7">
        <v>563.78</v>
      </c>
      <c r="D7">
        <v>79.076999999999998</v>
      </c>
      <c r="E7" s="5"/>
      <c r="F7" t="s">
        <v>28</v>
      </c>
      <c r="G7">
        <v>1.24</v>
      </c>
      <c r="H7">
        <v>38.04</v>
      </c>
      <c r="I7">
        <v>23.91</v>
      </c>
      <c r="N7">
        <f t="shared" si="0"/>
        <v>0.83780231335436384</v>
      </c>
      <c r="O7">
        <f t="shared" si="1"/>
        <v>0.51777498954412382</v>
      </c>
    </row>
    <row r="8" spans="2:15" ht="14.45" customHeight="1" x14ac:dyDescent="0.25">
      <c r="B8">
        <v>2005</v>
      </c>
      <c r="C8">
        <v>605.47</v>
      </c>
      <c r="D8">
        <v>81.555999999999997</v>
      </c>
      <c r="E8" s="5"/>
      <c r="F8" t="s">
        <v>29</v>
      </c>
      <c r="G8">
        <v>0.93</v>
      </c>
      <c r="H8">
        <v>30.23</v>
      </c>
      <c r="I8">
        <v>11.67</v>
      </c>
      <c r="N8" s="31">
        <f t="shared" si="0"/>
        <v>1.0542507442937479</v>
      </c>
      <c r="O8" s="31">
        <f t="shared" si="1"/>
        <v>1.060839760068552</v>
      </c>
    </row>
    <row r="9" spans="2:15" ht="14.45" customHeight="1" x14ac:dyDescent="0.25">
      <c r="B9">
        <v>2006</v>
      </c>
      <c r="C9">
        <v>645.52</v>
      </c>
      <c r="D9">
        <v>84.070999999999998</v>
      </c>
      <c r="E9" s="5"/>
      <c r="F9" t="s">
        <v>30</v>
      </c>
      <c r="G9">
        <v>1.1499999999999999</v>
      </c>
      <c r="H9">
        <v>35.869999999999997</v>
      </c>
      <c r="I9">
        <v>19.98</v>
      </c>
      <c r="N9">
        <f t="shared" si="0"/>
        <v>0.88848620016727076</v>
      </c>
      <c r="O9">
        <f t="shared" si="1"/>
        <v>0.61961961961961964</v>
      </c>
    </row>
    <row r="10" spans="2:15" ht="14.45" customHeight="1" x14ac:dyDescent="0.25">
      <c r="B10">
        <v>2007</v>
      </c>
      <c r="C10">
        <v>681.88</v>
      </c>
      <c r="D10">
        <v>86.349000000000004</v>
      </c>
      <c r="E10" s="5"/>
      <c r="F10" t="s">
        <v>31</v>
      </c>
      <c r="G10">
        <v>1.1000000000000001</v>
      </c>
      <c r="H10">
        <v>27.43</v>
      </c>
      <c r="I10">
        <v>11.92</v>
      </c>
      <c r="N10">
        <f t="shared" si="0"/>
        <v>1.1618665694495078</v>
      </c>
      <c r="O10">
        <f t="shared" si="1"/>
        <v>1.0385906040268458</v>
      </c>
    </row>
    <row r="11" spans="2:15" x14ac:dyDescent="0.25">
      <c r="B11">
        <v>2008</v>
      </c>
      <c r="C11">
        <v>741.36</v>
      </c>
      <c r="D11">
        <v>88.013000000000005</v>
      </c>
      <c r="E11" s="5"/>
      <c r="F11" t="s">
        <v>74</v>
      </c>
      <c r="G11">
        <v>1.03</v>
      </c>
      <c r="H11" s="4" t="s">
        <v>18</v>
      </c>
      <c r="I11">
        <v>17.010000000000002</v>
      </c>
      <c r="N11" t="e">
        <f t="shared" si="0"/>
        <v>#VALUE!</v>
      </c>
      <c r="O11">
        <f t="shared" si="1"/>
        <v>0.72780717225161673</v>
      </c>
    </row>
    <row r="12" spans="2:15" ht="14.45" customHeight="1" x14ac:dyDescent="0.25">
      <c r="B12">
        <v>2009</v>
      </c>
      <c r="C12">
        <v>699.7</v>
      </c>
      <c r="D12">
        <v>88.555999999999997</v>
      </c>
      <c r="E12" s="5"/>
      <c r="F12" t="s">
        <v>32</v>
      </c>
      <c r="G12">
        <v>0.91</v>
      </c>
      <c r="H12">
        <v>25.06</v>
      </c>
      <c r="I12">
        <v>11.83</v>
      </c>
      <c r="N12">
        <f t="shared" si="0"/>
        <v>1.2717478052673585</v>
      </c>
      <c r="O12">
        <f t="shared" si="1"/>
        <v>1.0464919695688928</v>
      </c>
    </row>
    <row r="13" spans="2:15" x14ac:dyDescent="0.25">
      <c r="B13">
        <v>2010</v>
      </c>
      <c r="C13">
        <v>720.8</v>
      </c>
      <c r="D13">
        <v>89.632000000000005</v>
      </c>
      <c r="E13" s="5"/>
      <c r="F13" t="s">
        <v>33</v>
      </c>
      <c r="G13">
        <v>0.93</v>
      </c>
      <c r="H13">
        <v>22.98</v>
      </c>
      <c r="I13">
        <v>11.4</v>
      </c>
      <c r="N13">
        <f t="shared" si="0"/>
        <v>1.3868581375108791</v>
      </c>
      <c r="O13">
        <f t="shared" si="1"/>
        <v>1.0859649122807018</v>
      </c>
    </row>
    <row r="14" spans="2:15" x14ac:dyDescent="0.25">
      <c r="B14">
        <v>2011</v>
      </c>
      <c r="C14">
        <v>758.79</v>
      </c>
      <c r="D14">
        <v>91.480999999999995</v>
      </c>
      <c r="E14" s="5"/>
      <c r="F14" t="s">
        <v>34</v>
      </c>
      <c r="G14">
        <v>1.21</v>
      </c>
      <c r="H14">
        <v>31.21</v>
      </c>
      <c r="I14">
        <v>39.380000000000003</v>
      </c>
      <c r="N14">
        <f t="shared" si="0"/>
        <v>1.0211470682473567</v>
      </c>
      <c r="O14">
        <f t="shared" si="1"/>
        <v>0.31437277805992891</v>
      </c>
    </row>
    <row r="15" spans="2:15" x14ac:dyDescent="0.25">
      <c r="B15">
        <v>2012</v>
      </c>
      <c r="C15">
        <v>769.3</v>
      </c>
      <c r="D15">
        <v>93.185000000000002</v>
      </c>
      <c r="E15" s="5"/>
      <c r="F15" t="s">
        <v>35</v>
      </c>
      <c r="G15">
        <v>1.01</v>
      </c>
      <c r="H15">
        <v>23.08</v>
      </c>
      <c r="I15">
        <v>8.82</v>
      </c>
      <c r="N15">
        <f t="shared" si="0"/>
        <v>1.3808492201039864</v>
      </c>
      <c r="O15">
        <f t="shared" si="1"/>
        <v>1.4036281179138324</v>
      </c>
    </row>
    <row r="16" spans="2:15" x14ac:dyDescent="0.25">
      <c r="B16">
        <v>2013</v>
      </c>
      <c r="C16">
        <v>776.44</v>
      </c>
      <c r="D16">
        <v>94.771000000000001</v>
      </c>
      <c r="E16" s="5"/>
      <c r="F16" t="s">
        <v>36</v>
      </c>
      <c r="G16">
        <v>1.1399999999999999</v>
      </c>
      <c r="H16">
        <v>33.21</v>
      </c>
      <c r="I16">
        <v>11.4</v>
      </c>
      <c r="N16" s="31">
        <f t="shared" si="0"/>
        <v>0.95965070761818727</v>
      </c>
      <c r="O16" s="31">
        <f t="shared" si="1"/>
        <v>1.0859649122807018</v>
      </c>
    </row>
    <row r="17" spans="2:15" x14ac:dyDescent="0.25">
      <c r="B17">
        <v>2014</v>
      </c>
      <c r="C17">
        <v>791.59</v>
      </c>
      <c r="D17">
        <v>96.421000000000006</v>
      </c>
      <c r="E17" s="5"/>
      <c r="F17" t="s">
        <v>37</v>
      </c>
      <c r="G17">
        <v>0.97</v>
      </c>
      <c r="H17">
        <v>24.43</v>
      </c>
      <c r="I17">
        <v>12.54</v>
      </c>
      <c r="N17">
        <f t="shared" si="0"/>
        <v>1.3045435939418748</v>
      </c>
      <c r="O17">
        <f t="shared" si="1"/>
        <v>0.98724082934609259</v>
      </c>
    </row>
    <row r="18" spans="2:15" x14ac:dyDescent="0.25">
      <c r="B18">
        <v>2015</v>
      </c>
      <c r="C18">
        <v>786.32</v>
      </c>
      <c r="D18">
        <v>97.316000000000003</v>
      </c>
      <c r="E18" s="5"/>
      <c r="F18" t="s">
        <v>38</v>
      </c>
      <c r="G18">
        <v>0.97</v>
      </c>
      <c r="H18">
        <v>27.35</v>
      </c>
      <c r="I18">
        <v>10.42</v>
      </c>
      <c r="N18" s="31">
        <f t="shared" si="0"/>
        <v>1.1652650822669104</v>
      </c>
      <c r="O18" s="31">
        <f t="shared" si="1"/>
        <v>1.1880998080614205</v>
      </c>
    </row>
    <row r="19" spans="2:15" ht="14.45" customHeight="1" x14ac:dyDescent="0.25">
      <c r="B19">
        <v>2016</v>
      </c>
      <c r="C19">
        <v>782.46</v>
      </c>
      <c r="D19">
        <v>98.241</v>
      </c>
      <c r="E19" s="5"/>
      <c r="F19" t="s">
        <v>39</v>
      </c>
      <c r="G19">
        <v>0.94</v>
      </c>
      <c r="H19">
        <v>22.09</v>
      </c>
      <c r="I19">
        <v>11.11</v>
      </c>
      <c r="N19">
        <f t="shared" si="0"/>
        <v>1.4427342688999547</v>
      </c>
      <c r="O19">
        <f t="shared" si="1"/>
        <v>1.1143114311431144</v>
      </c>
    </row>
    <row r="20" spans="2:15" ht="14.45" customHeight="1" x14ac:dyDescent="0.25">
      <c r="B20">
        <v>2017</v>
      </c>
      <c r="C20">
        <v>808.93</v>
      </c>
      <c r="D20">
        <v>100</v>
      </c>
      <c r="E20" s="5"/>
      <c r="F20" t="s">
        <v>40</v>
      </c>
      <c r="G20">
        <v>0.96</v>
      </c>
      <c r="H20">
        <v>22.65</v>
      </c>
      <c r="I20">
        <v>11.49</v>
      </c>
      <c r="N20">
        <f t="shared" si="0"/>
        <v>1.4070640176600442</v>
      </c>
      <c r="O20">
        <f t="shared" si="1"/>
        <v>1.0774586597040905</v>
      </c>
    </row>
    <row r="21" spans="2:15" x14ac:dyDescent="0.25">
      <c r="B21">
        <v>2018</v>
      </c>
      <c r="C21">
        <v>841.84</v>
      </c>
      <c r="D21">
        <v>102.291</v>
      </c>
      <c r="E21" s="5"/>
      <c r="F21" t="s">
        <v>41</v>
      </c>
      <c r="G21">
        <v>0.91</v>
      </c>
      <c r="H21">
        <v>18.920000000000002</v>
      </c>
      <c r="I21">
        <v>10.3</v>
      </c>
      <c r="N21">
        <f t="shared" si="0"/>
        <v>1.68446088794926</v>
      </c>
      <c r="O21">
        <f t="shared" si="1"/>
        <v>1.2019417475728156</v>
      </c>
    </row>
    <row r="22" spans="2:15" ht="14.45" customHeight="1" x14ac:dyDescent="0.25">
      <c r="B22">
        <v>2019</v>
      </c>
      <c r="C22">
        <v>866.18</v>
      </c>
      <c r="D22">
        <v>104.008</v>
      </c>
      <c r="E22" s="5"/>
      <c r="F22" t="s">
        <v>42</v>
      </c>
      <c r="G22">
        <v>1.02</v>
      </c>
      <c r="H22">
        <v>24.06</v>
      </c>
      <c r="I22">
        <v>17.920000000000002</v>
      </c>
      <c r="N22">
        <f t="shared" si="0"/>
        <v>1.3246051537822112</v>
      </c>
      <c r="O22">
        <f t="shared" si="1"/>
        <v>0.6908482142857143</v>
      </c>
    </row>
    <row r="23" spans="2:15" ht="14.45" customHeight="1" x14ac:dyDescent="0.25">
      <c r="B23">
        <v>2020</v>
      </c>
      <c r="C23">
        <v>864.03</v>
      </c>
      <c r="D23">
        <v>105.381</v>
      </c>
      <c r="E23" s="5"/>
      <c r="F23" t="s">
        <v>43</v>
      </c>
      <c r="G23">
        <v>1</v>
      </c>
      <c r="H23">
        <v>25.16</v>
      </c>
      <c r="I23">
        <v>12.82</v>
      </c>
      <c r="N23">
        <f t="shared" si="0"/>
        <v>1.2666931637519874</v>
      </c>
      <c r="O23">
        <f t="shared" si="1"/>
        <v>0.96567862714508579</v>
      </c>
    </row>
    <row r="24" spans="2:15" ht="14.45" customHeight="1" x14ac:dyDescent="0.25">
      <c r="B24">
        <v>2021</v>
      </c>
      <c r="C24">
        <v>993.48</v>
      </c>
      <c r="D24">
        <v>110.21299999999999</v>
      </c>
      <c r="E24" s="5"/>
      <c r="F24" t="s">
        <v>44</v>
      </c>
      <c r="G24">
        <v>1.1499999999999999</v>
      </c>
      <c r="H24">
        <v>30.93</v>
      </c>
      <c r="I24">
        <v>19.28</v>
      </c>
      <c r="N24">
        <f t="shared" si="0"/>
        <v>1.0303912059489169</v>
      </c>
      <c r="O24">
        <f t="shared" si="1"/>
        <v>0.64211618257261416</v>
      </c>
    </row>
    <row r="25" spans="2:15" ht="14.45" customHeight="1" x14ac:dyDescent="0.25">
      <c r="B25">
        <v>2022</v>
      </c>
      <c r="C25">
        <v>1151.3399999999999</v>
      </c>
      <c r="D25">
        <v>117.973</v>
      </c>
      <c r="E25" s="5"/>
      <c r="F25" t="s">
        <v>45</v>
      </c>
      <c r="G25">
        <v>1.02</v>
      </c>
      <c r="H25">
        <v>27.15</v>
      </c>
      <c r="I25">
        <v>13.34</v>
      </c>
      <c r="N25">
        <f t="shared" si="0"/>
        <v>1.1738489871086557</v>
      </c>
      <c r="O25">
        <f t="shared" si="1"/>
        <v>0.92803598200899562</v>
      </c>
    </row>
    <row r="26" spans="2:15" ht="14.45" customHeight="1" x14ac:dyDescent="0.25">
      <c r="B26" s="6">
        <v>2023</v>
      </c>
      <c r="C26" s="6">
        <v>1156.3900000000001</v>
      </c>
      <c r="D26" s="6">
        <v>122.273</v>
      </c>
      <c r="E26" s="5"/>
      <c r="F26" s="6" t="s">
        <v>46</v>
      </c>
      <c r="G26" s="6">
        <v>1.1100000000000001</v>
      </c>
      <c r="H26" s="6">
        <v>31.87</v>
      </c>
      <c r="I26" s="6">
        <v>12.38</v>
      </c>
      <c r="J26" s="6"/>
      <c r="N26">
        <f t="shared" si="0"/>
        <v>1</v>
      </c>
      <c r="O26">
        <f t="shared" si="1"/>
        <v>1</v>
      </c>
    </row>
    <row r="27" spans="2:15" ht="14.45" customHeight="1" x14ac:dyDescent="0.25">
      <c r="B27">
        <v>2024</v>
      </c>
      <c r="C27">
        <v>1178.1500000000001</v>
      </c>
      <c r="D27">
        <v>124.916</v>
      </c>
      <c r="E27" s="5"/>
      <c r="F27" t="s">
        <v>47</v>
      </c>
      <c r="G27">
        <v>0.9</v>
      </c>
      <c r="H27">
        <v>19.84</v>
      </c>
      <c r="I27">
        <v>12.36</v>
      </c>
      <c r="N27">
        <f t="shared" si="0"/>
        <v>1.606350806451613</v>
      </c>
      <c r="O27">
        <f t="shared" si="1"/>
        <v>1.0016181229773464</v>
      </c>
    </row>
    <row r="28" spans="2:15" x14ac:dyDescent="0.25">
      <c r="E28" s="5"/>
      <c r="F28" t="s">
        <v>48</v>
      </c>
      <c r="G28">
        <v>0.98</v>
      </c>
      <c r="H28">
        <v>23.61</v>
      </c>
      <c r="I28">
        <v>10.199999999999999</v>
      </c>
      <c r="N28">
        <f t="shared" si="0"/>
        <v>1.3498517577297755</v>
      </c>
      <c r="O28">
        <f t="shared" si="1"/>
        <v>1.2137254901960786</v>
      </c>
    </row>
    <row r="29" spans="2:15" x14ac:dyDescent="0.25">
      <c r="E29" s="5"/>
      <c r="F29" t="s">
        <v>49</v>
      </c>
      <c r="G29">
        <v>0.94</v>
      </c>
      <c r="H29">
        <v>27.63</v>
      </c>
      <c r="I29">
        <v>12.03</v>
      </c>
      <c r="N29" s="31">
        <f t="shared" si="0"/>
        <v>1.1534563879840753</v>
      </c>
      <c r="O29" s="31">
        <f t="shared" si="1"/>
        <v>1.0290939318370742</v>
      </c>
    </row>
    <row r="30" spans="2:15" x14ac:dyDescent="0.25">
      <c r="E30" s="5"/>
      <c r="F30" t="s">
        <v>50</v>
      </c>
      <c r="G30">
        <v>0.94</v>
      </c>
      <c r="H30">
        <v>24.59</v>
      </c>
      <c r="I30">
        <v>9.1999999999999993</v>
      </c>
      <c r="N30">
        <f t="shared" si="0"/>
        <v>1.2960553070353802</v>
      </c>
      <c r="O30">
        <f t="shared" si="1"/>
        <v>1.3456521739130436</v>
      </c>
    </row>
    <row r="31" spans="2:15" ht="14.45" customHeight="1" x14ac:dyDescent="0.25">
      <c r="E31" s="5"/>
      <c r="F31" t="s">
        <v>51</v>
      </c>
      <c r="G31">
        <v>1.08</v>
      </c>
      <c r="H31">
        <v>38.590000000000003</v>
      </c>
      <c r="I31">
        <v>11.79</v>
      </c>
      <c r="N31">
        <f t="shared" si="0"/>
        <v>0.82586162218191239</v>
      </c>
      <c r="O31">
        <f t="shared" si="1"/>
        <v>1.0500424088210349</v>
      </c>
    </row>
    <row r="32" spans="2:15" x14ac:dyDescent="0.25">
      <c r="E32" s="5"/>
      <c r="F32" t="s">
        <v>52</v>
      </c>
      <c r="G32">
        <v>1.04</v>
      </c>
      <c r="H32">
        <v>26.93</v>
      </c>
      <c r="I32">
        <v>20.32</v>
      </c>
      <c r="N32">
        <f t="shared" si="0"/>
        <v>1.1834385443743038</v>
      </c>
      <c r="O32">
        <f t="shared" si="1"/>
        <v>0.60925196850393704</v>
      </c>
    </row>
    <row r="33" spans="5:15" x14ac:dyDescent="0.25">
      <c r="E33" s="5"/>
      <c r="F33" t="s">
        <v>53</v>
      </c>
      <c r="G33">
        <v>1.23</v>
      </c>
      <c r="H33">
        <v>33.659999999999997</v>
      </c>
      <c r="I33">
        <v>14.15</v>
      </c>
      <c r="N33">
        <f t="shared" si="0"/>
        <v>0.94682115270350575</v>
      </c>
      <c r="O33">
        <f t="shared" si="1"/>
        <v>0.87491166077738525</v>
      </c>
    </row>
    <row r="34" spans="5:15" x14ac:dyDescent="0.25">
      <c r="E34" s="5"/>
      <c r="F34" t="s">
        <v>54</v>
      </c>
      <c r="G34">
        <v>0.91</v>
      </c>
      <c r="H34">
        <v>21.15</v>
      </c>
      <c r="I34">
        <v>10.98</v>
      </c>
      <c r="N34">
        <f t="shared" si="0"/>
        <v>1.506855791962175</v>
      </c>
      <c r="O34">
        <f t="shared" si="1"/>
        <v>1.127504553734062</v>
      </c>
    </row>
    <row r="35" spans="5:15" ht="14.45" customHeight="1" x14ac:dyDescent="0.25">
      <c r="E35" s="5"/>
      <c r="F35" t="s">
        <v>55</v>
      </c>
      <c r="G35">
        <v>1.17</v>
      </c>
      <c r="H35">
        <v>29.8</v>
      </c>
      <c r="I35">
        <v>18.059999999999999</v>
      </c>
      <c r="N35" s="31">
        <f t="shared" ref="N35:N53" si="2">$H$26/H35</f>
        <v>1.0694630872483222</v>
      </c>
      <c r="O35" s="31">
        <f t="shared" ref="O35:O53" si="3">$I$26/I35</f>
        <v>0.68549280177187166</v>
      </c>
    </row>
    <row r="36" spans="5:15" ht="14.45" customHeight="1" x14ac:dyDescent="0.25">
      <c r="E36" s="5"/>
      <c r="F36" t="s">
        <v>56</v>
      </c>
      <c r="G36">
        <v>0.89</v>
      </c>
      <c r="H36">
        <v>23.3</v>
      </c>
      <c r="I36">
        <v>9.86</v>
      </c>
      <c r="N36">
        <f t="shared" si="2"/>
        <v>1.3678111587982833</v>
      </c>
      <c r="O36">
        <f t="shared" si="3"/>
        <v>1.2555780933062881</v>
      </c>
    </row>
    <row r="37" spans="5:15" x14ac:dyDescent="0.25">
      <c r="E37" s="5"/>
      <c r="F37" t="s">
        <v>57</v>
      </c>
      <c r="G37">
        <v>0.95</v>
      </c>
      <c r="H37">
        <v>25.67</v>
      </c>
      <c r="I37">
        <v>7.66</v>
      </c>
      <c r="N37">
        <f t="shared" si="2"/>
        <v>1.2415270744059212</v>
      </c>
      <c r="O37">
        <f t="shared" si="3"/>
        <v>1.6161879895561357</v>
      </c>
    </row>
    <row r="38" spans="5:15" x14ac:dyDescent="0.25">
      <c r="E38" s="5"/>
      <c r="F38" t="s">
        <v>58</v>
      </c>
      <c r="G38">
        <v>0.98</v>
      </c>
      <c r="H38">
        <v>26.25</v>
      </c>
      <c r="I38">
        <v>10.76</v>
      </c>
      <c r="N38">
        <f t="shared" si="2"/>
        <v>1.2140952380952381</v>
      </c>
      <c r="O38">
        <f t="shared" si="3"/>
        <v>1.1505576208178439</v>
      </c>
    </row>
    <row r="39" spans="5:15" x14ac:dyDescent="0.25">
      <c r="E39" s="5"/>
      <c r="F39" t="s">
        <v>59</v>
      </c>
      <c r="G39">
        <v>0.9</v>
      </c>
      <c r="H39">
        <v>18.39</v>
      </c>
      <c r="I39">
        <v>9.39</v>
      </c>
      <c r="N39">
        <f t="shared" si="2"/>
        <v>1.7330070690592714</v>
      </c>
      <c r="O39">
        <f t="shared" si="3"/>
        <v>1.3184238551650693</v>
      </c>
    </row>
    <row r="40" spans="5:15" ht="14.45" customHeight="1" x14ac:dyDescent="0.25">
      <c r="E40" s="5"/>
      <c r="F40" t="s">
        <v>60</v>
      </c>
      <c r="G40">
        <v>1.07</v>
      </c>
      <c r="H40">
        <v>30.37</v>
      </c>
      <c r="I40">
        <v>10.29</v>
      </c>
      <c r="N40">
        <f t="shared" si="2"/>
        <v>1.049390846229832</v>
      </c>
      <c r="O40">
        <f t="shared" si="3"/>
        <v>1.2031098153547135</v>
      </c>
    </row>
    <row r="41" spans="5:15" ht="14.45" customHeight="1" x14ac:dyDescent="0.25">
      <c r="E41" s="5"/>
      <c r="F41" t="s">
        <v>61</v>
      </c>
      <c r="G41">
        <v>1.08</v>
      </c>
      <c r="H41">
        <v>28.62</v>
      </c>
      <c r="I41">
        <v>11.25</v>
      </c>
      <c r="N41" s="31">
        <f t="shared" si="2"/>
        <v>1.1135569531795946</v>
      </c>
      <c r="O41" s="31">
        <f t="shared" si="3"/>
        <v>1.1004444444444446</v>
      </c>
    </row>
    <row r="42" spans="5:15" ht="14.45" customHeight="1" x14ac:dyDescent="0.25">
      <c r="E42" s="5"/>
      <c r="F42" t="s">
        <v>62</v>
      </c>
      <c r="G42">
        <v>1.1399999999999999</v>
      </c>
      <c r="H42">
        <v>27.73</v>
      </c>
      <c r="I42">
        <v>17.52</v>
      </c>
      <c r="N42">
        <f t="shared" si="2"/>
        <v>1.149296790479625</v>
      </c>
      <c r="O42">
        <f t="shared" si="3"/>
        <v>0.70662100456621013</v>
      </c>
    </row>
    <row r="43" spans="5:15" ht="14.45" customHeight="1" x14ac:dyDescent="0.25">
      <c r="E43" s="5"/>
      <c r="F43" t="s">
        <v>63</v>
      </c>
      <c r="G43">
        <v>0.92</v>
      </c>
      <c r="H43">
        <v>23.1</v>
      </c>
      <c r="I43">
        <v>10.59</v>
      </c>
      <c r="N43">
        <f t="shared" si="2"/>
        <v>1.3796536796536796</v>
      </c>
      <c r="O43">
        <f t="shared" si="3"/>
        <v>1.1690273843248349</v>
      </c>
    </row>
    <row r="44" spans="5:15" x14ac:dyDescent="0.25">
      <c r="E44" s="5"/>
      <c r="F44" t="s">
        <v>64</v>
      </c>
      <c r="G44">
        <v>0.94</v>
      </c>
      <c r="H44">
        <v>25</v>
      </c>
      <c r="I44">
        <v>10.039999999999999</v>
      </c>
      <c r="N44">
        <f t="shared" si="2"/>
        <v>1.2747999999999999</v>
      </c>
      <c r="O44">
        <f t="shared" si="3"/>
        <v>1.2330677290836656</v>
      </c>
    </row>
    <row r="45" spans="5:15" x14ac:dyDescent="0.25">
      <c r="E45" s="5"/>
      <c r="F45" t="s">
        <v>65</v>
      </c>
      <c r="G45">
        <v>0.9</v>
      </c>
      <c r="H45">
        <v>23.32</v>
      </c>
      <c r="I45">
        <v>11.82</v>
      </c>
      <c r="N45">
        <f t="shared" si="2"/>
        <v>1.3666380789022299</v>
      </c>
      <c r="O45">
        <f t="shared" si="3"/>
        <v>1.0473773265651438</v>
      </c>
    </row>
    <row r="46" spans="5:15" x14ac:dyDescent="0.25">
      <c r="E46" s="5"/>
      <c r="F46" t="s">
        <v>66</v>
      </c>
      <c r="G46">
        <v>0.88</v>
      </c>
      <c r="H46">
        <v>22.07</v>
      </c>
      <c r="I46">
        <v>8.9600000000000009</v>
      </c>
      <c r="N46">
        <f t="shared" si="2"/>
        <v>1.4440416855459901</v>
      </c>
      <c r="O46">
        <f t="shared" si="3"/>
        <v>1.3816964285714286</v>
      </c>
    </row>
    <row r="47" spans="5:15" x14ac:dyDescent="0.25">
      <c r="E47" s="5"/>
      <c r="F47" t="s">
        <v>67</v>
      </c>
      <c r="G47">
        <v>0.96</v>
      </c>
      <c r="H47">
        <v>26.54</v>
      </c>
      <c r="I47">
        <v>8.52</v>
      </c>
      <c r="N47">
        <f t="shared" si="2"/>
        <v>1.2008289374529013</v>
      </c>
      <c r="O47">
        <f t="shared" si="3"/>
        <v>1.4530516431924885</v>
      </c>
    </row>
    <row r="48" spans="5:15" x14ac:dyDescent="0.25">
      <c r="E48" s="5"/>
      <c r="F48" t="s">
        <v>68</v>
      </c>
      <c r="G48">
        <v>1.01</v>
      </c>
      <c r="H48">
        <v>27.68</v>
      </c>
      <c r="I48">
        <v>17.940000000000001</v>
      </c>
      <c r="N48" s="31">
        <f t="shared" si="2"/>
        <v>1.1513728323699421</v>
      </c>
      <c r="O48" s="31">
        <f t="shared" si="3"/>
        <v>0.69007803790412481</v>
      </c>
    </row>
    <row r="49" spans="5:15" ht="14.45" customHeight="1" x14ac:dyDescent="0.25">
      <c r="E49" s="5"/>
      <c r="F49" t="s">
        <v>69</v>
      </c>
      <c r="G49">
        <v>0.94</v>
      </c>
      <c r="H49">
        <v>23.89</v>
      </c>
      <c r="I49">
        <v>9.23</v>
      </c>
      <c r="N49">
        <f t="shared" si="2"/>
        <v>1.3340309753034743</v>
      </c>
      <c r="O49">
        <f t="shared" si="3"/>
        <v>1.3412784398699893</v>
      </c>
    </row>
    <row r="50" spans="5:15" ht="14.45" customHeight="1" x14ac:dyDescent="0.25">
      <c r="E50" s="5"/>
      <c r="F50" t="s">
        <v>70</v>
      </c>
      <c r="G50">
        <v>1.08</v>
      </c>
      <c r="H50">
        <v>37.65</v>
      </c>
      <c r="I50">
        <v>10.08</v>
      </c>
      <c r="N50">
        <f t="shared" si="2"/>
        <v>0.84648074369189907</v>
      </c>
      <c r="O50">
        <f t="shared" si="3"/>
        <v>1.2281746031746033</v>
      </c>
    </row>
    <row r="51" spans="5:15" x14ac:dyDescent="0.25">
      <c r="E51" s="5"/>
      <c r="F51" t="s">
        <v>71</v>
      </c>
      <c r="G51">
        <v>1.01</v>
      </c>
      <c r="H51">
        <v>20.8</v>
      </c>
      <c r="I51">
        <v>11.05</v>
      </c>
      <c r="N51">
        <f t="shared" si="2"/>
        <v>1.5322115384615385</v>
      </c>
      <c r="O51">
        <f t="shared" si="3"/>
        <v>1.1203619909502263</v>
      </c>
    </row>
    <row r="52" spans="5:15" x14ac:dyDescent="0.25">
      <c r="E52" s="5"/>
      <c r="F52" t="s">
        <v>72</v>
      </c>
      <c r="G52">
        <v>1.06</v>
      </c>
      <c r="H52">
        <v>28.51</v>
      </c>
      <c r="I52">
        <v>12.69</v>
      </c>
      <c r="N52" s="31">
        <f t="shared" si="2"/>
        <v>1.1178533847772711</v>
      </c>
      <c r="O52" s="31">
        <f t="shared" si="3"/>
        <v>0.97557131599684799</v>
      </c>
    </row>
    <row r="53" spans="5:15" ht="14.45" customHeight="1" x14ac:dyDescent="0.25">
      <c r="E53" s="5"/>
      <c r="F53" t="s">
        <v>73</v>
      </c>
      <c r="G53">
        <v>0.95</v>
      </c>
      <c r="H53">
        <v>25.35</v>
      </c>
      <c r="I53">
        <v>9.7899999999999991</v>
      </c>
      <c r="N53">
        <f t="shared" si="2"/>
        <v>1.2571992110453649</v>
      </c>
      <c r="O53">
        <f t="shared" si="3"/>
        <v>1.2645556690500512</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EF1472-8B6D-4AB9-BD1B-CAEF928D4CD2}">
  <dimension ref="A1:I37"/>
  <sheetViews>
    <sheetView tabSelected="1" workbookViewId="0">
      <pane xSplit="2" ySplit="1" topLeftCell="C2" activePane="bottomRight" state="frozen"/>
      <selection pane="topRight" activeCell="C1" sqref="C1"/>
      <selection pane="bottomLeft" activeCell="A2" sqref="A2"/>
      <selection pane="bottomRight" activeCell="F1" sqref="F1"/>
    </sheetView>
  </sheetViews>
  <sheetFormatPr defaultRowHeight="15" x14ac:dyDescent="0.25"/>
  <cols>
    <col min="1" max="1" width="11.5703125" customWidth="1"/>
    <col min="2" max="2" width="23.5703125" customWidth="1"/>
    <col min="3" max="3" width="18.5703125" style="1" customWidth="1"/>
    <col min="4" max="4" width="30.5703125" style="216" customWidth="1"/>
    <col min="5" max="5" width="12.5703125" style="1" customWidth="1"/>
    <col min="6" max="6" width="23.5703125" customWidth="1"/>
    <col min="7" max="7" width="28.5703125" customWidth="1"/>
    <col min="8" max="8" width="25.5703125" customWidth="1"/>
    <col min="9" max="9" width="30.5703125" customWidth="1"/>
  </cols>
  <sheetData>
    <row r="1" spans="1:9" ht="61.5" thickTop="1" thickBot="1" x14ac:dyDescent="0.3">
      <c r="A1" s="68" t="s">
        <v>0</v>
      </c>
      <c r="B1" s="69" t="s">
        <v>1</v>
      </c>
      <c r="C1" s="70" t="s">
        <v>11</v>
      </c>
      <c r="D1" s="46" t="s">
        <v>243</v>
      </c>
      <c r="E1" s="169" t="s">
        <v>9</v>
      </c>
      <c r="F1" s="95" t="s">
        <v>316</v>
      </c>
      <c r="G1" s="73" t="s">
        <v>187</v>
      </c>
      <c r="H1" s="96" t="s">
        <v>188</v>
      </c>
      <c r="I1" s="126" t="s">
        <v>154</v>
      </c>
    </row>
    <row r="2" spans="1:9" ht="30.75" thickTop="1" x14ac:dyDescent="0.25">
      <c r="A2" s="74" t="str">
        <f>IF(Performance!A2&lt;&gt;"",Performance!A2,"")</f>
        <v>IA0029025</v>
      </c>
      <c r="B2" s="75" t="str">
        <f>IF(Performance!B2&lt;&gt;"",Performance!B2,"")</f>
        <v>City of Atlantic WWTP</v>
      </c>
      <c r="C2" s="75" t="str">
        <f>IF(Performance!E2&lt;&gt;"",Performance!E2,"")</f>
        <v>BNR [Total Nitrogen]</v>
      </c>
      <c r="D2" s="75" t="str">
        <f>IF(Performance!F2&lt;&gt;"",Performance!F2,"")</f>
        <v>A2O or BNR 3- to 5-Stage Replace</v>
      </c>
      <c r="E2" s="102">
        <f>IF(Performance!G2&lt;&gt;"",Performance!G2,"")</f>
        <v>7.7</v>
      </c>
      <c r="F2" s="92">
        <f>IF(E2&lt;&gt;"",'Estimated Capital Cost'!R2+'Estimated O&amp;M Cost'!AA2,"")</f>
        <v>1967650.7855413258</v>
      </c>
      <c r="G2" s="98">
        <f>IF('Loading Actual Flow'!M2&lt;&gt;"",'Loading Actual Flow'!M2,"")</f>
        <v>390268.84049999999</v>
      </c>
      <c r="H2" s="99">
        <f>IF(AND(F2&lt;&gt;"",G2&lt;&gt;""),F2/G2,"")</f>
        <v>5.0417829489549675</v>
      </c>
      <c r="I2" s="127"/>
    </row>
    <row r="3" spans="1:9" ht="45" x14ac:dyDescent="0.25">
      <c r="A3" s="76" t="str">
        <f>IF(Performance!A3&lt;&gt;"",Performance!A3,"")</f>
        <v>MN0020192</v>
      </c>
      <c r="B3" s="77" t="str">
        <f>IF(Performance!B3&lt;&gt;"",Performance!B3,"")</f>
        <v>Detroit Lakes WRF</v>
      </c>
      <c r="C3" s="77" t="str">
        <f>IF(Performance!E3&lt;&gt;"",Performance!E3,"")</f>
        <v>Membrane Bioreactor with Bio-P [Phosphorus]</v>
      </c>
      <c r="D3" s="77" t="str">
        <f>IF(Performance!F3&lt;&gt;"",Performance!F3,"")</f>
        <v>NA</v>
      </c>
      <c r="E3" s="102">
        <f>IF(Performance!G3&lt;&gt;"",Performance!G3,"")</f>
        <v>1.08</v>
      </c>
      <c r="F3" s="92">
        <f>IF(E3&lt;&gt;"",'Estimated Capital Cost'!R3+'Estimated O&amp;M Cost'!AA3,"")</f>
        <v>464656.56128604186</v>
      </c>
      <c r="G3" s="103">
        <f>IF('Loading Actual Flow'!M3&lt;&gt;"",'Loading Actual Flow'!M3,"")</f>
        <v>52371.914040000003</v>
      </c>
      <c r="H3" s="104">
        <f t="shared" ref="H3:H33" si="0">IF(AND(F3&lt;&gt;"",G3&lt;&gt;""),F3/G3,"")</f>
        <v>8.8722470775299893</v>
      </c>
      <c r="I3" s="127"/>
    </row>
    <row r="4" spans="1:9" ht="60" x14ac:dyDescent="0.25">
      <c r="A4" s="76" t="str">
        <f>IF(Performance!A4&lt;&gt;"",Performance!A4,"")</f>
        <v>MN0030066</v>
      </c>
      <c r="B4" s="77" t="str">
        <f>IF(Performance!B4&lt;&gt;"",Performance!B4,"")</f>
        <v>New Ulm WWTP</v>
      </c>
      <c r="C4" s="77" t="str">
        <f>IF(Performance!E4&lt;&gt;"",Performance!E4,"")</f>
        <v>Biological Phosphorus Removal [Phosphorus]</v>
      </c>
      <c r="D4" s="77" t="str">
        <f>IF(Performance!F4&lt;&gt;"",Performance!F4,"")</f>
        <v>A/O or BNR 2-Stage Replace</v>
      </c>
      <c r="E4" s="102">
        <f>IF(Performance!G4&lt;&gt;"",Performance!G4,"")</f>
        <v>2.2999999999999998</v>
      </c>
      <c r="F4" s="92">
        <f>IF(E4&lt;&gt;"",'Estimated Capital Cost'!R4+'Estimated O&amp;M Cost'!AA4,"")</f>
        <v>227908.82957099334</v>
      </c>
      <c r="G4" s="103">
        <f>IF('Loading Actual Flow'!M4&lt;&gt;"",'Loading Actual Flow'!M4,"")</f>
        <v>74355.186599999972</v>
      </c>
      <c r="H4" s="104">
        <f t="shared" si="0"/>
        <v>3.0651369459543987</v>
      </c>
      <c r="I4" s="127"/>
    </row>
    <row r="5" spans="1:9" ht="60" x14ac:dyDescent="0.25">
      <c r="A5" s="76" t="str">
        <f>IF(Performance!A5&lt;&gt;"",Performance!A5,"")</f>
        <v>MN0040878</v>
      </c>
      <c r="B5" s="77" t="str">
        <f>IF(Performance!B5&lt;&gt;"",Performance!B5,"")</f>
        <v>St. Cloud NEW RF</v>
      </c>
      <c r="C5" s="77" t="str">
        <f>IF(Performance!E5&lt;&gt;"",Performance!E5,"")</f>
        <v>Full Nitrification and BNR [Phosphorus, Nitrogen]</v>
      </c>
      <c r="D5" s="77" t="str">
        <f>IF(Performance!F5&lt;&gt;"",Performance!F5,"")</f>
        <v>A2O or BNR 3- to 5-Stage Retrofit</v>
      </c>
      <c r="E5" s="102">
        <f>IF(Performance!G5&lt;&gt;"",Performance!G5,"")</f>
        <v>9.8800000000000008</v>
      </c>
      <c r="F5" s="92">
        <f>IF(E5&lt;&gt;"",'Estimated Capital Cost'!R5+'Estimated O&amp;M Cost'!AA5,"")</f>
        <v>2871082.8703440828</v>
      </c>
      <c r="G5" s="103">
        <f>IF('Loading Actual Flow'!M5&lt;&gt;"",'Loading Actual Flow'!M5,"")</f>
        <v>216545.0976000001</v>
      </c>
      <c r="H5" s="104">
        <f t="shared" si="0"/>
        <v>13.258590945556836</v>
      </c>
      <c r="I5" s="127"/>
    </row>
    <row r="6" spans="1:9" ht="60" x14ac:dyDescent="0.25">
      <c r="A6" s="76" t="str">
        <f>IF(Performance!A6&lt;&gt;"",Performance!A6,"")</f>
        <v>MN0066079</v>
      </c>
      <c r="B6" s="77" t="str">
        <f>IF(Performance!B6&lt;&gt;"",Performance!B6,"")</f>
        <v>City of Long Prairie WWTF</v>
      </c>
      <c r="C6" s="77" t="str">
        <f>IF(Performance!E6&lt;&gt;"",Performance!E6,"")</f>
        <v>Extended Aeration Activated Sludge/BNR [Phosphorus]</v>
      </c>
      <c r="D6" s="77" t="str">
        <f>IF(Performance!F6&lt;&gt;"",Performance!F6,"")</f>
        <v>A/O or BNR 2-Stage Replace</v>
      </c>
      <c r="E6" s="102">
        <f>IF(Performance!G6&lt;&gt;"",Performance!G6,"")</f>
        <v>1.26</v>
      </c>
      <c r="F6" s="92">
        <f>IF(E6&lt;&gt;"",'Estimated Capital Cost'!R6+'Estimated O&amp;M Cost'!AA6,"")</f>
        <v>1194529.2671522081</v>
      </c>
      <c r="G6" s="103">
        <f>IF('Loading Actual Flow'!M6&lt;&gt;"",'Loading Actual Flow'!M6,"")</f>
        <v>104135.61689999999</v>
      </c>
      <c r="H6" s="104">
        <f t="shared" si="0"/>
        <v>11.470900184893495</v>
      </c>
      <c r="I6" s="127"/>
    </row>
    <row r="7" spans="1:9" ht="90" x14ac:dyDescent="0.25">
      <c r="A7" s="76" t="str">
        <f>IF(Performance!A7&lt;&gt;"",Performance!A7,"")</f>
        <v>MT0020125</v>
      </c>
      <c r="B7" s="77" t="str">
        <f>IF(Performance!B7&lt;&gt;"",Performance!B7,"")</f>
        <v>Chinook WWTF</v>
      </c>
      <c r="C7" s="77" t="str">
        <f>IF(Performance!E7&lt;&gt;"",Performance!E7,"")</f>
        <v>Activated Sludge-Oxidation Ditch; Optimized through mixers, DO probe, and SCADA [Nitrogen]</v>
      </c>
      <c r="D7" s="77" t="str">
        <f>IF(Performance!F7&lt;&gt;"",Performance!F7,"")</f>
        <v>NA</v>
      </c>
      <c r="E7" s="102">
        <f>IF(Performance!G7&lt;&gt;"",Performance!G7,"")</f>
        <v>5.5E-2</v>
      </c>
      <c r="F7" s="92">
        <f>IF(E7&lt;&gt;"",'Estimated Capital Cost'!R7+'Estimated O&amp;M Cost'!AA7,"")</f>
        <v>-14654.051386574527</v>
      </c>
      <c r="G7" s="103">
        <f>IF('Loading Actual Flow'!M7&lt;&gt;"",'Loading Actual Flow'!M7,"")</f>
        <v>3043.7955899999997</v>
      </c>
      <c r="H7" s="104">
        <f t="shared" si="0"/>
        <v>-4.8144006235893553</v>
      </c>
      <c r="I7" s="127"/>
    </row>
    <row r="8" spans="1:9" ht="75" x14ac:dyDescent="0.25">
      <c r="A8" s="76" t="str">
        <f>IF(Performance!A8&lt;&gt;"",Performance!A8,"")</f>
        <v>MT0021938</v>
      </c>
      <c r="B8" s="77" t="str">
        <f>IF(Performance!B8&lt;&gt;"",Performance!B8,"")</f>
        <v>City of Kalispell Advanced Wastewater Treatment and Biological Nutrient Removal Facility</v>
      </c>
      <c r="C8" s="77" t="str">
        <f>IF(Performance!E8&lt;&gt;"",Performance!E8,"")</f>
        <v>Modified Johannesburg BNR [Phosphorus, Nitrogen]</v>
      </c>
      <c r="D8" s="77" t="str">
        <f>IF(Performance!F8&lt;&gt;"",Performance!F8,"")</f>
        <v>A2O or BNR 3- to 5-Stage Retrofit</v>
      </c>
      <c r="E8" s="102">
        <f>IF(Performance!G8&lt;&gt;"",Performance!G8,"")</f>
        <v>2.85</v>
      </c>
      <c r="F8" s="92">
        <f>IF(E8&lt;&gt;"",'Estimated Capital Cost'!R8+'Estimated O&amp;M Cost'!AA8,"")</f>
        <v>1295721.2644074769</v>
      </c>
      <c r="G8" s="103">
        <f>IF('Loading Actual Flow'!M8&lt;&gt;"",'Loading Actual Flow'!M8,"")</f>
        <v>114345.52829999998</v>
      </c>
      <c r="H8" s="104">
        <f t="shared" si="0"/>
        <v>11.331630398418275</v>
      </c>
      <c r="I8" s="127"/>
    </row>
    <row r="9" spans="1:9" ht="30" x14ac:dyDescent="0.25">
      <c r="A9" s="76" t="str">
        <f>IF(Performance!A9&lt;&gt;"",Performance!A9,"")</f>
        <v>MT0022594</v>
      </c>
      <c r="B9" s="77" t="str">
        <f>IF(Performance!B9&lt;&gt;"",Performance!B9,"")</f>
        <v>Missoula WWTP</v>
      </c>
      <c r="C9" s="77" t="str">
        <f>IF(Performance!E9&lt;&gt;"",Performance!E9,"")</f>
        <v>BNR [Phosphorus, Nitrogen]</v>
      </c>
      <c r="D9" s="77" t="str">
        <f>IF(Performance!F9&lt;&gt;"",Performance!F9,"")</f>
        <v>A2O or BNR 3- to 5-Stage Replace</v>
      </c>
      <c r="E9" s="102">
        <f>IF(Performance!G9&lt;&gt;"",Performance!G9,"")</f>
        <v>6.9</v>
      </c>
      <c r="F9" s="92">
        <f>IF(E9&lt;&gt;"",'Estimated Capital Cost'!R9+'Estimated O&amp;M Cost'!AA9,"")</f>
        <v>2961082.3753297562</v>
      </c>
      <c r="G9" s="103">
        <f>IF('Loading Actual Flow'!M9&lt;&gt;"",'Loading Actual Flow'!M9,"")</f>
        <v>238818.7772999999</v>
      </c>
      <c r="H9" s="104">
        <f t="shared" si="0"/>
        <v>12.398867496126979</v>
      </c>
      <c r="I9" s="127"/>
    </row>
    <row r="10" spans="1:9" ht="75" x14ac:dyDescent="0.25">
      <c r="A10" s="76" t="str">
        <f>IF(Performance!A10&lt;&gt;"",Performance!A10,"")</f>
        <v>NY0027561</v>
      </c>
      <c r="B10" s="77" t="str">
        <f>IF(Performance!B10&lt;&gt;"",Performance!B10,"")</f>
        <v>LeRoy R Summerson WWTF (City of Cortland)</v>
      </c>
      <c r="C10" s="77" t="str">
        <f>IF(Performance!E10&lt;&gt;"",Performance!E10,"")</f>
        <v>Cycling Air and Adding Internal Carbon Source [Phosphorus, Nitrogen]</v>
      </c>
      <c r="D10" s="77" t="str">
        <f>IF(Performance!F10&lt;&gt;"",Performance!F10,"")</f>
        <v>NA</v>
      </c>
      <c r="E10" s="102">
        <f>IF(Performance!G10&lt;&gt;"",Performance!G10,"")</f>
        <v>5.46</v>
      </c>
      <c r="F10" s="92">
        <f>IF(E10&lt;&gt;"",'Estimated Capital Cost'!R10+'Estimated O&amp;M Cost'!AA10,"")</f>
        <v>0</v>
      </c>
      <c r="G10" s="103">
        <f>IF('Loading Actual Flow'!M10&lt;&gt;"",'Loading Actual Flow'!M10,"")</f>
        <v>129974.54652</v>
      </c>
      <c r="H10" s="104">
        <f t="shared" si="0"/>
        <v>0</v>
      </c>
      <c r="I10" s="127"/>
    </row>
    <row r="11" spans="1:9" ht="60" x14ac:dyDescent="0.25">
      <c r="A11" s="191" t="str">
        <f>IF(Performance!A11&lt;&gt;"",Performance!A11,"")</f>
        <v>IL0028053</v>
      </c>
      <c r="B11" s="192" t="str">
        <f>IF(Performance!B11&lt;&gt;"",Performance!B11,"")</f>
        <v>Stickney WRP</v>
      </c>
      <c r="C11" s="192" t="str">
        <f>IF(Performance!E11&lt;&gt;"",Performance!E11,"")</f>
        <v>Ostara Phosphorus Recovery [Phosphorus]</v>
      </c>
      <c r="D11" s="77" t="str">
        <f>IF(Performance!F11&lt;&gt;"",Performance!F11,"")</f>
        <v>A/O or BNR 2-Stage Retrofit</v>
      </c>
      <c r="E11" s="204">
        <f>IF(Performance!G11&lt;&gt;"",Performance!G11,"")</f>
        <v>679</v>
      </c>
      <c r="F11" s="205">
        <f>IF(E11&lt;&gt;"",'Estimated Capital Cost'!R11+'Estimated O&amp;M Cost'!AA11,"")</f>
        <v>16498096.438120898</v>
      </c>
      <c r="G11" s="206">
        <f>IF('Loading Actual Flow'!M11&lt;&gt;"",'Loading Actual Flow'!M11,"")</f>
        <v>-2604349.314000003</v>
      </c>
      <c r="H11" s="207">
        <f>IF(AND(F11&lt;&gt;"",G11&lt;&gt;""),F11/G11,"")</f>
        <v>-6.3348247293223423</v>
      </c>
      <c r="I11" s="208" t="s">
        <v>300</v>
      </c>
    </row>
    <row r="12" spans="1:9" ht="30" x14ac:dyDescent="0.25">
      <c r="A12" s="76" t="str">
        <f>IF(Performance!A12&lt;&gt;"",Performance!A12,"")</f>
        <v>MN0020567</v>
      </c>
      <c r="B12" s="77" t="str">
        <f>IF(Performance!B12&lt;&gt;"",Performance!B12,"")</f>
        <v>Monticello WWTP</v>
      </c>
      <c r="C12" s="77" t="str">
        <f>IF(Performance!E12&lt;&gt;"",Performance!E12,"")</f>
        <v>BNR [Phosphorus, Nitrogen]</v>
      </c>
      <c r="D12" s="77" t="str">
        <f>IF(Performance!F12&lt;&gt;"",Performance!F12,"")</f>
        <v>A2O or BNR 3- to 5-Stage Retrofit</v>
      </c>
      <c r="E12" s="102">
        <f>IF(Performance!G12&lt;&gt;"",Performance!G12,"")</f>
        <v>1.1499999999999999</v>
      </c>
      <c r="F12" s="92">
        <f>IF(E12&lt;&gt;"",'Estimated Capital Cost'!R12+'Estimated O&amp;M Cost'!AA12,"")</f>
        <v>467237.58056861477</v>
      </c>
      <c r="G12" s="103">
        <f>IF('Loading Actual Flow'!M12&lt;&gt;"",'Loading Actual Flow'!M12,"")</f>
        <v>43023.78734999997</v>
      </c>
      <c r="H12" s="104">
        <f t="shared" si="0"/>
        <v>10.859982566565355</v>
      </c>
      <c r="I12" s="127"/>
    </row>
    <row r="13" spans="1:9" ht="60" x14ac:dyDescent="0.25">
      <c r="A13" s="76" t="str">
        <f>IF(Performance!A13&lt;&gt;"",Performance!A13,"")</f>
        <v>MN0055361</v>
      </c>
      <c r="B13" s="77" t="str">
        <f>IF(Performance!B13&lt;&gt;"",Performance!B13,"")</f>
        <v>Plainview Township WWTP</v>
      </c>
      <c r="C13" s="77" t="str">
        <f>IF(Performance!E13&lt;&gt;"",Performance!E13,"")</f>
        <v>Biological Phosphorus Removal [Phosphorus]</v>
      </c>
      <c r="D13" s="77" t="str">
        <f>IF(Performance!F13&lt;&gt;"",Performance!F13,"")</f>
        <v>A/O or BNR 2-Stage Retrofit</v>
      </c>
      <c r="E13" s="102">
        <f>IF(Performance!G13&lt;&gt;"",Performance!G13,"")</f>
        <v>0.755</v>
      </c>
      <c r="F13" s="92">
        <f>IF(E13&lt;&gt;"",'Estimated Capital Cost'!R13+'Estimated O&amp;M Cost'!AA13,"")</f>
        <v>95153.315301906856</v>
      </c>
      <c r="G13" s="103">
        <f>IF('Loading Actual Flow'!M13&lt;&gt;"",'Loading Actual Flow'!M13,"")</f>
        <v>23189.801594999997</v>
      </c>
      <c r="H13" s="104">
        <f t="shared" si="0"/>
        <v>4.1032397328670145</v>
      </c>
      <c r="I13" s="127"/>
    </row>
    <row r="14" spans="1:9" ht="30" x14ac:dyDescent="0.25">
      <c r="A14" s="76" t="str">
        <f>IF(Performance!A14&lt;&gt;"",Performance!A14,"")</f>
        <v>MT0022568</v>
      </c>
      <c r="B14" s="77" t="str">
        <f>IF(Performance!B14&lt;&gt;"",Performance!B14,"")</f>
        <v>Billings WRF</v>
      </c>
      <c r="C14" s="77" t="str">
        <f>IF(Performance!E14&lt;&gt;"",Performance!E14,"")</f>
        <v>BNR [Phosphorus, Nitrogen]</v>
      </c>
      <c r="D14" s="77" t="str">
        <f>IF(Performance!F14&lt;&gt;"",Performance!F14,"")</f>
        <v>A2O or BNR 3- to 5-Stage Replace</v>
      </c>
      <c r="E14" s="102">
        <f>IF(Performance!G14&lt;&gt;"",Performance!G14,"")</f>
        <v>19.7</v>
      </c>
      <c r="F14" s="92">
        <f>IF(E14&lt;&gt;"",'Estimated Capital Cost'!R14+'Estimated O&amp;M Cost'!AA14,"")</f>
        <v>5890462.6193548618</v>
      </c>
      <c r="G14" s="103">
        <f>IF('Loading Actual Flow'!M14&lt;&gt;"",'Loading Actual Flow'!M14,"")</f>
        <v>642265.52670000005</v>
      </c>
      <c r="H14" s="104">
        <f t="shared" si="0"/>
        <v>9.1713822001632614</v>
      </c>
      <c r="I14" s="127"/>
    </row>
    <row r="15" spans="1:9" ht="60" x14ac:dyDescent="0.25">
      <c r="A15" s="76" t="str">
        <f>IF(Performance!A15&lt;&gt;"",Performance!A15,"")</f>
        <v>MT0022608</v>
      </c>
      <c r="B15" s="77" t="str">
        <f>IF(Performance!B15&lt;&gt;"",Performance!B15,"")</f>
        <v>Bozeman WRF</v>
      </c>
      <c r="C15" s="77" t="str">
        <f>IF(Performance!E15&lt;&gt;"",Performance!E15,"")</f>
        <v>BNR [Phosphorus, Nitrogen]</v>
      </c>
      <c r="D15" s="77" t="str">
        <f>IF(Performance!F15&lt;&gt;"",Performance!F15,"")</f>
        <v>A2O or BNR 3- to 5-Stage Replace</v>
      </c>
      <c r="E15" s="102">
        <f>IF(Performance!G15&lt;&gt;"",Performance!G15,"")</f>
        <v>5.96</v>
      </c>
      <c r="F15" s="92">
        <f>'Estimated Capital Cost'!R15+'Estimated O&amp;M Cost'!AA15+2645388</f>
        <v>4780106.4935917463</v>
      </c>
      <c r="G15" s="103">
        <f>IF('Loading Actual Flow'!M15&lt;&gt;"",'Loading Actual Flow'!M15,"")</f>
        <v>211545.46775999997</v>
      </c>
      <c r="H15" s="104">
        <f t="shared" si="0"/>
        <v>22.596118669934427</v>
      </c>
      <c r="I15" s="185" t="s">
        <v>235</v>
      </c>
    </row>
    <row r="16" spans="1:9" ht="60" x14ac:dyDescent="0.25">
      <c r="A16" s="76" t="str">
        <f>IF(Performance!A16&lt;&gt;"",Performance!A16,"")</f>
        <v>MT0020435</v>
      </c>
      <c r="B16" s="77" t="str">
        <f>IF(Performance!B16&lt;&gt;"",Performance!B16,"")</f>
        <v>Livingston WRF</v>
      </c>
      <c r="C16" s="77" t="str">
        <f>IF(Performance!E16&lt;&gt;"",Performance!E16,"")</f>
        <v>Sequencing Batch Reactors [Phosphorus, Nitrogen]</v>
      </c>
      <c r="D16" s="77" t="str">
        <f>IF(Performance!F16&lt;&gt;"",Performance!F16,"")</f>
        <v>A2O or BNR 3- to 5-Stage Replace</v>
      </c>
      <c r="E16" s="102">
        <f>IF(Performance!G16&lt;&gt;"",Performance!G16,"")</f>
        <v>0.73</v>
      </c>
      <c r="F16" s="92">
        <f>IF(E16&lt;&gt;"",'Estimated Capital Cost'!R16+'Estimated O&amp;M Cost'!AA16,"")</f>
        <v>645251.89207051683</v>
      </c>
      <c r="G16" s="103">
        <f>IF('Loading Actual Flow'!M16&lt;&gt;"",'Loading Actual Flow'!M16,"")</f>
        <v>54354.840779999999</v>
      </c>
      <c r="H16" s="104">
        <f t="shared" si="0"/>
        <v>11.871102606705435</v>
      </c>
      <c r="I16" s="127"/>
    </row>
    <row r="17" spans="1:9" ht="60" x14ac:dyDescent="0.25">
      <c r="A17" s="76" t="str">
        <f>IF(Performance!A17&lt;&gt;"",Performance!A17,"")</f>
        <v>MT0020079</v>
      </c>
      <c r="B17" s="77" t="str">
        <f>IF(Performance!B17&lt;&gt;"",Performance!B17,"")</f>
        <v>Conrad WWTF</v>
      </c>
      <c r="C17" s="77" t="str">
        <f>IF(Performance!E17&lt;&gt;"",Performance!E17,"")</f>
        <v>Extended Aeration Activated Sludge [Phosphorus]</v>
      </c>
      <c r="D17" s="77" t="str">
        <f>IF(Performance!F17&lt;&gt;"",Performance!F17,"")</f>
        <v>A/O or BNR 2-Stage Replace</v>
      </c>
      <c r="E17" s="77">
        <f>IF(Performance!G17&lt;&gt;"",Performance!G17,"")</f>
        <v>0.191</v>
      </c>
      <c r="F17" s="92">
        <f>IF(E17&lt;&gt;"",'Estimated Capital Cost'!R17+'Estimated O&amp;M Cost'!AA17,"")</f>
        <v>157353.63483681172</v>
      </c>
      <c r="G17" s="103">
        <f>IF('Loading Actual Flow'!M17&lt;&gt;"",'Loading Actual Flow'!M17,"")</f>
        <v>8430.6349500000015</v>
      </c>
      <c r="H17" s="104">
        <f t="shared" si="0"/>
        <v>18.664505789900403</v>
      </c>
      <c r="I17" s="180" t="s">
        <v>255</v>
      </c>
    </row>
    <row r="18" spans="1:9" ht="75" x14ac:dyDescent="0.25">
      <c r="A18" s="76" t="str">
        <f>IF(Performance!A18&lt;&gt;"",Performance!A18,"")</f>
        <v>MN0050725</v>
      </c>
      <c r="B18" s="77" t="str">
        <f>IF(Performance!B18&lt;&gt;"",Performance!B18,"")</f>
        <v>Kasson WWTP</v>
      </c>
      <c r="C18" s="77" t="str">
        <f>IF(Performance!E18&lt;&gt;"",Performance!E18,"")</f>
        <v>Activated sludge with Biological Phosphorus Removal [Phosphorus]</v>
      </c>
      <c r="D18" s="77" t="str">
        <f>IF(Performance!F18&lt;&gt;"",Performance!F18,"")</f>
        <v>A/O or BNR 2-Stage Replace</v>
      </c>
      <c r="E18" s="77">
        <f>IF(Performance!G18&lt;&gt;"",Performance!G18,"")</f>
        <v>0.81200000000000006</v>
      </c>
      <c r="F18" s="92">
        <f>IF(E18&lt;&gt;"",'Estimated Capital Cost'!R18+'Estimated O&amp;M Cost'!AA18,"")</f>
        <v>249414.4553121592</v>
      </c>
      <c r="G18" s="103">
        <f>IF('Loading Actual Flow'!M18&lt;&gt;"",'Loading Actual Flow'!M18,"")</f>
        <v>26942.720280000001</v>
      </c>
      <c r="H18" s="104">
        <f t="shared" si="0"/>
        <v>9.2572113253650716</v>
      </c>
      <c r="I18" s="127"/>
    </row>
    <row r="19" spans="1:9" ht="75" x14ac:dyDescent="0.25">
      <c r="A19" s="76" t="str">
        <f>IF(Performance!A19&lt;&gt;"",Performance!A19,"")</f>
        <v>WI0020478</v>
      </c>
      <c r="B19" s="77" t="str">
        <f>IF(Performance!B19&lt;&gt;"",Performance!B19,"")</f>
        <v>City of Sun Prairie WWTP</v>
      </c>
      <c r="C19" s="77" t="str">
        <f>IF(Performance!E19&lt;&gt;"",Performance!E19,"")</f>
        <v>Activated sludge with Biological Phosphorus Removal [Phosphorus]</v>
      </c>
      <c r="D19" s="77" t="str">
        <f>IF(Performance!F19&lt;&gt;"",Performance!F19,"")</f>
        <v>A/O or BNR 2-Stage Retrofit</v>
      </c>
      <c r="E19" s="77">
        <f>IF(Performance!G19&lt;&gt;"",Performance!G19,"")</f>
        <v>3.53</v>
      </c>
      <c r="F19" s="92">
        <f>IF(E19&lt;&gt;"",'Estimated Capital Cost'!R19+'Estimated O&amp;M Cost'!AA19,"")</f>
        <v>235022.58420313217</v>
      </c>
      <c r="G19" s="103">
        <f>IF('Loading Actual Flow'!M19&lt;&gt;"",'Loading Actual Flow'!M19,"")</f>
        <v>43197.605459999962</v>
      </c>
      <c r="H19" s="104">
        <f t="shared" si="0"/>
        <v>5.4406391673899135</v>
      </c>
      <c r="I19" s="127"/>
    </row>
    <row r="20" spans="1:9" ht="45" x14ac:dyDescent="0.25">
      <c r="A20" s="76" t="str">
        <f>IF(Performance!A20&lt;&gt;"",Performance!A20,"")</f>
        <v>MN0020117</v>
      </c>
      <c r="B20" s="77" t="str">
        <f>IF(Performance!B20&lt;&gt;"",Performance!B20,"")</f>
        <v>Central Iron Range Sanitary District WWTF</v>
      </c>
      <c r="C20" s="77" t="str">
        <f>IF(Performance!E20&lt;&gt;"",Performance!E20,"")</f>
        <v>Sequencing Batch Reactors [Phosphorus]</v>
      </c>
      <c r="D20" s="77" t="str">
        <f>IF(Performance!F20&lt;&gt;"",Performance!F20,"")</f>
        <v>A/O or BNR 2-Stage Replace</v>
      </c>
      <c r="E20" s="77">
        <f>IF(Performance!G20&lt;&gt;"",Performance!G20,"")</f>
        <v>0.8</v>
      </c>
      <c r="F20" s="92">
        <f>IF(E20&lt;&gt;"",'Estimated Capital Cost'!R20+'Estimated O&amp;M Cost'!AA20,"")</f>
        <v>292674.39028676861</v>
      </c>
      <c r="G20" s="103">
        <f>IF('Loading Actual Flow'!M20&lt;&gt;"",'Loading Actual Flow'!M20,"")</f>
        <v>34678.387199999997</v>
      </c>
      <c r="H20" s="104">
        <f t="shared" si="0"/>
        <v>8.4396770991347783</v>
      </c>
      <c r="I20" s="127"/>
    </row>
    <row r="21" spans="1:9" ht="45" x14ac:dyDescent="0.25">
      <c r="A21" s="76" t="str">
        <f>IF(Performance!A21&lt;&gt;"",Performance!A21,"")</f>
        <v>PA0080314</v>
      </c>
      <c r="B21" s="77" t="str">
        <f>IF(Performance!B21&lt;&gt;"",Performance!B21,"")</f>
        <v>Hampden Township WWTP</v>
      </c>
      <c r="C21" s="77" t="str">
        <f>IF(Performance!E21&lt;&gt;"",Performance!E21,"")</f>
        <v>Added Process Control System [Nitrogen]</v>
      </c>
      <c r="D21" s="77" t="str">
        <f>IF(Performance!F21&lt;&gt;"",Performance!F21,"")</f>
        <v>NA</v>
      </c>
      <c r="E21" s="77">
        <f>IF(Performance!G21&lt;&gt;"",Performance!G21,"")</f>
        <v>3.3540000000000001</v>
      </c>
      <c r="F21" s="92">
        <f>IF(E21&lt;&gt;"",'Estimated Capital Cost'!R21+'Estimated O&amp;M Cost'!AA21,"")</f>
        <v>0</v>
      </c>
      <c r="G21" s="103">
        <f>IF('Loading Actual Flow'!M21&lt;&gt;"",'Loading Actual Flow'!M21,"")</f>
        <v>169586.62835399999</v>
      </c>
      <c r="H21" s="104">
        <f t="shared" si="0"/>
        <v>0</v>
      </c>
      <c r="I21" s="180" t="s">
        <v>311</v>
      </c>
    </row>
    <row r="22" spans="1:9" ht="60" x14ac:dyDescent="0.25">
      <c r="A22" s="76" t="str">
        <f>IF(Performance!A22&lt;&gt;"",Performance!A22,"")</f>
        <v>MA0100153</v>
      </c>
      <c r="B22" s="77" t="str">
        <f>IF(Performance!B22&lt;&gt;"",Performance!B22,"")</f>
        <v>Town of Lee WWTF</v>
      </c>
      <c r="C22" s="77" t="str">
        <f>IF(Performance!E22&lt;&gt;"",Performance!E22,"")</f>
        <v>Sequencing Batch Reactors [Phosphorus, Nitrogen]</v>
      </c>
      <c r="D22" s="77" t="str">
        <f>IF(Performance!F22&lt;&gt;"",Performance!F22,"")</f>
        <v>A2O or BNR 3- to 5-Stage Replace</v>
      </c>
      <c r="E22" s="77">
        <f>IF(Performance!G22&lt;&gt;"",Performance!G22,"")</f>
        <v>0.72599999999999998</v>
      </c>
      <c r="F22" s="92">
        <f>IF(E22&lt;&gt;"",'Estimated Capital Cost'!R22+'Estimated O&amp;M Cost'!AA22,"")</f>
        <v>600406.91008202767</v>
      </c>
      <c r="G22" s="103">
        <f>IF('Loading Actual Flow'!M22&lt;&gt;"",'Loading Actual Flow'!M22,"")</f>
        <v>38122.786349999995</v>
      </c>
      <c r="H22" s="104">
        <f t="shared" si="0"/>
        <v>15.749292419755875</v>
      </c>
      <c r="I22" s="127"/>
    </row>
    <row r="23" spans="1:9" x14ac:dyDescent="0.25">
      <c r="A23" s="76" t="str">
        <f>IF(Performance!A23&lt;&gt;"",Performance!A23,"")</f>
        <v/>
      </c>
      <c r="B23" s="77" t="str">
        <f>IF(Performance!B23&lt;&gt;"",Performance!B23,"")</f>
        <v/>
      </c>
      <c r="C23" s="77" t="str">
        <f>IF(Performance!E23&lt;&gt;"",Performance!E23,"")</f>
        <v/>
      </c>
      <c r="D23" s="77" t="str">
        <f>IF(Performance!F23&lt;&gt;"",Performance!F23,"")</f>
        <v/>
      </c>
      <c r="E23" s="77" t="str">
        <f>IF(Performance!G23&lt;&gt;"",Performance!G23,"")</f>
        <v/>
      </c>
      <c r="F23" s="92" t="str">
        <f>IF(E23&lt;&gt;"",'Estimated Capital Cost'!R23+'Estimated O&amp;M Cost'!AA23,"")</f>
        <v/>
      </c>
      <c r="G23" s="103" t="str">
        <f>IF('Loading Actual Flow'!M23&lt;&gt;"",'Loading Actual Flow'!M23,"")</f>
        <v/>
      </c>
      <c r="H23" s="104" t="str">
        <f t="shared" si="0"/>
        <v/>
      </c>
      <c r="I23" s="127"/>
    </row>
    <row r="24" spans="1:9" x14ac:dyDescent="0.25">
      <c r="A24" s="76" t="str">
        <f>IF(Performance!A24&lt;&gt;"",Performance!A24,"")</f>
        <v/>
      </c>
      <c r="B24" s="77" t="str">
        <f>IF(Performance!B24&lt;&gt;"",Performance!B24,"")</f>
        <v/>
      </c>
      <c r="C24" s="77" t="str">
        <f>IF(Performance!E24&lt;&gt;"",Performance!E24,"")</f>
        <v/>
      </c>
      <c r="D24" s="77" t="str">
        <f>IF(Performance!F24&lt;&gt;"",Performance!F24,"")</f>
        <v/>
      </c>
      <c r="E24" s="77" t="str">
        <f>IF(Performance!G24&lt;&gt;"",Performance!G24,"")</f>
        <v/>
      </c>
      <c r="F24" s="92" t="str">
        <f>IF(E24&lt;&gt;"",'Estimated Capital Cost'!R24+'Estimated O&amp;M Cost'!AA24,"")</f>
        <v/>
      </c>
      <c r="G24" s="103" t="str">
        <f>IF('Loading Actual Flow'!M24&lt;&gt;"",'Loading Actual Flow'!M24,"")</f>
        <v/>
      </c>
      <c r="H24" s="104" t="str">
        <f t="shared" si="0"/>
        <v/>
      </c>
      <c r="I24" s="127"/>
    </row>
    <row r="25" spans="1:9" x14ac:dyDescent="0.25">
      <c r="A25" s="76" t="str">
        <f>IF(Performance!A25&lt;&gt;"",Performance!A25,"")</f>
        <v/>
      </c>
      <c r="B25" s="77" t="str">
        <f>IF(Performance!B25&lt;&gt;"",Performance!B25,"")</f>
        <v/>
      </c>
      <c r="C25" s="77" t="str">
        <f>IF(Performance!E25&lt;&gt;"",Performance!E25,"")</f>
        <v/>
      </c>
      <c r="D25" s="77" t="str">
        <f>IF(Performance!F25&lt;&gt;"",Performance!F25,"")</f>
        <v/>
      </c>
      <c r="E25" s="77" t="str">
        <f>IF(Performance!G25&lt;&gt;"",Performance!G25,"")</f>
        <v/>
      </c>
      <c r="F25" s="92" t="str">
        <f>IF(E25&lt;&gt;"",'Estimated Capital Cost'!R25+'Estimated O&amp;M Cost'!AA25,"")</f>
        <v/>
      </c>
      <c r="G25" s="103" t="str">
        <f>IF('Loading Actual Flow'!M25&lt;&gt;"",'Loading Actual Flow'!M25,"")</f>
        <v/>
      </c>
      <c r="H25" s="104" t="str">
        <f t="shared" si="0"/>
        <v/>
      </c>
      <c r="I25" s="127"/>
    </row>
    <row r="26" spans="1:9" x14ac:dyDescent="0.25">
      <c r="A26" s="76" t="str">
        <f>IF(Performance!A26&lt;&gt;"",Performance!A26,"")</f>
        <v/>
      </c>
      <c r="B26" s="77" t="str">
        <f>IF(Performance!B26&lt;&gt;"",Performance!B26,"")</f>
        <v/>
      </c>
      <c r="C26" s="77" t="str">
        <f>IF(Performance!E26&lt;&gt;"",Performance!E26,"")</f>
        <v/>
      </c>
      <c r="D26" s="77" t="str">
        <f>IF(Performance!F26&lt;&gt;"",Performance!F26,"")</f>
        <v/>
      </c>
      <c r="E26" s="77" t="str">
        <f>IF(Performance!G26&lt;&gt;"",Performance!G26,"")</f>
        <v/>
      </c>
      <c r="F26" s="92" t="str">
        <f>IF(E26&lt;&gt;"",'Estimated Capital Cost'!R26+'Estimated O&amp;M Cost'!AA26,"")</f>
        <v/>
      </c>
      <c r="G26" s="103" t="str">
        <f>IF('Loading Actual Flow'!M26&lt;&gt;"",'Loading Actual Flow'!M26,"")</f>
        <v/>
      </c>
      <c r="H26" s="104" t="str">
        <f t="shared" si="0"/>
        <v/>
      </c>
      <c r="I26" s="127"/>
    </row>
    <row r="27" spans="1:9" x14ac:dyDescent="0.25">
      <c r="A27" s="76" t="str">
        <f>IF(Performance!A27&lt;&gt;"",Performance!A27,"")</f>
        <v/>
      </c>
      <c r="B27" s="77" t="str">
        <f>IF(Performance!B27&lt;&gt;"",Performance!B27,"")</f>
        <v/>
      </c>
      <c r="C27" s="77" t="str">
        <f>IF(Performance!E27&lt;&gt;"",Performance!E27,"")</f>
        <v/>
      </c>
      <c r="D27" s="77" t="str">
        <f>IF(Performance!F27&lt;&gt;"",Performance!F27,"")</f>
        <v/>
      </c>
      <c r="E27" s="77" t="str">
        <f>IF(Performance!G27&lt;&gt;"",Performance!G27,"")</f>
        <v/>
      </c>
      <c r="F27" s="92" t="str">
        <f>IF(E27&lt;&gt;"",'Estimated Capital Cost'!R27+'Estimated O&amp;M Cost'!AA27,"")</f>
        <v/>
      </c>
      <c r="G27" s="103" t="str">
        <f>IF('Loading Actual Flow'!M27&lt;&gt;"",'Loading Actual Flow'!M27,"")</f>
        <v/>
      </c>
      <c r="H27" s="104" t="str">
        <f t="shared" si="0"/>
        <v/>
      </c>
      <c r="I27" s="127"/>
    </row>
    <row r="28" spans="1:9" x14ac:dyDescent="0.25">
      <c r="A28" s="76" t="str">
        <f>IF(Performance!A28&lt;&gt;"",Performance!A28,"")</f>
        <v/>
      </c>
      <c r="B28" s="77" t="str">
        <f>IF(Performance!B28&lt;&gt;"",Performance!B28,"")</f>
        <v/>
      </c>
      <c r="C28" s="77" t="str">
        <f>IF(Performance!E28&lt;&gt;"",Performance!E28,"")</f>
        <v/>
      </c>
      <c r="D28" s="77" t="str">
        <f>IF(Performance!F28&lt;&gt;"",Performance!F28,"")</f>
        <v/>
      </c>
      <c r="E28" s="77" t="str">
        <f>IF(Performance!G28&lt;&gt;"",Performance!G28,"")</f>
        <v/>
      </c>
      <c r="F28" s="92" t="str">
        <f>IF(E28&lt;&gt;"",'Estimated Capital Cost'!R28+'Estimated O&amp;M Cost'!AA28,"")</f>
        <v/>
      </c>
      <c r="G28" s="103" t="str">
        <f>IF('Loading Actual Flow'!M28&lt;&gt;"",'Loading Actual Flow'!M28,"")</f>
        <v/>
      </c>
      <c r="H28" s="104" t="str">
        <f t="shared" si="0"/>
        <v/>
      </c>
      <c r="I28" s="127"/>
    </row>
    <row r="29" spans="1:9" x14ac:dyDescent="0.25">
      <c r="A29" s="76" t="str">
        <f>IF(Performance!A29&lt;&gt;"",Performance!A29,"")</f>
        <v/>
      </c>
      <c r="B29" s="77" t="str">
        <f>IF(Performance!B29&lt;&gt;"",Performance!B29,"")</f>
        <v/>
      </c>
      <c r="C29" s="77" t="str">
        <f>IF(Performance!E29&lt;&gt;"",Performance!E29,"")</f>
        <v/>
      </c>
      <c r="D29" s="77" t="str">
        <f>IF(Performance!F29&lt;&gt;"",Performance!F29,"")</f>
        <v/>
      </c>
      <c r="E29" s="77" t="str">
        <f>IF(Performance!G29&lt;&gt;"",Performance!G29,"")</f>
        <v/>
      </c>
      <c r="F29" s="92" t="str">
        <f>IF(E29&lt;&gt;"",'Estimated Capital Cost'!R29+'Estimated O&amp;M Cost'!AA29,"")</f>
        <v/>
      </c>
      <c r="G29" s="103" t="str">
        <f>IF('Loading Actual Flow'!M29&lt;&gt;"",'Loading Actual Flow'!M29,"")</f>
        <v/>
      </c>
      <c r="H29" s="104" t="str">
        <f t="shared" si="0"/>
        <v/>
      </c>
      <c r="I29" s="127"/>
    </row>
    <row r="30" spans="1:9" x14ac:dyDescent="0.25">
      <c r="A30" s="76" t="str">
        <f>IF(Performance!A30&lt;&gt;"",Performance!A30,"")</f>
        <v/>
      </c>
      <c r="B30" s="77" t="str">
        <f>IF(Performance!B30&lt;&gt;"",Performance!B30,"")</f>
        <v/>
      </c>
      <c r="C30" s="77" t="str">
        <f>IF(Performance!E30&lt;&gt;"",Performance!E30,"")</f>
        <v/>
      </c>
      <c r="D30" s="77" t="str">
        <f>IF(Performance!F30&lt;&gt;"",Performance!F30,"")</f>
        <v/>
      </c>
      <c r="E30" s="77" t="str">
        <f>IF(Performance!G30&lt;&gt;"",Performance!G30,"")</f>
        <v/>
      </c>
      <c r="F30" s="92" t="str">
        <f>IF(E30&lt;&gt;"",'Estimated Capital Cost'!R30+'Estimated O&amp;M Cost'!AA30,"")</f>
        <v/>
      </c>
      <c r="G30" s="103" t="str">
        <f>IF('Loading Actual Flow'!M30&lt;&gt;"",'Loading Actual Flow'!M30,"")</f>
        <v/>
      </c>
      <c r="H30" s="104" t="str">
        <f t="shared" si="0"/>
        <v/>
      </c>
      <c r="I30" s="127"/>
    </row>
    <row r="31" spans="1:9" x14ac:dyDescent="0.25">
      <c r="A31" s="76" t="str">
        <f>IF(Performance!A31&lt;&gt;"",Performance!A31,"")</f>
        <v/>
      </c>
      <c r="B31" s="77" t="str">
        <f>IF(Performance!B31&lt;&gt;"",Performance!B31,"")</f>
        <v/>
      </c>
      <c r="C31" s="77" t="str">
        <f>IF(Performance!E31&lt;&gt;"",Performance!E31,"")</f>
        <v/>
      </c>
      <c r="D31" s="77" t="str">
        <f>IF(Performance!F31&lt;&gt;"",Performance!F31,"")</f>
        <v/>
      </c>
      <c r="E31" s="77" t="str">
        <f>IF(Performance!G31&lt;&gt;"",Performance!G31,"")</f>
        <v/>
      </c>
      <c r="F31" s="92" t="str">
        <f>IF(E31&lt;&gt;"",'Estimated Capital Cost'!R31+'Estimated O&amp;M Cost'!AA31,"")</f>
        <v/>
      </c>
      <c r="G31" s="103" t="str">
        <f>IF('Loading Actual Flow'!M31&lt;&gt;"",'Loading Actual Flow'!M31,"")</f>
        <v/>
      </c>
      <c r="H31" s="104" t="str">
        <f t="shared" si="0"/>
        <v/>
      </c>
      <c r="I31" s="127"/>
    </row>
    <row r="32" spans="1:9" x14ac:dyDescent="0.25">
      <c r="A32" s="76" t="str">
        <f>IF(Performance!A32&lt;&gt;"",Performance!A32,"")</f>
        <v/>
      </c>
      <c r="B32" s="77" t="str">
        <f>IF(Performance!B32&lt;&gt;"",Performance!B32,"")</f>
        <v/>
      </c>
      <c r="C32" s="77" t="str">
        <f>IF(Performance!E32&lt;&gt;"",Performance!E32,"")</f>
        <v/>
      </c>
      <c r="D32" s="77" t="str">
        <f>IF(Performance!F32&lt;&gt;"",Performance!F32,"")</f>
        <v/>
      </c>
      <c r="E32" s="77" t="str">
        <f>IF(Performance!G32&lt;&gt;"",Performance!G32,"")</f>
        <v/>
      </c>
      <c r="F32" s="92" t="str">
        <f>IF(E32&lt;&gt;"",'Estimated Capital Cost'!R32+'Estimated O&amp;M Cost'!AA32,"")</f>
        <v/>
      </c>
      <c r="G32" s="103" t="str">
        <f>IF('Loading Actual Flow'!M32&lt;&gt;"",'Loading Actual Flow'!M32,"")</f>
        <v/>
      </c>
      <c r="H32" s="104" t="str">
        <f t="shared" si="0"/>
        <v/>
      </c>
      <c r="I32" s="127"/>
    </row>
    <row r="33" spans="1:9" ht="15.75" thickBot="1" x14ac:dyDescent="0.3">
      <c r="A33" s="78" t="str">
        <f>IF(Performance!A33&lt;&gt;"",Performance!A33,"")</f>
        <v/>
      </c>
      <c r="B33" s="79" t="str">
        <f>IF(Performance!B33&lt;&gt;"",Performance!B33,"")</f>
        <v/>
      </c>
      <c r="C33" s="79" t="str">
        <f>IF(Performance!E33&lt;&gt;"",Performance!E33,"")</f>
        <v/>
      </c>
      <c r="D33" s="79" t="str">
        <f>IF(Performance!F33&lt;&gt;"",Performance!F33,"")</f>
        <v/>
      </c>
      <c r="E33" s="79" t="str">
        <f>IF(Performance!G33&lt;&gt;"",Performance!G33,"")</f>
        <v/>
      </c>
      <c r="F33" s="94" t="str">
        <f>IF(E33&lt;&gt;"",'Estimated Capital Cost'!R33+'Estimated O&amp;M Cost'!AA33,"")</f>
        <v/>
      </c>
      <c r="G33" s="107" t="str">
        <f>IF('Loading Actual Flow'!M33&lt;&gt;"",'Loading Actual Flow'!M33,"")</f>
        <v/>
      </c>
      <c r="H33" s="108" t="str">
        <f t="shared" si="0"/>
        <v/>
      </c>
      <c r="I33" s="128"/>
    </row>
    <row r="34" spans="1:9" ht="15.75" thickTop="1" x14ac:dyDescent="0.25">
      <c r="D34" s="217"/>
    </row>
    <row r="36" spans="1:9" x14ac:dyDescent="0.25">
      <c r="H36" s="11"/>
    </row>
    <row r="37" spans="1:9" x14ac:dyDescent="0.25">
      <c r="H37" s="11"/>
    </row>
  </sheetData>
  <autoFilter ref="A1:I37" xr:uid="{F7EF1472-8B6D-4AB9-BD1B-CAEF928D4CD2}"/>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38EA8-E283-4F0D-B402-03511ADF0641}">
  <dimension ref="A1:I34"/>
  <sheetViews>
    <sheetView topLeftCell="B1" workbookViewId="0">
      <pane xSplit="1" ySplit="1" topLeftCell="C2" activePane="bottomRight" state="frozen"/>
      <selection activeCell="B1" sqref="B1"/>
      <selection pane="topRight" activeCell="C1" sqref="C1"/>
      <selection pane="bottomLeft" activeCell="B2" sqref="B2"/>
      <selection pane="bottomRight" activeCell="F4" sqref="F4"/>
    </sheetView>
  </sheetViews>
  <sheetFormatPr defaultRowHeight="15" x14ac:dyDescent="0.25"/>
  <cols>
    <col min="1" max="1" width="11.5703125" customWidth="1"/>
    <col min="2" max="2" width="23.5703125" customWidth="1"/>
    <col min="3" max="3" width="18.5703125" style="1" customWidth="1"/>
    <col min="4" max="4" width="30.5703125" style="1" customWidth="1"/>
    <col min="5" max="5" width="12.5703125" style="1" customWidth="1"/>
    <col min="6" max="6" width="23.5703125" customWidth="1"/>
    <col min="7" max="7" width="28.5703125" customWidth="1"/>
    <col min="8" max="8" width="25.28515625" customWidth="1"/>
    <col min="9" max="9" width="30.5703125" style="1" customWidth="1"/>
  </cols>
  <sheetData>
    <row r="1" spans="1:9" ht="61.5" thickTop="1" thickBot="1" x14ac:dyDescent="0.3">
      <c r="A1" s="68" t="s">
        <v>0</v>
      </c>
      <c r="B1" s="69" t="s">
        <v>1</v>
      </c>
      <c r="C1" s="70" t="s">
        <v>11</v>
      </c>
      <c r="D1" s="46" t="s">
        <v>243</v>
      </c>
      <c r="E1" s="169" t="s">
        <v>148</v>
      </c>
      <c r="F1" s="95" t="s">
        <v>316</v>
      </c>
      <c r="G1" s="73" t="s">
        <v>186</v>
      </c>
      <c r="H1" s="96" t="s">
        <v>185</v>
      </c>
      <c r="I1" s="175" t="s">
        <v>154</v>
      </c>
    </row>
    <row r="2" spans="1:9" ht="30.75" thickTop="1" x14ac:dyDescent="0.25">
      <c r="A2" s="97" t="str">
        <f>IF(Performance!A2="","",Performance!A2)</f>
        <v>IA0029025</v>
      </c>
      <c r="B2" s="141" t="str">
        <f>IF(Performance!B2="","",Performance!B2)</f>
        <v>City of Atlantic WWTP</v>
      </c>
      <c r="C2" s="75" t="str">
        <f>IF(Performance!E2&lt;&gt;"",Performance!E2,"")</f>
        <v>BNR [Total Nitrogen]</v>
      </c>
      <c r="D2" s="75" t="str">
        <f>IF(Performance!F2&lt;&gt;"",Performance!F2,"")</f>
        <v>A2O or BNR 3- to 5-Stage Replace</v>
      </c>
      <c r="E2" s="75">
        <f>IF(Performance!H2&lt;&gt;"",Performance!H2,"")</f>
        <v>8.1</v>
      </c>
      <c r="F2" s="90">
        <f>IF(E2&lt;&gt;"",'Estimated Capital Cost'!R2+('Estimated O&amp;M Cost'!AA2*E2/'Unit Cost Actual Flow'!E2),"")</f>
        <v>1993359.3860498583</v>
      </c>
      <c r="G2" s="98">
        <f>IF('Loading Design Flow'!M2&lt;&gt;"",'Loading Design Flow'!M2,"")</f>
        <v>410542.54649999994</v>
      </c>
      <c r="H2" s="99">
        <f>IF(AND(F2&lt;&gt;"",G2&lt;&gt;""),F2/G2,"")</f>
        <v>4.8554270514563065</v>
      </c>
      <c r="I2" s="185"/>
    </row>
    <row r="3" spans="1:9" ht="45" x14ac:dyDescent="0.25">
      <c r="A3" s="100" t="str">
        <f>IF(Performance!A3="","",Performance!A3)</f>
        <v>MN0020192</v>
      </c>
      <c r="B3" s="101" t="str">
        <f>IF(Performance!B3="","",Performance!B3)</f>
        <v>Detroit Lakes WRF</v>
      </c>
      <c r="C3" s="77" t="str">
        <f>IF(Performance!E3&lt;&gt;"",Performance!E3,"")</f>
        <v>Membrane Bioreactor with Bio-P [Phosphorus]</v>
      </c>
      <c r="D3" s="77" t="str">
        <f>IF(Performance!F3&lt;&gt;"",Performance!F3,"")</f>
        <v>NA</v>
      </c>
      <c r="E3" s="77">
        <f>IF(Performance!H3&lt;&gt;"",Performance!H3,"")</f>
        <v>2.21</v>
      </c>
      <c r="F3" s="92">
        <f>IF(E3&lt;&gt;"",'Estimated Capital Cost'!R3+('Estimated O&amp;M Cost'!AA3*E3/'Unit Cost Actual Flow'!E3),"")</f>
        <v>602282.93658061023</v>
      </c>
      <c r="G3" s="103">
        <f>IF('Loading Design Flow'!M3&lt;&gt;"",'Loading Design Flow'!M3,"")</f>
        <v>107168.45372999999</v>
      </c>
      <c r="H3" s="104">
        <f t="shared" ref="H3:H33" si="0">IF(AND(F3&lt;&gt;"",G3&lt;&gt;""),F3/G3,"")</f>
        <v>5.6199647901797736</v>
      </c>
      <c r="I3" s="185"/>
    </row>
    <row r="4" spans="1:9" ht="60" x14ac:dyDescent="0.25">
      <c r="A4" s="100" t="str">
        <f>IF(Performance!A4="","",Performance!A4)</f>
        <v>MN0030066</v>
      </c>
      <c r="B4" s="101" t="str">
        <f>IF(Performance!B4="","",Performance!B4)</f>
        <v>New Ulm WWTP</v>
      </c>
      <c r="C4" s="77" t="str">
        <f>IF(Performance!E4&lt;&gt;"",Performance!E4,"")</f>
        <v>Biological Phosphorus Removal [Phosphorus]</v>
      </c>
      <c r="D4" s="77" t="str">
        <f>IF(Performance!F4&lt;&gt;"",Performance!F4,"")</f>
        <v>A/O or BNR 2-Stage Replace</v>
      </c>
      <c r="E4" s="77">
        <f>IF(Performance!H4&lt;&gt;"",Performance!H4,"")</f>
        <v>6.77</v>
      </c>
      <c r="F4" s="92">
        <f>IF(E4&lt;&gt;"",'Estimated Capital Cost'!R4+('Estimated O&amp;M Cost'!AA4*E4/'Unit Cost Actual Flow'!E4),"")</f>
        <v>351463.19520964206</v>
      </c>
      <c r="G4" s="103">
        <f>IF('Loading Design Flow'!M4&lt;&gt;"",'Loading Design Flow'!M4,"")</f>
        <v>218862.87533999994</v>
      </c>
      <c r="H4" s="104">
        <f t="shared" si="0"/>
        <v>1.6058602659937171</v>
      </c>
      <c r="I4" s="185"/>
    </row>
    <row r="5" spans="1:9" ht="60" x14ac:dyDescent="0.25">
      <c r="A5" s="100" t="str">
        <f>IF(Performance!A5="","",Performance!A5)</f>
        <v>MN0040878</v>
      </c>
      <c r="B5" s="101" t="str">
        <f>IF(Performance!B5="","",Performance!B5)</f>
        <v>St. Cloud NEW RF</v>
      </c>
      <c r="C5" s="77" t="str">
        <f>IF(Performance!E5&lt;&gt;"",Performance!E5,"")</f>
        <v>Full Nitrification and BNR [Phosphorus, Nitrogen]</v>
      </c>
      <c r="D5" s="77" t="str">
        <f>IF(Performance!F5&lt;&gt;"",Performance!F5,"")</f>
        <v>A2O or BNR 3- to 5-Stage Retrofit</v>
      </c>
      <c r="E5" s="77">
        <f>IF(Performance!H5&lt;&gt;"",Performance!H5,"")</f>
        <v>17.899999999999999</v>
      </c>
      <c r="F5" s="92">
        <f>IF(E5&lt;&gt;"",'Estimated Capital Cost'!R5+('Estimated O&amp;M Cost'!AA5*E5/'Unit Cost Actual Flow'!E5),"")</f>
        <v>3337996.8711842913</v>
      </c>
      <c r="G5" s="103">
        <f>IF('Loading Design Flow'!M5&lt;&gt;"",'Loading Design Flow'!M5,"")</f>
        <v>392323.60800000001</v>
      </c>
      <c r="H5" s="104">
        <f t="shared" si="0"/>
        <v>8.5082742998843219</v>
      </c>
      <c r="I5" s="185"/>
    </row>
    <row r="6" spans="1:9" ht="60" x14ac:dyDescent="0.25">
      <c r="A6" s="100" t="str">
        <f>IF(Performance!A6="","",Performance!A6)</f>
        <v>MN0066079</v>
      </c>
      <c r="B6" s="101" t="str">
        <f>IF(Performance!B6="","",Performance!B6)</f>
        <v>City of Long Prairie WWTF</v>
      </c>
      <c r="C6" s="77" t="str">
        <f>IF(Performance!E6&lt;&gt;"",Performance!E6,"")</f>
        <v>Extended Aeration Activated Sludge/BNR [Phosphorus]</v>
      </c>
      <c r="D6" s="77" t="str">
        <f>IF(Performance!F6&lt;&gt;"",Performance!F6,"")</f>
        <v>A/O or BNR 2-Stage Replace</v>
      </c>
      <c r="E6" s="77">
        <f>IF(Performance!H6&lt;&gt;"",Performance!H6,"")</f>
        <v>2.2789999999999999</v>
      </c>
      <c r="F6" s="92">
        <f>IF(E6&lt;&gt;"",'Estimated Capital Cost'!R6+('Estimated O&amp;M Cost'!AA6*E6/'Unit Cost Actual Flow'!E6),"")</f>
        <v>1233855.1022280394</v>
      </c>
      <c r="G6" s="103">
        <f>IF('Loading Design Flow'!M6&lt;&gt;"",'Loading Design Flow'!M6,"")</f>
        <v>188353.23088500003</v>
      </c>
      <c r="H6" s="104">
        <f t="shared" si="0"/>
        <v>6.5507509291485189</v>
      </c>
      <c r="I6" s="185"/>
    </row>
    <row r="7" spans="1:9" ht="90" x14ac:dyDescent="0.25">
      <c r="A7" s="100" t="str">
        <f>IF(Performance!A7="","",Performance!A7)</f>
        <v>MT0020125</v>
      </c>
      <c r="B7" s="101" t="str">
        <f>IF(Performance!B7="","",Performance!B7)</f>
        <v>Chinook WWTF</v>
      </c>
      <c r="C7" s="77" t="str">
        <f>IF(Performance!E7&lt;&gt;"",Performance!E7,"")</f>
        <v>Activated Sludge-Oxidation Ditch; Optimized through mixers, DO probe, and SCADA [Nitrogen]</v>
      </c>
      <c r="D7" s="77" t="str">
        <f>IF(Performance!F7&lt;&gt;"",Performance!F7,"")</f>
        <v>NA</v>
      </c>
      <c r="E7" s="77">
        <f>IF(Performance!H7&lt;&gt;"",Performance!H7,"")</f>
        <v>0.5</v>
      </c>
      <c r="F7" s="92">
        <f>'Estimated Capital Cost'!R7+'Estimated O&amp;M Cost'!AA7</f>
        <v>-14654.051386574527</v>
      </c>
      <c r="G7" s="103">
        <f>IF('Loading Design Flow'!M7&lt;&gt;"",'Loading Design Flow'!M7,"")</f>
        <v>27670.868999999995</v>
      </c>
      <c r="H7" s="104">
        <f t="shared" si="0"/>
        <v>-0.52958406859482909</v>
      </c>
      <c r="I7" s="185" t="s">
        <v>224</v>
      </c>
    </row>
    <row r="8" spans="1:9" ht="60" x14ac:dyDescent="0.25">
      <c r="A8" s="100" t="str">
        <f>IF(Performance!A8="","",Performance!A8)</f>
        <v>MT0021938</v>
      </c>
      <c r="B8" s="101" t="str">
        <f>IF(Performance!B8="","",Performance!B8)</f>
        <v>City of Kalispell Advanced Wastewater Treatment and Biological Nutrient Removal Facility</v>
      </c>
      <c r="C8" s="77" t="str">
        <f>IF(Performance!E8&lt;&gt;"",Performance!E8,"")</f>
        <v>Modified Johannesburg BNR [Phosphorus, Nitrogen]</v>
      </c>
      <c r="D8" s="77" t="str">
        <f>IF(Performance!F8&lt;&gt;"",Performance!F8,"")</f>
        <v>A2O or BNR 3- to 5-Stage Retrofit</v>
      </c>
      <c r="E8" s="77">
        <f>IF(Performance!H8&lt;&gt;"",Performance!H8,"")</f>
        <v>5.4</v>
      </c>
      <c r="F8" s="92">
        <f>IF(E8&lt;&gt;"",'Estimated Capital Cost'!R8+('Estimated O&amp;M Cost'!AA8*E8/'Unit Cost Actual Flow'!E8),"")</f>
        <v>1295721.2644074769</v>
      </c>
      <c r="G8" s="103">
        <f>IF('Loading Design Flow'!M8&lt;&gt;"",'Loading Design Flow'!M8,"")</f>
        <v>216654.68520000001</v>
      </c>
      <c r="H8" s="104">
        <f t="shared" si="0"/>
        <v>5.9805827102763107</v>
      </c>
      <c r="I8" s="185"/>
    </row>
    <row r="9" spans="1:9" ht="30" x14ac:dyDescent="0.25">
      <c r="A9" s="100" t="str">
        <f>IF(Performance!A9="","",Performance!A9)</f>
        <v>MT0022594</v>
      </c>
      <c r="B9" s="101" t="str">
        <f>IF(Performance!B9="","",Performance!B9)</f>
        <v>Missoula WWTP</v>
      </c>
      <c r="C9" s="77" t="str">
        <f>IF(Performance!E9&lt;&gt;"",Performance!E9,"")</f>
        <v>BNR [Phosphorus, Nitrogen]</v>
      </c>
      <c r="D9" s="77" t="str">
        <f>IF(Performance!F9&lt;&gt;"",Performance!F9,"")</f>
        <v>A2O or BNR 3- to 5-Stage Replace</v>
      </c>
      <c r="E9" s="77">
        <f>IF(Performance!H9&lt;&gt;"",Performance!H9,"")</f>
        <v>12</v>
      </c>
      <c r="F9" s="92">
        <f>IF(E9&lt;&gt;"",'Estimated Capital Cost'!R9+('Estimated O&amp;M Cost'!AA9*E9/'Unit Cost Actual Flow'!E9),"")</f>
        <v>3303416.0204221187</v>
      </c>
      <c r="G9" s="103">
        <f>IF('Loading Design Flow'!M9&lt;&gt;"",'Loading Design Flow'!M9,"")</f>
        <v>415337.00400000007</v>
      </c>
      <c r="H9" s="104">
        <f t="shared" si="0"/>
        <v>7.9535798366333816</v>
      </c>
      <c r="I9" s="185"/>
    </row>
    <row r="10" spans="1:9" ht="75" x14ac:dyDescent="0.25">
      <c r="A10" s="100" t="str">
        <f>IF(Performance!A10="","",Performance!A10)</f>
        <v>NY0027561</v>
      </c>
      <c r="B10" s="101" t="str">
        <f>IF(Performance!B10="","",Performance!B10)</f>
        <v>LeRoy R Summerson WWTF (City of Cortland)</v>
      </c>
      <c r="C10" s="77" t="str">
        <f>IF(Performance!E10&lt;&gt;"",Performance!E10,"")</f>
        <v>Cycling Air and Adding Internal Carbon Source [Phosphorus, Nitrogen]</v>
      </c>
      <c r="D10" s="77" t="str">
        <f>IF(Performance!F10&lt;&gt;"",Performance!F10,"")</f>
        <v>NA</v>
      </c>
      <c r="E10" s="77">
        <f>IF(Performance!H10&lt;&gt;"",Performance!H10,"")</f>
        <v>9</v>
      </c>
      <c r="F10" s="92">
        <f>IF(E10&lt;&gt;"",'Estimated Capital Cost'!R10+('Estimated O&amp;M Cost'!AA10*E10/'Unit Cost Actual Flow'!E10),"")</f>
        <v>0</v>
      </c>
      <c r="G10" s="103">
        <f>IF('Loading Design Flow'!M10&lt;&gt;"",'Loading Design Flow'!M10,"")</f>
        <v>214243.75799999994</v>
      </c>
      <c r="H10" s="104">
        <f t="shared" si="0"/>
        <v>0</v>
      </c>
      <c r="I10" s="185"/>
    </row>
    <row r="11" spans="1:9" ht="60" x14ac:dyDescent="0.25">
      <c r="A11" s="100" t="str">
        <f>IF(Performance!A11="","",Performance!A11)</f>
        <v>IL0028053</v>
      </c>
      <c r="B11" s="209" t="str">
        <f>IF(Performance!B11="","",Performance!B11)</f>
        <v>Stickney WRP</v>
      </c>
      <c r="C11" s="192" t="str">
        <f>IF(Performance!E11&lt;&gt;"",Performance!E11,"")</f>
        <v>Ostara Phosphorus Recovery [Phosphorus]</v>
      </c>
      <c r="D11" s="77" t="str">
        <f>IF(Performance!F11&lt;&gt;"",Performance!F11,"")</f>
        <v>A/O or BNR 2-Stage Retrofit</v>
      </c>
      <c r="E11" s="192">
        <f>IF(Performance!H11&lt;&gt;"",Performance!H11,"")</f>
        <v>1440</v>
      </c>
      <c r="F11" s="205">
        <f>IF(E11&lt;&gt;"",'Estimated Capital Cost'!R11+('Estimated O&amp;M Cost'!AA11*E11/'Unit Cost Actual Flow'!E11),"")</f>
        <v>31870130.432703719</v>
      </c>
      <c r="G11" s="206">
        <f>IF('Loading Design Flow'!M11&lt;&gt;"",'Loading Design Flow'!M11,"")</f>
        <v>-5523215.0399999917</v>
      </c>
      <c r="H11" s="207">
        <f t="shared" si="0"/>
        <v>-5.7702135806582255</v>
      </c>
      <c r="I11" s="208" t="s">
        <v>300</v>
      </c>
    </row>
    <row r="12" spans="1:9" ht="30" x14ac:dyDescent="0.25">
      <c r="A12" s="100" t="str">
        <f>IF(Performance!A12="","",Performance!A12)</f>
        <v>MN0020567</v>
      </c>
      <c r="B12" s="101" t="str">
        <f>IF(Performance!B12="","",Performance!B12)</f>
        <v>Monticello WWTP</v>
      </c>
      <c r="C12" s="77" t="str">
        <f>IF(Performance!E12&lt;&gt;"",Performance!E12,"")</f>
        <v>BNR [Phosphorus, Nitrogen]</v>
      </c>
      <c r="D12" s="77" t="str">
        <f>IF(Performance!F12&lt;&gt;"",Performance!F12,"")</f>
        <v>A2O or BNR 3- to 5-Stage Retrofit</v>
      </c>
      <c r="E12" s="77">
        <f>IF(Performance!H12&lt;&gt;"",Performance!H12,"")</f>
        <v>2.36</v>
      </c>
      <c r="F12" s="92">
        <f>IF(E12&lt;&gt;"",'Estimated Capital Cost'!R12+('Estimated O&amp;M Cost'!AA12*E12/'Unit Cost Actual Flow'!E12),"")</f>
        <v>665783.8364948642</v>
      </c>
      <c r="G12" s="103">
        <f>IF('Loading Design Flow'!M12&lt;&gt;"",'Loading Design Flow'!M12,"")</f>
        <v>88292.294040000008</v>
      </c>
      <c r="H12" s="104">
        <f t="shared" si="0"/>
        <v>7.5406788750243257</v>
      </c>
      <c r="I12" s="185"/>
    </row>
    <row r="13" spans="1:9" ht="60" x14ac:dyDescent="0.25">
      <c r="A13" s="100" t="str">
        <f>IF(Performance!A13="","",Performance!A13)</f>
        <v>MN0055361</v>
      </c>
      <c r="B13" s="101" t="str">
        <f>IF(Performance!B13="","",Performance!B13)</f>
        <v>Plainview Township WWTP</v>
      </c>
      <c r="C13" s="77" t="str">
        <f>IF(Performance!E13&lt;&gt;"",Performance!E13,"")</f>
        <v>Biological Phosphorus Removal [Phosphorus]</v>
      </c>
      <c r="D13" s="77" t="str">
        <f>IF(Performance!F13&lt;&gt;"",Performance!F13,"")</f>
        <v>A/O or BNR 2-Stage Retrofit</v>
      </c>
      <c r="E13" s="77">
        <f>IF(Performance!H13&lt;&gt;"",Performance!H13,"")</f>
        <v>2.67</v>
      </c>
      <c r="F13" s="92">
        <f>IF(E13&lt;&gt;"",'Estimated Capital Cost'!R13+('Estimated O&amp;M Cost'!AA13*E13/'Unit Cost Actual Flow'!E13),"")</f>
        <v>197561.38645929261</v>
      </c>
      <c r="G13" s="103">
        <f>IF('Loading Design Flow'!M13&lt;&gt;"",'Loading Design Flow'!M13,"")</f>
        <v>82008.96722999998</v>
      </c>
      <c r="H13" s="104">
        <f t="shared" si="0"/>
        <v>2.4090217586232692</v>
      </c>
      <c r="I13" s="185"/>
    </row>
    <row r="14" spans="1:9" ht="30" x14ac:dyDescent="0.25">
      <c r="A14" s="100" t="str">
        <f>IF(Performance!A14="","",Performance!A14)</f>
        <v>MT0022568</v>
      </c>
      <c r="B14" s="101" t="str">
        <f>IF(Performance!B14="","",Performance!B14)</f>
        <v>Billings WRF</v>
      </c>
      <c r="C14" s="77" t="str">
        <f>IF(Performance!E14&lt;&gt;"",Performance!E14,"")</f>
        <v>BNR [Phosphorus, Nitrogen]</v>
      </c>
      <c r="D14" s="77" t="str">
        <f>IF(Performance!F14&lt;&gt;"",Performance!F14,"")</f>
        <v>A2O or BNR 3- to 5-Stage Replace</v>
      </c>
      <c r="E14" s="77">
        <f>IF(Performance!H14&lt;&gt;"",Performance!H14,"")</f>
        <v>26</v>
      </c>
      <c r="F14" s="92">
        <f>IF(E14&lt;&gt;"",'Estimated Capital Cost'!R14+('Estimated O&amp;M Cost'!AA14*E14/'Unit Cost Actual Flow'!E14),"")</f>
        <v>6156495.6270303261</v>
      </c>
      <c r="G14" s="103">
        <f>IF('Loading Design Flow'!M14&lt;&gt;"",'Loading Design Flow'!M14,"")</f>
        <v>847660.08599999989</v>
      </c>
      <c r="H14" s="104">
        <f t="shared" si="0"/>
        <v>7.2629297152376795</v>
      </c>
      <c r="I14" s="185"/>
    </row>
    <row r="15" spans="1:9" ht="60" x14ac:dyDescent="0.25">
      <c r="A15" s="100" t="str">
        <f>IF(Performance!A15="","",Performance!A15)</f>
        <v>MT0022608</v>
      </c>
      <c r="B15" s="101" t="str">
        <f>IF(Performance!B15="","",Performance!B15)</f>
        <v>Bozeman WRF</v>
      </c>
      <c r="C15" s="77" t="str">
        <f>IF(Performance!E15&lt;&gt;"",Performance!E15,"")</f>
        <v>BNR [Phosphorus, Nitrogen]</v>
      </c>
      <c r="D15" s="77" t="str">
        <f>IF(Performance!F15&lt;&gt;"",Performance!F15,"")</f>
        <v>A2O or BNR 3- to 5-Stage Replace</v>
      </c>
      <c r="E15" s="77">
        <f>IF(Performance!H15&lt;&gt;"",Performance!H15,"")</f>
        <v>8.5</v>
      </c>
      <c r="F15" s="92">
        <f>'Estimated Capital Cost'!R15+('Estimated O&amp;M Cost'!AA15*E15/'Unit Cost Actual Flow'!E15)+2645388</f>
        <v>4961224.2110995464</v>
      </c>
      <c r="G15" s="103">
        <f>IF('Loading Design Flow'!M15&lt;&gt;"",'Loading Design Flow'!M15,"")</f>
        <v>301700.75100000005</v>
      </c>
      <c r="H15" s="104">
        <f t="shared" si="0"/>
        <v>16.444189133289715</v>
      </c>
      <c r="I15" s="185" t="s">
        <v>235</v>
      </c>
    </row>
    <row r="16" spans="1:9" ht="60" x14ac:dyDescent="0.25">
      <c r="A16" s="100" t="str">
        <f>IF(Performance!A16="","",Performance!A16)</f>
        <v>MT0020435</v>
      </c>
      <c r="B16" s="101" t="str">
        <f>IF(Performance!B16="","",Performance!B16)</f>
        <v>Livingston WRF</v>
      </c>
      <c r="C16" s="77" t="str">
        <f>IF(Performance!E16&lt;&gt;"",Performance!E16,"")</f>
        <v>Sequencing Batch Reactors [Phosphorus, Nitrogen]</v>
      </c>
      <c r="D16" s="77" t="str">
        <f>IF(Performance!F16&lt;&gt;"",Performance!F16,"")</f>
        <v>A2O or BNR 3- to 5-Stage Replace</v>
      </c>
      <c r="E16" s="77">
        <f>IF(Performance!H16&lt;&gt;"",Performance!H16,"")</f>
        <v>0.91300000000000003</v>
      </c>
      <c r="F16" s="92">
        <f>IF(E16&lt;&gt;"",'Estimated Capital Cost'!R16+('Estimated O&amp;M Cost'!AA16*E16/'Unit Cost Actual Flow'!E16),"")</f>
        <v>686160.42145650915</v>
      </c>
      <c r="G16" s="103">
        <f>IF('Loading Design Flow'!M16&lt;&gt;"",'Loading Design Flow'!M16,"")</f>
        <v>67980.780318000005</v>
      </c>
      <c r="H16" s="104">
        <f t="shared" si="0"/>
        <v>10.093447269166269</v>
      </c>
      <c r="I16" s="185"/>
    </row>
    <row r="17" spans="1:9" ht="105" x14ac:dyDescent="0.25">
      <c r="A17" s="100" t="str">
        <f>IF(Performance!A17="","",Performance!A17)</f>
        <v>MT0020079</v>
      </c>
      <c r="B17" s="77" t="str">
        <f>IF(Performance!B17="","",Performance!B17)</f>
        <v>Conrad WWTF</v>
      </c>
      <c r="C17" s="77" t="str">
        <f>IF(Performance!E17&lt;&gt;"",Performance!E17,"")</f>
        <v>Extended Aeration Activated Sludge [Phosphorus]</v>
      </c>
      <c r="D17" s="77" t="str">
        <f>IF(Performance!F17&lt;&gt;"",Performance!F17,"")</f>
        <v>A/O or BNR 2-Stage Replace</v>
      </c>
      <c r="E17" s="77">
        <f>IF(Performance!H17&lt;&gt;"",Performance!H17,"")</f>
        <v>0.5</v>
      </c>
      <c r="F17" s="92">
        <f>IF(E17&lt;&gt;"",('Estimated Capital Cost'!R17+'Estimated O&amp;M Cost'!AA17),"")</f>
        <v>157353.63483681172</v>
      </c>
      <c r="G17" s="103">
        <f>IF('Loading Design Flow'!M17&lt;&gt;"",'Loading Design Flow'!M17,"")</f>
        <v>22069.725000000002</v>
      </c>
      <c r="H17" s="104">
        <f t="shared" si="0"/>
        <v>7.1298412117419545</v>
      </c>
      <c r="I17" s="180" t="s">
        <v>254</v>
      </c>
    </row>
    <row r="18" spans="1:9" ht="75" x14ac:dyDescent="0.25">
      <c r="A18" s="100" t="str">
        <f>IF(Performance!A18="","",Performance!A18)</f>
        <v>MN0050725</v>
      </c>
      <c r="B18" s="77" t="str">
        <f>IF(Performance!B18="","",Performance!B18)</f>
        <v>Kasson WWTP</v>
      </c>
      <c r="C18" s="77" t="str">
        <f>IF(Performance!E18&lt;&gt;"",Performance!E18,"")</f>
        <v>Activated sludge with Biological Phosphorus Removal [Phosphorus]</v>
      </c>
      <c r="D18" s="77" t="str">
        <f>IF(Performance!F18&lt;&gt;"",Performance!F18,"")</f>
        <v>A/O or BNR 2-Stage Replace</v>
      </c>
      <c r="E18" s="77">
        <f>IF(Performance!H18&lt;&gt;"",Performance!H18,"")</f>
        <v>2.0699999999999998</v>
      </c>
      <c r="F18" s="92">
        <f>IF(E18&lt;&gt;"",'Estimated Capital Cost'!R18+('Estimated O&amp;M Cost'!AA18*E18/'Unit Cost Actual Flow'!E18),"")</f>
        <v>313593.18573778798</v>
      </c>
      <c r="G18" s="103">
        <f>IF('Loading Design Flow'!M18&lt;&gt;"",'Loading Design Flow'!M18,"")</f>
        <v>68684.028300000005</v>
      </c>
      <c r="H18" s="104">
        <f t="shared" si="0"/>
        <v>4.5657366566804578</v>
      </c>
      <c r="I18" s="185"/>
    </row>
    <row r="19" spans="1:9" ht="75" x14ac:dyDescent="0.25">
      <c r="A19" s="100" t="str">
        <f>IF(Performance!A19="","",Performance!A19)</f>
        <v>WI0020478</v>
      </c>
      <c r="B19" s="77" t="str">
        <f>IF(Performance!B19="","",Performance!B19)</f>
        <v>City of Sun Prairie WWTP</v>
      </c>
      <c r="C19" s="77" t="str">
        <f>IF(Performance!E19&lt;&gt;"",Performance!E19,"")</f>
        <v>Activated sludge with Biological Phosphorus Removal [Phosphorus]</v>
      </c>
      <c r="D19" s="77" t="str">
        <f>IF(Performance!F19&lt;&gt;"",Performance!F19,"")</f>
        <v>A/O or BNR 2-Stage Retrofit</v>
      </c>
      <c r="E19" s="77">
        <f>IF(Performance!H19&lt;&gt;"",Performance!H19,"")</f>
        <v>7.53</v>
      </c>
      <c r="F19" s="92">
        <f>IF(E19&lt;&gt;"",'Estimated Capital Cost'!R19+('Estimated O&amp;M Cost'!AA19*E19/'Unit Cost Actual Flow'!E19),"")</f>
        <v>324278.79751244199</v>
      </c>
      <c r="G19" s="103">
        <f>IF('Loading Design Flow'!M19&lt;&gt;"",'Loading Design Flow'!M19,"")</f>
        <v>92146.733459999901</v>
      </c>
      <c r="H19" s="104">
        <f t="shared" si="0"/>
        <v>3.5191567333551612</v>
      </c>
      <c r="I19" s="185"/>
    </row>
    <row r="20" spans="1:9" ht="45" x14ac:dyDescent="0.25">
      <c r="A20" s="100" t="str">
        <f>IF(Performance!A20="","",Performance!A20)</f>
        <v>MN0020117</v>
      </c>
      <c r="B20" s="77" t="str">
        <f>IF(Performance!B20="","",Performance!B20)</f>
        <v>Central Iron Range Sanitary District WWTF</v>
      </c>
      <c r="C20" s="77" t="str">
        <f>IF(Performance!E20&lt;&gt;"",Performance!E20,"")</f>
        <v>Sequencing Batch Reactors [Phosphorus]</v>
      </c>
      <c r="D20" s="77" t="str">
        <f>IF(Performance!F20&lt;&gt;"",Performance!F20,"")</f>
        <v>A/O or BNR 2-Stage Replace</v>
      </c>
      <c r="E20" s="77">
        <f>IF(Performance!H20&lt;&gt;"",Performance!H20,"")</f>
        <v>2.5</v>
      </c>
      <c r="F20" s="92">
        <f>IF(E20&lt;&gt;"",'Estimated Capital Cost'!R20+('Estimated O&amp;M Cost'!AA20*E20/'Unit Cost Actual Flow'!E20),"")</f>
        <v>380233.41005921707</v>
      </c>
      <c r="G20" s="103">
        <f>IF('Loading Design Flow'!M20&lt;&gt;"",'Loading Design Flow'!M20,"")</f>
        <v>108369.95999999999</v>
      </c>
      <c r="H20" s="104">
        <f t="shared" si="0"/>
        <v>3.5086606109222251</v>
      </c>
      <c r="I20" s="185"/>
    </row>
    <row r="21" spans="1:9" ht="45" x14ac:dyDescent="0.25">
      <c r="A21" s="100" t="str">
        <f>IF(Performance!A21="","",Performance!A21)</f>
        <v>PA0080314</v>
      </c>
      <c r="B21" s="77" t="str">
        <f>IF(Performance!B21="","",Performance!B21)</f>
        <v>Hampden Township WWTP</v>
      </c>
      <c r="C21" s="77" t="str">
        <f>IF(Performance!E21&lt;&gt;"",Performance!E21,"")</f>
        <v>Added Process Control System [Nitrogen]</v>
      </c>
      <c r="D21" s="77" t="str">
        <f>IF(Performance!F21&lt;&gt;"",Performance!F21,"")</f>
        <v>NA</v>
      </c>
      <c r="E21" s="77">
        <f>IF(Performance!H21&lt;&gt;"",Performance!H21,"")</f>
        <v>5.69</v>
      </c>
      <c r="F21" s="92">
        <f>IF(E21&lt;&gt;"",'Estimated Capital Cost'!R21+('Estimated O&amp;M Cost'!AA21*E21/'Unit Cost Actual Flow'!E21),"")</f>
        <v>0</v>
      </c>
      <c r="G21" s="103">
        <f>IF('Loading Design Flow'!M21&lt;&gt;"",'Loading Design Flow'!M21,"")</f>
        <v>287700.63069000002</v>
      </c>
      <c r="H21" s="104">
        <f t="shared" si="0"/>
        <v>0</v>
      </c>
      <c r="I21" s="180" t="s">
        <v>311</v>
      </c>
    </row>
    <row r="22" spans="1:9" ht="60" x14ac:dyDescent="0.25">
      <c r="A22" s="100" t="str">
        <f>IF(Performance!A22="","",Performance!A22)</f>
        <v>MA0100153</v>
      </c>
      <c r="B22" s="77" t="str">
        <f>IF(Performance!B22="","",Performance!B22)</f>
        <v>Town of Lee WWTF</v>
      </c>
      <c r="C22" s="77" t="str">
        <f>IF(Performance!E22&lt;&gt;"",Performance!E22,"")</f>
        <v>Sequencing Batch Reactors [Phosphorus, Nitrogen]</v>
      </c>
      <c r="D22" s="77" t="str">
        <f>IF(Performance!F22&lt;&gt;"",Performance!F22,"")</f>
        <v>A2O or BNR 3- to 5-Stage Replace</v>
      </c>
      <c r="E22" s="77">
        <f>IF(Performance!H22&lt;&gt;"",Performance!H22,"")</f>
        <v>1.5</v>
      </c>
      <c r="F22" s="92">
        <f>IF(E22&lt;&gt;"",'Estimated Capital Cost'!R22+('Estimated O&amp;M Cost'!AA22*E22/'Unit Cost Actual Flow'!E22),"")</f>
        <v>774058.11998946301</v>
      </c>
      <c r="G22" s="103">
        <f>IF('Loading Design Flow'!M22&lt;&gt;"",'Loading Design Flow'!M22,"")</f>
        <v>78766.087500000009</v>
      </c>
      <c r="H22" s="104">
        <f t="shared" si="0"/>
        <v>9.8273018827990271</v>
      </c>
      <c r="I22" s="185"/>
    </row>
    <row r="23" spans="1:9" x14ac:dyDescent="0.25">
      <c r="A23" s="100" t="str">
        <f>IF(Performance!A23="","",Performance!A23)</f>
        <v/>
      </c>
      <c r="B23" s="77" t="str">
        <f>IF(Performance!B23="","",Performance!B23)</f>
        <v/>
      </c>
      <c r="C23" s="77" t="str">
        <f>IF(Performance!E23&lt;&gt;"",Performance!E23,"")</f>
        <v/>
      </c>
      <c r="D23" s="77" t="str">
        <f>IF(Performance!F23&lt;&gt;"",Performance!F23,"")</f>
        <v/>
      </c>
      <c r="E23" s="77" t="str">
        <f>IF(Performance!H23&lt;&gt;"",Performance!H23,"")</f>
        <v/>
      </c>
      <c r="F23" s="92" t="str">
        <f>IF(E23&lt;&gt;"",'Estimated Capital Cost'!R23+('Estimated O&amp;M Cost'!AA23*E23/'Unit Cost Actual Flow'!E23),"")</f>
        <v/>
      </c>
      <c r="G23" s="103" t="str">
        <f>IF('Loading Design Flow'!M23&lt;&gt;"",'Loading Design Flow'!M23,"")</f>
        <v/>
      </c>
      <c r="H23" s="104" t="str">
        <f t="shared" si="0"/>
        <v/>
      </c>
      <c r="I23" s="185"/>
    </row>
    <row r="24" spans="1:9" x14ac:dyDescent="0.25">
      <c r="A24" s="100" t="str">
        <f>IF(Performance!A24="","",Performance!A24)</f>
        <v/>
      </c>
      <c r="B24" s="77" t="str">
        <f>IF(Performance!B24="","",Performance!B24)</f>
        <v/>
      </c>
      <c r="C24" s="77" t="str">
        <f>IF(Performance!E24&lt;&gt;"",Performance!E24,"")</f>
        <v/>
      </c>
      <c r="D24" s="77" t="str">
        <f>IF(Performance!F24&lt;&gt;"",Performance!F24,"")</f>
        <v/>
      </c>
      <c r="E24" s="77" t="str">
        <f>IF(Performance!H24&lt;&gt;"",Performance!H24,"")</f>
        <v/>
      </c>
      <c r="F24" s="92" t="str">
        <f>IF(E24&lt;&gt;"",'Estimated Capital Cost'!R24+('Estimated O&amp;M Cost'!AA24*E24/'Unit Cost Actual Flow'!E24),"")</f>
        <v/>
      </c>
      <c r="G24" s="103" t="str">
        <f>IF('Loading Design Flow'!M24&lt;&gt;"",'Loading Design Flow'!M24,"")</f>
        <v/>
      </c>
      <c r="H24" s="104" t="str">
        <f t="shared" si="0"/>
        <v/>
      </c>
      <c r="I24" s="185"/>
    </row>
    <row r="25" spans="1:9" x14ac:dyDescent="0.25">
      <c r="A25" s="100" t="str">
        <f>IF(Performance!A25="","",Performance!A25)</f>
        <v/>
      </c>
      <c r="B25" s="77" t="str">
        <f>IF(Performance!B25="","",Performance!B25)</f>
        <v/>
      </c>
      <c r="C25" s="77" t="str">
        <f>IF(Performance!E25&lt;&gt;"",Performance!E25,"")</f>
        <v/>
      </c>
      <c r="D25" s="77" t="str">
        <f>IF(Performance!F25&lt;&gt;"",Performance!F25,"")</f>
        <v/>
      </c>
      <c r="E25" s="77" t="str">
        <f>IF(Performance!H25&lt;&gt;"",Performance!H25,"")</f>
        <v/>
      </c>
      <c r="F25" s="92" t="str">
        <f>IF(E25&lt;&gt;"",'Estimated Capital Cost'!R25+('Estimated O&amp;M Cost'!AA25*E25/'Unit Cost Actual Flow'!E25),"")</f>
        <v/>
      </c>
      <c r="G25" s="103" t="str">
        <f>IF('Loading Design Flow'!M25&lt;&gt;"",'Loading Design Flow'!M25,"")</f>
        <v/>
      </c>
      <c r="H25" s="104" t="str">
        <f t="shared" si="0"/>
        <v/>
      </c>
      <c r="I25" s="185"/>
    </row>
    <row r="26" spans="1:9" x14ac:dyDescent="0.25">
      <c r="A26" s="100" t="str">
        <f>IF(Performance!A26="","",Performance!A26)</f>
        <v/>
      </c>
      <c r="B26" s="77" t="str">
        <f>IF(Performance!B26="","",Performance!B26)</f>
        <v/>
      </c>
      <c r="C26" s="77" t="str">
        <f>IF(Performance!E26&lt;&gt;"",Performance!E26,"")</f>
        <v/>
      </c>
      <c r="D26" s="77" t="str">
        <f>IF(Performance!F26&lt;&gt;"",Performance!F26,"")</f>
        <v/>
      </c>
      <c r="E26" s="77" t="str">
        <f>IF(Performance!H26&lt;&gt;"",Performance!H26,"")</f>
        <v/>
      </c>
      <c r="F26" s="92" t="str">
        <f>IF(E26&lt;&gt;"",'Estimated Capital Cost'!R26+('Estimated O&amp;M Cost'!AA26*E26/'Unit Cost Actual Flow'!E26),"")</f>
        <v/>
      </c>
      <c r="G26" s="103" t="str">
        <f>IF('Loading Design Flow'!M26&lt;&gt;"",'Loading Design Flow'!M26,"")</f>
        <v/>
      </c>
      <c r="H26" s="104" t="str">
        <f t="shared" si="0"/>
        <v/>
      </c>
      <c r="I26" s="185"/>
    </row>
    <row r="27" spans="1:9" x14ac:dyDescent="0.25">
      <c r="A27" s="100" t="str">
        <f>IF(Performance!A27="","",Performance!A27)</f>
        <v/>
      </c>
      <c r="B27" s="77" t="str">
        <f>IF(Performance!B27="","",Performance!B27)</f>
        <v/>
      </c>
      <c r="C27" s="77" t="str">
        <f>IF(Performance!E27&lt;&gt;"",Performance!E27,"")</f>
        <v/>
      </c>
      <c r="D27" s="77" t="str">
        <f>IF(Performance!F27&lt;&gt;"",Performance!F27,"")</f>
        <v/>
      </c>
      <c r="E27" s="77" t="str">
        <f>IF(Performance!H27&lt;&gt;"",Performance!H27,"")</f>
        <v/>
      </c>
      <c r="F27" s="92" t="str">
        <f>IF(E27&lt;&gt;"",'Estimated Capital Cost'!R27+('Estimated O&amp;M Cost'!AA27*E27/'Unit Cost Actual Flow'!E27),"")</f>
        <v/>
      </c>
      <c r="G27" s="103" t="str">
        <f>IF('Loading Design Flow'!M27&lt;&gt;"",'Loading Design Flow'!M27,"")</f>
        <v/>
      </c>
      <c r="H27" s="104" t="str">
        <f t="shared" si="0"/>
        <v/>
      </c>
      <c r="I27" s="185"/>
    </row>
    <row r="28" spans="1:9" x14ac:dyDescent="0.25">
      <c r="A28" s="100" t="str">
        <f>IF(Performance!A28="","",Performance!A28)</f>
        <v/>
      </c>
      <c r="B28" s="77" t="str">
        <f>IF(Performance!B28="","",Performance!B28)</f>
        <v/>
      </c>
      <c r="C28" s="77" t="str">
        <f>IF(Performance!E28&lt;&gt;"",Performance!E28,"")</f>
        <v/>
      </c>
      <c r="D28" s="77" t="str">
        <f>IF(Performance!F28&lt;&gt;"",Performance!F28,"")</f>
        <v/>
      </c>
      <c r="E28" s="77" t="str">
        <f>IF(Performance!H28&lt;&gt;"",Performance!H28,"")</f>
        <v/>
      </c>
      <c r="F28" s="92" t="str">
        <f>IF(E28&lt;&gt;"",'Estimated Capital Cost'!R28+('Estimated O&amp;M Cost'!AA28*E28/'Unit Cost Actual Flow'!E28),"")</f>
        <v/>
      </c>
      <c r="G28" s="103" t="str">
        <f>IF('Loading Design Flow'!M28&lt;&gt;"",'Loading Design Flow'!M28,"")</f>
        <v/>
      </c>
      <c r="H28" s="104" t="str">
        <f t="shared" si="0"/>
        <v/>
      </c>
      <c r="I28" s="185"/>
    </row>
    <row r="29" spans="1:9" x14ac:dyDescent="0.25">
      <c r="A29" s="100" t="str">
        <f>IF(Performance!A29="","",Performance!A29)</f>
        <v/>
      </c>
      <c r="B29" s="77" t="str">
        <f>IF(Performance!B29="","",Performance!B29)</f>
        <v/>
      </c>
      <c r="C29" s="77" t="str">
        <f>IF(Performance!E29&lt;&gt;"",Performance!E29,"")</f>
        <v/>
      </c>
      <c r="D29" s="77" t="str">
        <f>IF(Performance!F29&lt;&gt;"",Performance!F29,"")</f>
        <v/>
      </c>
      <c r="E29" s="77" t="str">
        <f>IF(Performance!H29&lt;&gt;"",Performance!H29,"")</f>
        <v/>
      </c>
      <c r="F29" s="92" t="str">
        <f>IF(E29&lt;&gt;"",'Estimated Capital Cost'!R29+('Estimated O&amp;M Cost'!AA29*E29/'Unit Cost Actual Flow'!E29),"")</f>
        <v/>
      </c>
      <c r="G29" s="103" t="str">
        <f>IF('Loading Design Flow'!M29&lt;&gt;"",'Loading Design Flow'!M29,"")</f>
        <v/>
      </c>
      <c r="H29" s="104" t="str">
        <f t="shared" si="0"/>
        <v/>
      </c>
      <c r="I29" s="185"/>
    </row>
    <row r="30" spans="1:9" x14ac:dyDescent="0.25">
      <c r="A30" s="100" t="str">
        <f>IF(Performance!A30="","",Performance!A30)</f>
        <v/>
      </c>
      <c r="B30" s="77" t="str">
        <f>IF(Performance!B30="","",Performance!B30)</f>
        <v/>
      </c>
      <c r="C30" s="77" t="str">
        <f>IF(Performance!E30&lt;&gt;"",Performance!E30,"")</f>
        <v/>
      </c>
      <c r="D30" s="77" t="str">
        <f>IF(Performance!F30&lt;&gt;"",Performance!F30,"")</f>
        <v/>
      </c>
      <c r="E30" s="77" t="str">
        <f>IF(Performance!H30&lt;&gt;"",Performance!H30,"")</f>
        <v/>
      </c>
      <c r="F30" s="92" t="str">
        <f>IF(E30&lt;&gt;"",'Estimated Capital Cost'!R30+('Estimated O&amp;M Cost'!AA30*E30/'Unit Cost Actual Flow'!E30),"")</f>
        <v/>
      </c>
      <c r="G30" s="103" t="str">
        <f>IF('Loading Design Flow'!M30&lt;&gt;"",'Loading Design Flow'!M30,"")</f>
        <v/>
      </c>
      <c r="H30" s="104" t="str">
        <f t="shared" si="0"/>
        <v/>
      </c>
      <c r="I30" s="185"/>
    </row>
    <row r="31" spans="1:9" x14ac:dyDescent="0.25">
      <c r="A31" s="100" t="str">
        <f>IF(Performance!A31="","",Performance!A31)</f>
        <v/>
      </c>
      <c r="B31" s="77" t="str">
        <f>IF(Performance!B31="","",Performance!B31)</f>
        <v/>
      </c>
      <c r="C31" s="77" t="str">
        <f>IF(Performance!E31&lt;&gt;"",Performance!E31,"")</f>
        <v/>
      </c>
      <c r="D31" s="77" t="str">
        <f>IF(Performance!F31&lt;&gt;"",Performance!F31,"")</f>
        <v/>
      </c>
      <c r="E31" s="77" t="str">
        <f>IF(Performance!H31&lt;&gt;"",Performance!H31,"")</f>
        <v/>
      </c>
      <c r="F31" s="92" t="str">
        <f>IF(E31&lt;&gt;"",'Estimated Capital Cost'!R31+('Estimated O&amp;M Cost'!AA31*E31/'Unit Cost Actual Flow'!E31),"")</f>
        <v/>
      </c>
      <c r="G31" s="103" t="str">
        <f>IF('Loading Design Flow'!M31&lt;&gt;"",'Loading Design Flow'!M31,"")</f>
        <v/>
      </c>
      <c r="H31" s="104" t="str">
        <f t="shared" si="0"/>
        <v/>
      </c>
      <c r="I31" s="185"/>
    </row>
    <row r="32" spans="1:9" x14ac:dyDescent="0.25">
      <c r="A32" s="100" t="str">
        <f>IF(Performance!A32="","",Performance!A32)</f>
        <v/>
      </c>
      <c r="B32" s="77" t="str">
        <f>IF(Performance!B32="","",Performance!B32)</f>
        <v/>
      </c>
      <c r="C32" s="77" t="str">
        <f>IF(Performance!E32&lt;&gt;"",Performance!E32,"")</f>
        <v/>
      </c>
      <c r="D32" s="77" t="str">
        <f>IF(Performance!F32&lt;&gt;"",Performance!F32,"")</f>
        <v/>
      </c>
      <c r="E32" s="77" t="str">
        <f>IF(Performance!H32&lt;&gt;"",Performance!H32,"")</f>
        <v/>
      </c>
      <c r="F32" s="92" t="str">
        <f>IF(E32&lt;&gt;"",'Estimated Capital Cost'!R32+('Estimated O&amp;M Cost'!AA32*E32/'Unit Cost Actual Flow'!E32),"")</f>
        <v/>
      </c>
      <c r="G32" s="103" t="str">
        <f>IF('Loading Design Flow'!M32&lt;&gt;"",'Loading Design Flow'!M32,"")</f>
        <v/>
      </c>
      <c r="H32" s="104" t="str">
        <f t="shared" si="0"/>
        <v/>
      </c>
      <c r="I32" s="185"/>
    </row>
    <row r="33" spans="1:9" ht="15.75" thickBot="1" x14ac:dyDescent="0.3">
      <c r="A33" s="105" t="str">
        <f>IF(Performance!A33="","",Performance!A33)</f>
        <v/>
      </c>
      <c r="B33" s="79" t="str">
        <f>IF(Performance!B33="","",Performance!B33)</f>
        <v/>
      </c>
      <c r="C33" s="79" t="str">
        <f>IF(Performance!E33&lt;&gt;"",Performance!E33,"")</f>
        <v/>
      </c>
      <c r="D33" s="79" t="str">
        <f>IF(Performance!F33&lt;&gt;"",Performance!F33,"")</f>
        <v/>
      </c>
      <c r="E33" s="79" t="str">
        <f>IF(Performance!H33&lt;&gt;"",Performance!H33,"")</f>
        <v/>
      </c>
      <c r="F33" s="94" t="str">
        <f>IF(E33&lt;&gt;"",'Estimated Capital Cost'!R33+('Estimated O&amp;M Cost'!AA33*E33/'Unit Cost Actual Flow'!E33),"")</f>
        <v/>
      </c>
      <c r="G33" s="107" t="str">
        <f>IF('Loading Design Flow'!M33&lt;&gt;"",'Loading Design Flow'!M33,"")</f>
        <v/>
      </c>
      <c r="H33" s="108" t="str">
        <f t="shared" si="0"/>
        <v/>
      </c>
      <c r="I33" s="186"/>
    </row>
    <row r="34" spans="1:9" ht="15.75" thickTop="1" x14ac:dyDescent="0.25"/>
  </sheetData>
  <autoFilter ref="A1:I33" xr:uid="{19D38EA8-E283-4F0D-B402-03511ADF064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190FF-8340-4AA3-8934-5CDCE8BC5DCF}">
  <dimension ref="A1:Q33"/>
  <sheetViews>
    <sheetView workbookViewId="0">
      <pane xSplit="2" ySplit="1" topLeftCell="L7" activePane="bottomRight" state="frozen"/>
      <selection pane="topRight" activeCell="C1" sqref="C1"/>
      <selection pane="bottomLeft" activeCell="A2" sqref="A2"/>
      <selection pane="bottomRight" activeCell="F1" sqref="F1"/>
    </sheetView>
  </sheetViews>
  <sheetFormatPr defaultRowHeight="15" x14ac:dyDescent="0.25"/>
  <cols>
    <col min="1" max="1" width="11.5703125" customWidth="1"/>
    <col min="2" max="2" width="23.5703125" style="1" customWidth="1"/>
    <col min="3" max="3" width="13.140625" bestFit="1" customWidth="1"/>
    <col min="4" max="4" width="22.42578125" customWidth="1"/>
    <col min="5" max="5" width="20.7109375" style="1" customWidth="1"/>
    <col min="6" max="6" width="29.85546875" customWidth="1"/>
    <col min="7" max="7" width="12.140625" customWidth="1"/>
    <col min="8" max="9" width="11.28515625" customWidth="1"/>
    <col min="10" max="13" width="15.5703125" customWidth="1"/>
    <col min="14" max="14" width="15.85546875" customWidth="1"/>
    <col min="15" max="15" width="15.28515625" customWidth="1"/>
    <col min="16" max="16" width="16.85546875" customWidth="1"/>
    <col min="17" max="17" width="47.42578125" style="1" customWidth="1"/>
  </cols>
  <sheetData>
    <row r="1" spans="1:17" ht="91.5" thickTop="1" thickBot="1" x14ac:dyDescent="0.3">
      <c r="A1" s="43" t="s">
        <v>0</v>
      </c>
      <c r="B1" s="184" t="s">
        <v>1</v>
      </c>
      <c r="C1" s="44" t="s">
        <v>2</v>
      </c>
      <c r="D1" s="45" t="s">
        <v>130</v>
      </c>
      <c r="E1" s="45" t="s">
        <v>97</v>
      </c>
      <c r="F1" s="46" t="s">
        <v>243</v>
      </c>
      <c r="G1" s="130" t="s">
        <v>9</v>
      </c>
      <c r="H1" s="130" t="s">
        <v>148</v>
      </c>
      <c r="I1" s="130" t="s">
        <v>157</v>
      </c>
      <c r="J1" s="47" t="s">
        <v>4</v>
      </c>
      <c r="K1" s="48" t="s">
        <v>103</v>
      </c>
      <c r="L1" s="49" t="s">
        <v>104</v>
      </c>
      <c r="M1" s="50" t="s">
        <v>19</v>
      </c>
      <c r="N1" s="47" t="s">
        <v>101</v>
      </c>
      <c r="O1" s="48" t="s">
        <v>20</v>
      </c>
      <c r="P1" s="51" t="s">
        <v>21</v>
      </c>
      <c r="Q1" s="175" t="s">
        <v>154</v>
      </c>
    </row>
    <row r="2" spans="1:17" ht="60.75" thickTop="1" x14ac:dyDescent="0.25">
      <c r="A2" s="52" t="s">
        <v>105</v>
      </c>
      <c r="B2" s="54" t="s">
        <v>106</v>
      </c>
      <c r="C2" s="53" t="s">
        <v>38</v>
      </c>
      <c r="D2" s="54" t="s">
        <v>107</v>
      </c>
      <c r="E2" s="55" t="s">
        <v>276</v>
      </c>
      <c r="F2" s="54" t="s">
        <v>152</v>
      </c>
      <c r="G2" s="54">
        <v>7.7</v>
      </c>
      <c r="H2" s="54">
        <v>8.1</v>
      </c>
      <c r="I2" s="122">
        <f t="shared" ref="I2:I32" si="0">IF(OR(G2="",H2=""),"",G2/H2)</f>
        <v>0.9506172839506174</v>
      </c>
      <c r="J2" s="110">
        <v>33.06</v>
      </c>
      <c r="K2" s="110">
        <v>4.3499999999999996</v>
      </c>
      <c r="L2" s="111">
        <f t="shared" ref="L2:L32" si="1">IF(AND(J2&lt;&gt;"",K2&lt;&gt;""),(J2-K2)/J2,"")</f>
        <v>0.86842105263157887</v>
      </c>
      <c r="M2" s="63">
        <v>21</v>
      </c>
      <c r="N2" s="63" t="s">
        <v>108</v>
      </c>
      <c r="O2" s="110" t="s">
        <v>109</v>
      </c>
      <c r="P2" s="112" t="s">
        <v>22</v>
      </c>
      <c r="Q2" s="185" t="s">
        <v>223</v>
      </c>
    </row>
    <row r="3" spans="1:17" ht="135.75" thickBot="1" x14ac:dyDescent="0.3">
      <c r="A3" s="60" t="s">
        <v>143</v>
      </c>
      <c r="B3" s="61" t="s">
        <v>147</v>
      </c>
      <c r="C3" s="41" t="s">
        <v>46</v>
      </c>
      <c r="D3" s="61" t="s">
        <v>107</v>
      </c>
      <c r="E3" s="62" t="s">
        <v>277</v>
      </c>
      <c r="F3" s="61" t="s">
        <v>18</v>
      </c>
      <c r="G3" s="61">
        <v>1.08</v>
      </c>
      <c r="H3" s="61">
        <v>2.21</v>
      </c>
      <c r="I3" s="123">
        <f t="shared" si="0"/>
        <v>0.4886877828054299</v>
      </c>
      <c r="J3" s="110">
        <v>40.549999999999997</v>
      </c>
      <c r="K3" s="110">
        <v>8.89</v>
      </c>
      <c r="L3" s="111">
        <f t="shared" si="1"/>
        <v>0.78076448828606659</v>
      </c>
      <c r="M3" s="119">
        <v>24.82</v>
      </c>
      <c r="N3" s="64" t="s">
        <v>144</v>
      </c>
      <c r="O3" s="131" t="s">
        <v>146</v>
      </c>
      <c r="P3" s="112" t="s">
        <v>145</v>
      </c>
      <c r="Q3" s="185" t="s">
        <v>238</v>
      </c>
    </row>
    <row r="4" spans="1:17" ht="60.75" thickTop="1" x14ac:dyDescent="0.25">
      <c r="A4" s="60" t="s">
        <v>5</v>
      </c>
      <c r="B4" s="61" t="s">
        <v>6</v>
      </c>
      <c r="C4" s="41" t="s">
        <v>46</v>
      </c>
      <c r="D4" s="61" t="s">
        <v>7</v>
      </c>
      <c r="E4" s="62" t="s">
        <v>278</v>
      </c>
      <c r="F4" s="61" t="s">
        <v>150</v>
      </c>
      <c r="G4" s="61">
        <v>2.2999999999999998</v>
      </c>
      <c r="H4" s="61">
        <v>6.77</v>
      </c>
      <c r="I4" s="123">
        <f t="shared" si="0"/>
        <v>0.33973412112259971</v>
      </c>
      <c r="J4" s="57">
        <v>32.04</v>
      </c>
      <c r="K4" s="57">
        <v>10.38</v>
      </c>
      <c r="L4" s="40">
        <f t="shared" si="1"/>
        <v>0.67602996254681635</v>
      </c>
      <c r="M4" s="58">
        <v>21</v>
      </c>
      <c r="N4" s="58" t="s">
        <v>102</v>
      </c>
      <c r="O4" s="56" t="s">
        <v>8</v>
      </c>
      <c r="P4" s="59" t="s">
        <v>22</v>
      </c>
      <c r="Q4" s="185" t="s">
        <v>207</v>
      </c>
    </row>
    <row r="5" spans="1:17" ht="90" x14ac:dyDescent="0.25">
      <c r="A5" s="60" t="s">
        <v>128</v>
      </c>
      <c r="B5" s="61" t="s">
        <v>129</v>
      </c>
      <c r="C5" s="41" t="s">
        <v>46</v>
      </c>
      <c r="D5" s="61" t="s">
        <v>131</v>
      </c>
      <c r="E5" s="62" t="s">
        <v>279</v>
      </c>
      <c r="F5" s="61" t="s">
        <v>153</v>
      </c>
      <c r="G5" s="61">
        <v>9.8800000000000008</v>
      </c>
      <c r="H5" s="61">
        <v>17.899999999999999</v>
      </c>
      <c r="I5" s="123">
        <f t="shared" si="0"/>
        <v>0.55195530726256992</v>
      </c>
      <c r="J5" s="110">
        <v>47.02</v>
      </c>
      <c r="K5" s="110">
        <v>13.8</v>
      </c>
      <c r="L5" s="111">
        <f t="shared" si="1"/>
        <v>0.70650786899191831</v>
      </c>
      <c r="M5" s="64">
        <v>21</v>
      </c>
      <c r="N5" s="64" t="s">
        <v>102</v>
      </c>
      <c r="O5" s="110" t="s">
        <v>141</v>
      </c>
      <c r="P5" s="112" t="s">
        <v>22</v>
      </c>
      <c r="Q5" s="185" t="s">
        <v>209</v>
      </c>
    </row>
    <row r="6" spans="1:17" ht="75" x14ac:dyDescent="0.25">
      <c r="A6" s="60" t="s">
        <v>110</v>
      </c>
      <c r="B6" s="61" t="s">
        <v>111</v>
      </c>
      <c r="C6" s="41" t="s">
        <v>46</v>
      </c>
      <c r="D6" s="61" t="s">
        <v>138</v>
      </c>
      <c r="E6" s="62" t="s">
        <v>291</v>
      </c>
      <c r="F6" s="61" t="s">
        <v>150</v>
      </c>
      <c r="G6" s="61">
        <v>1.26</v>
      </c>
      <c r="H6" s="61">
        <v>2.2789999999999999</v>
      </c>
      <c r="I6" s="123">
        <f t="shared" si="0"/>
        <v>0.55287406757349722</v>
      </c>
      <c r="J6" s="110">
        <v>66.44</v>
      </c>
      <c r="K6" s="110">
        <v>18.059999999999999</v>
      </c>
      <c r="L6" s="111">
        <f t="shared" si="1"/>
        <v>0.72817579771222152</v>
      </c>
      <c r="M6" s="119">
        <v>45.21</v>
      </c>
      <c r="N6" s="64" t="s">
        <v>102</v>
      </c>
      <c r="O6" s="110" t="s">
        <v>112</v>
      </c>
      <c r="P6" s="112" t="s">
        <v>117</v>
      </c>
      <c r="Q6" s="185" t="s">
        <v>206</v>
      </c>
    </row>
    <row r="7" spans="1:17" ht="75" x14ac:dyDescent="0.25">
      <c r="A7" s="60" t="s">
        <v>113</v>
      </c>
      <c r="B7" s="61" t="s">
        <v>114</v>
      </c>
      <c r="C7" s="41" t="s">
        <v>49</v>
      </c>
      <c r="D7" s="61" t="s">
        <v>115</v>
      </c>
      <c r="E7" s="62" t="s">
        <v>275</v>
      </c>
      <c r="F7" s="61" t="s">
        <v>18</v>
      </c>
      <c r="G7" s="61">
        <v>5.5E-2</v>
      </c>
      <c r="H7" s="61">
        <v>0.5</v>
      </c>
      <c r="I7" s="123">
        <f t="shared" si="0"/>
        <v>0.11</v>
      </c>
      <c r="J7" s="110">
        <v>40</v>
      </c>
      <c r="K7" s="110">
        <v>2.82</v>
      </c>
      <c r="L7" s="111">
        <f t="shared" si="1"/>
        <v>0.92949999999999999</v>
      </c>
      <c r="M7" s="64">
        <v>21</v>
      </c>
      <c r="N7" s="64" t="s">
        <v>22</v>
      </c>
      <c r="O7" s="110" t="s">
        <v>116</v>
      </c>
      <c r="P7" s="112" t="s">
        <v>22</v>
      </c>
      <c r="Q7" s="182" t="s">
        <v>211</v>
      </c>
    </row>
    <row r="8" spans="1:17" ht="75" x14ac:dyDescent="0.25">
      <c r="A8" s="60" t="s">
        <v>135</v>
      </c>
      <c r="B8" s="61" t="s">
        <v>134</v>
      </c>
      <c r="C8" s="41" t="s">
        <v>49</v>
      </c>
      <c r="D8" s="61" t="s">
        <v>142</v>
      </c>
      <c r="E8" s="62" t="s">
        <v>280</v>
      </c>
      <c r="F8" s="61" t="s">
        <v>153</v>
      </c>
      <c r="G8" s="61">
        <v>2.85</v>
      </c>
      <c r="H8" s="61">
        <v>5.4</v>
      </c>
      <c r="I8" s="123">
        <f t="shared" si="0"/>
        <v>0.52777777777777779</v>
      </c>
      <c r="J8" s="110">
        <v>40</v>
      </c>
      <c r="K8" s="110">
        <v>7.82</v>
      </c>
      <c r="L8" s="111">
        <f t="shared" si="1"/>
        <v>0.80449999999999999</v>
      </c>
      <c r="M8" s="64">
        <v>21</v>
      </c>
      <c r="N8" s="64" t="s">
        <v>22</v>
      </c>
      <c r="O8" s="110" t="s">
        <v>116</v>
      </c>
      <c r="P8" s="112" t="s">
        <v>22</v>
      </c>
      <c r="Q8" s="185" t="s">
        <v>216</v>
      </c>
    </row>
    <row r="9" spans="1:17" ht="75" x14ac:dyDescent="0.25">
      <c r="A9" s="60" t="s">
        <v>136</v>
      </c>
      <c r="B9" s="61" t="s">
        <v>137</v>
      </c>
      <c r="C9" s="41" t="s">
        <v>49</v>
      </c>
      <c r="D9" s="61" t="s">
        <v>138</v>
      </c>
      <c r="E9" s="62" t="s">
        <v>281</v>
      </c>
      <c r="F9" s="61" t="s">
        <v>152</v>
      </c>
      <c r="G9" s="61">
        <v>6.9</v>
      </c>
      <c r="H9" s="61">
        <v>12</v>
      </c>
      <c r="I9" s="123">
        <f t="shared" si="0"/>
        <v>0.57500000000000007</v>
      </c>
      <c r="J9" s="110">
        <v>40</v>
      </c>
      <c r="K9" s="110">
        <v>9.6300000000000008</v>
      </c>
      <c r="L9" s="111">
        <f t="shared" si="1"/>
        <v>0.75924999999999998</v>
      </c>
      <c r="M9" s="64">
        <v>21</v>
      </c>
      <c r="N9" s="64" t="s">
        <v>22</v>
      </c>
      <c r="O9" s="110" t="s">
        <v>116</v>
      </c>
      <c r="P9" s="112" t="s">
        <v>22</v>
      </c>
      <c r="Q9" s="180" t="s">
        <v>214</v>
      </c>
    </row>
    <row r="10" spans="1:17" ht="90" x14ac:dyDescent="0.25">
      <c r="A10" s="60" t="s">
        <v>132</v>
      </c>
      <c r="B10" s="61" t="s">
        <v>133</v>
      </c>
      <c r="C10" s="41" t="s">
        <v>55</v>
      </c>
      <c r="D10" s="61" t="s">
        <v>138</v>
      </c>
      <c r="E10" s="62" t="s">
        <v>282</v>
      </c>
      <c r="F10" s="61" t="s">
        <v>18</v>
      </c>
      <c r="G10" s="61">
        <v>5.46</v>
      </c>
      <c r="H10" s="61">
        <v>9</v>
      </c>
      <c r="I10" s="123">
        <f t="shared" si="0"/>
        <v>0.60666666666666669</v>
      </c>
      <c r="J10" s="110">
        <v>18.25</v>
      </c>
      <c r="K10" s="110">
        <v>8.26</v>
      </c>
      <c r="L10" s="111">
        <f t="shared" si="1"/>
        <v>0.54739726027397262</v>
      </c>
      <c r="M10" s="119">
        <v>16.079999999999998</v>
      </c>
      <c r="N10" s="64" t="s">
        <v>102</v>
      </c>
      <c r="O10" s="110" t="s">
        <v>139</v>
      </c>
      <c r="P10" s="112" t="s">
        <v>140</v>
      </c>
      <c r="Q10" s="185" t="s">
        <v>217</v>
      </c>
    </row>
    <row r="11" spans="1:17" ht="75" x14ac:dyDescent="0.25">
      <c r="A11" s="194" t="s">
        <v>189</v>
      </c>
      <c r="B11" s="195" t="s">
        <v>190</v>
      </c>
      <c r="C11" s="196" t="s">
        <v>36</v>
      </c>
      <c r="D11" s="195" t="s">
        <v>191</v>
      </c>
      <c r="E11" s="197" t="s">
        <v>296</v>
      </c>
      <c r="F11" s="195" t="s">
        <v>151</v>
      </c>
      <c r="G11" s="195">
        <v>679</v>
      </c>
      <c r="H11" s="195">
        <v>1440</v>
      </c>
      <c r="I11" s="198">
        <f t="shared" si="0"/>
        <v>0.47152777777777777</v>
      </c>
      <c r="J11" s="199">
        <v>40</v>
      </c>
      <c r="K11" s="199">
        <v>9.4600000000000009</v>
      </c>
      <c r="L11" s="200">
        <f t="shared" si="1"/>
        <v>0.76349999999999996</v>
      </c>
      <c r="M11" s="201">
        <v>8.1999999999999993</v>
      </c>
      <c r="N11" s="202" t="s">
        <v>22</v>
      </c>
      <c r="O11" s="199" t="s">
        <v>297</v>
      </c>
      <c r="P11" s="202" t="s">
        <v>298</v>
      </c>
      <c r="Q11" s="203" t="s">
        <v>299</v>
      </c>
    </row>
    <row r="12" spans="1:17" ht="60" x14ac:dyDescent="0.25">
      <c r="A12" s="60" t="s">
        <v>194</v>
      </c>
      <c r="B12" s="61" t="s">
        <v>195</v>
      </c>
      <c r="C12" s="41" t="s">
        <v>46</v>
      </c>
      <c r="D12" s="61" t="s">
        <v>138</v>
      </c>
      <c r="E12" s="62" t="s">
        <v>281</v>
      </c>
      <c r="F12" s="61" t="s">
        <v>153</v>
      </c>
      <c r="G12" s="61">
        <v>1.1499999999999999</v>
      </c>
      <c r="H12" s="61">
        <v>2.36</v>
      </c>
      <c r="I12" s="123">
        <f t="shared" si="0"/>
        <v>0.48728813559322032</v>
      </c>
      <c r="J12" s="110">
        <v>67.48</v>
      </c>
      <c r="K12" s="110">
        <v>8.7100000000000009</v>
      </c>
      <c r="L12" s="111">
        <f t="shared" si="1"/>
        <v>0.87092471843509189</v>
      </c>
      <c r="M12" s="64">
        <v>21</v>
      </c>
      <c r="N12" s="64" t="s">
        <v>197</v>
      </c>
      <c r="O12" s="110" t="s">
        <v>197</v>
      </c>
      <c r="P12" s="112" t="s">
        <v>22</v>
      </c>
      <c r="Q12" s="185" t="s">
        <v>239</v>
      </c>
    </row>
    <row r="13" spans="1:17" ht="105" x14ac:dyDescent="0.25">
      <c r="A13" s="60" t="s">
        <v>219</v>
      </c>
      <c r="B13" s="61" t="s">
        <v>220</v>
      </c>
      <c r="C13" s="41" t="s">
        <v>46</v>
      </c>
      <c r="D13" s="61" t="s">
        <v>138</v>
      </c>
      <c r="E13" s="61" t="s">
        <v>278</v>
      </c>
      <c r="F13" s="61" t="s">
        <v>151</v>
      </c>
      <c r="G13" s="61">
        <v>0.755</v>
      </c>
      <c r="H13" s="61">
        <v>2.67</v>
      </c>
      <c r="I13" s="123">
        <f t="shared" si="0"/>
        <v>0.28277153558052437</v>
      </c>
      <c r="J13" s="110">
        <v>36.22</v>
      </c>
      <c r="K13" s="110">
        <v>10.91</v>
      </c>
      <c r="L13" s="111">
        <f t="shared" si="1"/>
        <v>0.69878520154610713</v>
      </c>
      <c r="M13" s="63">
        <v>21</v>
      </c>
      <c r="N13" s="63" t="s">
        <v>221</v>
      </c>
      <c r="O13" s="110" t="s">
        <v>221</v>
      </c>
      <c r="P13" s="112" t="s">
        <v>22</v>
      </c>
      <c r="Q13" s="185" t="s">
        <v>315</v>
      </c>
    </row>
    <row r="14" spans="1:17" ht="105" x14ac:dyDescent="0.25">
      <c r="A14" s="60" t="s">
        <v>227</v>
      </c>
      <c r="B14" s="61" t="s">
        <v>228</v>
      </c>
      <c r="C14" s="41" t="s">
        <v>49</v>
      </c>
      <c r="D14" s="61" t="s">
        <v>229</v>
      </c>
      <c r="E14" s="61" t="s">
        <v>281</v>
      </c>
      <c r="F14" s="61" t="s">
        <v>152</v>
      </c>
      <c r="G14" s="61">
        <v>19.7</v>
      </c>
      <c r="H14" s="61">
        <v>26</v>
      </c>
      <c r="I14" s="123">
        <f t="shared" si="0"/>
        <v>0.75769230769230766</v>
      </c>
      <c r="J14" s="110">
        <v>40</v>
      </c>
      <c r="K14" s="110">
        <v>6.87</v>
      </c>
      <c r="L14" s="111">
        <f t="shared" si="1"/>
        <v>0.82825000000000004</v>
      </c>
      <c r="M14" s="190">
        <v>17.579999999999998</v>
      </c>
      <c r="N14" s="63" t="s">
        <v>22</v>
      </c>
      <c r="O14" s="110" t="s">
        <v>230</v>
      </c>
      <c r="P14" s="112" t="s">
        <v>231</v>
      </c>
      <c r="Q14" s="185" t="s">
        <v>242</v>
      </c>
    </row>
    <row r="15" spans="1:17" ht="225" x14ac:dyDescent="0.25">
      <c r="A15" s="76" t="s">
        <v>232</v>
      </c>
      <c r="B15" s="77" t="s">
        <v>233</v>
      </c>
      <c r="C15" s="41" t="s">
        <v>49</v>
      </c>
      <c r="D15" s="61" t="s">
        <v>229</v>
      </c>
      <c r="E15" s="61" t="s">
        <v>281</v>
      </c>
      <c r="F15" s="61" t="s">
        <v>152</v>
      </c>
      <c r="G15" s="61">
        <v>5.96</v>
      </c>
      <c r="H15" s="61">
        <v>8.5</v>
      </c>
      <c r="I15" s="123">
        <f t="shared" si="0"/>
        <v>0.70117647058823529</v>
      </c>
      <c r="J15" s="110">
        <v>40</v>
      </c>
      <c r="K15" s="110">
        <v>6.14</v>
      </c>
      <c r="L15" s="111">
        <f t="shared" si="1"/>
        <v>0.84650000000000003</v>
      </c>
      <c r="M15" s="189">
        <v>17.8</v>
      </c>
      <c r="N15" s="63" t="s">
        <v>22</v>
      </c>
      <c r="O15" s="110" t="s">
        <v>234</v>
      </c>
      <c r="P15" s="112" t="s">
        <v>22</v>
      </c>
      <c r="Q15" s="185" t="s">
        <v>241</v>
      </c>
    </row>
    <row r="16" spans="1:17" ht="195" x14ac:dyDescent="0.25">
      <c r="A16" s="60" t="s">
        <v>225</v>
      </c>
      <c r="B16" s="61" t="s">
        <v>226</v>
      </c>
      <c r="C16" s="41" t="s">
        <v>49</v>
      </c>
      <c r="D16" s="61" t="s">
        <v>244</v>
      </c>
      <c r="E16" s="61" t="s">
        <v>283</v>
      </c>
      <c r="F16" s="61" t="s">
        <v>152</v>
      </c>
      <c r="G16" s="61">
        <v>0.73</v>
      </c>
      <c r="H16" s="61">
        <v>0.91300000000000003</v>
      </c>
      <c r="I16" s="123">
        <f t="shared" si="0"/>
        <v>0.79956188389923322</v>
      </c>
      <c r="J16" s="110">
        <v>40</v>
      </c>
      <c r="K16" s="110">
        <v>3.08</v>
      </c>
      <c r="L16" s="111">
        <f t="shared" si="1"/>
        <v>0.92300000000000004</v>
      </c>
      <c r="M16" s="190">
        <v>27.54</v>
      </c>
      <c r="N16" s="63" t="s">
        <v>22</v>
      </c>
      <c r="O16" s="110" t="s">
        <v>245</v>
      </c>
      <c r="P16" s="112" t="s">
        <v>246</v>
      </c>
      <c r="Q16" s="185" t="s">
        <v>287</v>
      </c>
    </row>
    <row r="17" spans="1:17" ht="135" x14ac:dyDescent="0.25">
      <c r="A17" s="60" t="s">
        <v>249</v>
      </c>
      <c r="B17" s="61" t="s">
        <v>250</v>
      </c>
      <c r="C17" s="41" t="s">
        <v>49</v>
      </c>
      <c r="D17" s="61" t="s">
        <v>251</v>
      </c>
      <c r="E17" s="61" t="s">
        <v>289</v>
      </c>
      <c r="F17" s="61" t="s">
        <v>150</v>
      </c>
      <c r="G17" s="61">
        <v>0.191</v>
      </c>
      <c r="H17" s="61">
        <v>0.5</v>
      </c>
      <c r="I17" s="123">
        <f t="shared" si="0"/>
        <v>0.38200000000000001</v>
      </c>
      <c r="J17" s="110">
        <v>40</v>
      </c>
      <c r="K17" s="110">
        <v>6.5</v>
      </c>
      <c r="L17" s="111">
        <f t="shared" si="1"/>
        <v>0.83750000000000002</v>
      </c>
      <c r="M17" s="63">
        <v>21</v>
      </c>
      <c r="N17" s="63" t="s">
        <v>22</v>
      </c>
      <c r="O17" s="110" t="s">
        <v>252</v>
      </c>
      <c r="P17" s="112" t="s">
        <v>22</v>
      </c>
      <c r="Q17" s="180" t="s">
        <v>290</v>
      </c>
    </row>
    <row r="18" spans="1:17" ht="114.95" customHeight="1" x14ac:dyDescent="0.25">
      <c r="A18" s="60" t="s">
        <v>258</v>
      </c>
      <c r="B18" s="61" t="s">
        <v>257</v>
      </c>
      <c r="C18" s="41" t="s">
        <v>46</v>
      </c>
      <c r="D18" s="61" t="s">
        <v>138</v>
      </c>
      <c r="E18" s="61" t="s">
        <v>284</v>
      </c>
      <c r="F18" s="61" t="s">
        <v>150</v>
      </c>
      <c r="G18" s="61">
        <v>0.81200000000000006</v>
      </c>
      <c r="H18" s="61">
        <v>2.0699999999999998</v>
      </c>
      <c r="I18" s="123">
        <f t="shared" si="0"/>
        <v>0.39227053140096624</v>
      </c>
      <c r="J18" s="110">
        <v>39.04</v>
      </c>
      <c r="K18" s="110">
        <v>10.1</v>
      </c>
      <c r="L18" s="111">
        <f t="shared" si="1"/>
        <v>0.74129098360655732</v>
      </c>
      <c r="M18" s="63">
        <v>21</v>
      </c>
      <c r="N18" s="63" t="s">
        <v>144</v>
      </c>
      <c r="O18" s="110" t="s">
        <v>259</v>
      </c>
      <c r="P18" s="112" t="s">
        <v>22</v>
      </c>
      <c r="Q18" s="185" t="s">
        <v>260</v>
      </c>
    </row>
    <row r="19" spans="1:17" ht="90" x14ac:dyDescent="0.25">
      <c r="A19" s="60" t="s">
        <v>261</v>
      </c>
      <c r="B19" s="61" t="s">
        <v>262</v>
      </c>
      <c r="C19" s="41" t="s">
        <v>72</v>
      </c>
      <c r="D19" s="61" t="s">
        <v>138</v>
      </c>
      <c r="E19" s="61" t="s">
        <v>284</v>
      </c>
      <c r="F19" s="61" t="s">
        <v>151</v>
      </c>
      <c r="G19" s="61">
        <v>3.53</v>
      </c>
      <c r="H19" s="61">
        <v>7.53</v>
      </c>
      <c r="I19" s="123">
        <f t="shared" si="0"/>
        <v>0.4687915006640106</v>
      </c>
      <c r="J19" s="110">
        <v>40</v>
      </c>
      <c r="K19" s="110">
        <v>16.98</v>
      </c>
      <c r="L19" s="111">
        <f t="shared" si="1"/>
        <v>0.57550000000000001</v>
      </c>
      <c r="M19" s="63">
        <v>21</v>
      </c>
      <c r="N19" s="63" t="s">
        <v>22</v>
      </c>
      <c r="O19" s="110" t="s">
        <v>263</v>
      </c>
      <c r="P19" s="112" t="s">
        <v>22</v>
      </c>
      <c r="Q19" s="185" t="s">
        <v>264</v>
      </c>
    </row>
    <row r="20" spans="1:17" ht="90" x14ac:dyDescent="0.25">
      <c r="A20" s="60" t="s">
        <v>265</v>
      </c>
      <c r="B20" s="61" t="s">
        <v>266</v>
      </c>
      <c r="C20" s="41" t="s">
        <v>46</v>
      </c>
      <c r="D20" s="61" t="s">
        <v>138</v>
      </c>
      <c r="E20" s="61" t="s">
        <v>288</v>
      </c>
      <c r="F20" s="61" t="s">
        <v>150</v>
      </c>
      <c r="G20" s="61">
        <v>0.8</v>
      </c>
      <c r="H20" s="61">
        <v>2.5</v>
      </c>
      <c r="I20" s="123">
        <f t="shared" si="0"/>
        <v>0.32</v>
      </c>
      <c r="J20" s="110">
        <v>28.77</v>
      </c>
      <c r="K20" s="110">
        <v>6.76</v>
      </c>
      <c r="L20" s="111">
        <f t="shared" si="1"/>
        <v>0.76503302050747302</v>
      </c>
      <c r="M20" s="63">
        <v>21</v>
      </c>
      <c r="N20" s="63" t="s">
        <v>267</v>
      </c>
      <c r="O20" s="110" t="s">
        <v>267</v>
      </c>
      <c r="P20" s="112" t="s">
        <v>22</v>
      </c>
      <c r="Q20" s="185" t="s">
        <v>268</v>
      </c>
    </row>
    <row r="21" spans="1:17" ht="90" x14ac:dyDescent="0.25">
      <c r="A21" s="60" t="s">
        <v>269</v>
      </c>
      <c r="B21" s="61" t="s">
        <v>270</v>
      </c>
      <c r="C21" s="41" t="s">
        <v>61</v>
      </c>
      <c r="D21" s="61" t="s">
        <v>285</v>
      </c>
      <c r="E21" s="61" t="s">
        <v>286</v>
      </c>
      <c r="F21" s="61" t="s">
        <v>18</v>
      </c>
      <c r="G21" s="61">
        <v>3.3540000000000001</v>
      </c>
      <c r="H21" s="61">
        <v>5.69</v>
      </c>
      <c r="I21" s="123">
        <f t="shared" si="0"/>
        <v>0.58945518453427059</v>
      </c>
      <c r="J21" s="110">
        <v>40</v>
      </c>
      <c r="K21" s="110">
        <v>4.3899999999999997</v>
      </c>
      <c r="L21" s="111">
        <f t="shared" si="1"/>
        <v>0.89024999999999999</v>
      </c>
      <c r="M21" s="63">
        <v>21</v>
      </c>
      <c r="N21" s="63" t="s">
        <v>22</v>
      </c>
      <c r="O21" s="110" t="s">
        <v>234</v>
      </c>
      <c r="P21" s="112" t="s">
        <v>22</v>
      </c>
      <c r="Q21" s="185" t="s">
        <v>271</v>
      </c>
    </row>
    <row r="22" spans="1:17" ht="120" x14ac:dyDescent="0.25">
      <c r="A22" s="60" t="s">
        <v>272</v>
      </c>
      <c r="B22" s="61" t="s">
        <v>273</v>
      </c>
      <c r="C22" s="41" t="s">
        <v>44</v>
      </c>
      <c r="D22" s="61" t="s">
        <v>138</v>
      </c>
      <c r="E22" s="61" t="s">
        <v>283</v>
      </c>
      <c r="F22" s="61" t="s">
        <v>152</v>
      </c>
      <c r="G22" s="61">
        <v>0.72599999999999998</v>
      </c>
      <c r="H22" s="61">
        <v>1.5</v>
      </c>
      <c r="I22" s="123">
        <f t="shared" si="0"/>
        <v>0.48399999999999999</v>
      </c>
      <c r="J22" s="110">
        <v>40</v>
      </c>
      <c r="K22" s="110">
        <v>3.75</v>
      </c>
      <c r="L22" s="111">
        <f t="shared" si="1"/>
        <v>0.90625</v>
      </c>
      <c r="M22" s="63">
        <v>21</v>
      </c>
      <c r="N22" s="63" t="s">
        <v>22</v>
      </c>
      <c r="O22" s="110" t="s">
        <v>274</v>
      </c>
      <c r="P22" s="112" t="s">
        <v>22</v>
      </c>
      <c r="Q22" s="185" t="s">
        <v>292</v>
      </c>
    </row>
    <row r="23" spans="1:17" x14ac:dyDescent="0.25">
      <c r="A23" s="60"/>
      <c r="B23" s="61"/>
      <c r="C23" s="41"/>
      <c r="D23" s="61"/>
      <c r="E23" s="61"/>
      <c r="F23" s="61"/>
      <c r="G23" s="61"/>
      <c r="H23" s="61"/>
      <c r="I23" s="123" t="str">
        <f t="shared" si="0"/>
        <v/>
      </c>
      <c r="J23" s="110"/>
      <c r="K23" s="110"/>
      <c r="L23" s="111" t="str">
        <f t="shared" si="1"/>
        <v/>
      </c>
      <c r="M23" s="63"/>
      <c r="N23" s="63"/>
      <c r="O23" s="110"/>
      <c r="P23" s="112"/>
      <c r="Q23" s="185"/>
    </row>
    <row r="24" spans="1:17" x14ac:dyDescent="0.25">
      <c r="A24" s="60"/>
      <c r="B24" s="61"/>
      <c r="C24" s="41"/>
      <c r="D24" s="61"/>
      <c r="E24" s="61"/>
      <c r="F24" s="61"/>
      <c r="G24" s="61"/>
      <c r="H24" s="61"/>
      <c r="I24" s="123" t="str">
        <f t="shared" si="0"/>
        <v/>
      </c>
      <c r="J24" s="110"/>
      <c r="K24" s="110"/>
      <c r="L24" s="111" t="str">
        <f t="shared" si="1"/>
        <v/>
      </c>
      <c r="M24" s="63"/>
      <c r="N24" s="63"/>
      <c r="O24" s="110"/>
      <c r="P24" s="112"/>
      <c r="Q24" s="185"/>
    </row>
    <row r="25" spans="1:17" x14ac:dyDescent="0.25">
      <c r="A25" s="60"/>
      <c r="B25" s="61"/>
      <c r="C25" s="41"/>
      <c r="D25" s="61"/>
      <c r="E25" s="61"/>
      <c r="F25" s="61"/>
      <c r="G25" s="61"/>
      <c r="H25" s="61"/>
      <c r="I25" s="123" t="str">
        <f t="shared" si="0"/>
        <v/>
      </c>
      <c r="J25" s="110"/>
      <c r="K25" s="110"/>
      <c r="L25" s="111" t="str">
        <f t="shared" si="1"/>
        <v/>
      </c>
      <c r="M25" s="63"/>
      <c r="N25" s="63"/>
      <c r="O25" s="110"/>
      <c r="P25" s="112"/>
      <c r="Q25" s="185"/>
    </row>
    <row r="26" spans="1:17" x14ac:dyDescent="0.25">
      <c r="A26" s="60"/>
      <c r="B26" s="61"/>
      <c r="C26" s="41"/>
      <c r="D26" s="61"/>
      <c r="E26" s="61"/>
      <c r="F26" s="61"/>
      <c r="G26" s="61"/>
      <c r="H26" s="61"/>
      <c r="I26" s="123" t="str">
        <f t="shared" si="0"/>
        <v/>
      </c>
      <c r="J26" s="110"/>
      <c r="K26" s="110"/>
      <c r="L26" s="111" t="str">
        <f t="shared" si="1"/>
        <v/>
      </c>
      <c r="M26" s="63"/>
      <c r="N26" s="63"/>
      <c r="O26" s="110"/>
      <c r="P26" s="112"/>
      <c r="Q26" s="185"/>
    </row>
    <row r="27" spans="1:17" x14ac:dyDescent="0.25">
      <c r="A27" s="60"/>
      <c r="B27" s="61"/>
      <c r="C27" s="41"/>
      <c r="D27" s="61"/>
      <c r="E27" s="61"/>
      <c r="F27" s="61"/>
      <c r="G27" s="61"/>
      <c r="H27" s="61"/>
      <c r="I27" s="123" t="str">
        <f t="shared" si="0"/>
        <v/>
      </c>
      <c r="J27" s="110"/>
      <c r="K27" s="110"/>
      <c r="L27" s="111" t="str">
        <f t="shared" si="1"/>
        <v/>
      </c>
      <c r="M27" s="63"/>
      <c r="N27" s="63"/>
      <c r="O27" s="110"/>
      <c r="P27" s="112"/>
      <c r="Q27" s="185"/>
    </row>
    <row r="28" spans="1:17" x14ac:dyDescent="0.25">
      <c r="A28" s="60"/>
      <c r="B28" s="61"/>
      <c r="C28" s="41"/>
      <c r="D28" s="61"/>
      <c r="E28" s="61"/>
      <c r="F28" s="61"/>
      <c r="G28" s="61"/>
      <c r="H28" s="61"/>
      <c r="I28" s="123" t="str">
        <f t="shared" si="0"/>
        <v/>
      </c>
      <c r="J28" s="110"/>
      <c r="K28" s="110"/>
      <c r="L28" s="111" t="str">
        <f t="shared" si="1"/>
        <v/>
      </c>
      <c r="M28" s="63"/>
      <c r="N28" s="63"/>
      <c r="O28" s="110"/>
      <c r="P28" s="112"/>
      <c r="Q28" s="185"/>
    </row>
    <row r="29" spans="1:17" x14ac:dyDescent="0.25">
      <c r="A29" s="60"/>
      <c r="B29" s="61"/>
      <c r="C29" s="41"/>
      <c r="D29" s="61"/>
      <c r="E29" s="61"/>
      <c r="F29" s="61"/>
      <c r="G29" s="61"/>
      <c r="H29" s="61"/>
      <c r="I29" s="123" t="str">
        <f t="shared" si="0"/>
        <v/>
      </c>
      <c r="J29" s="110"/>
      <c r="K29" s="110"/>
      <c r="L29" s="111" t="str">
        <f t="shared" si="1"/>
        <v/>
      </c>
      <c r="M29" s="63"/>
      <c r="N29" s="63"/>
      <c r="O29" s="110"/>
      <c r="P29" s="112"/>
      <c r="Q29" s="185"/>
    </row>
    <row r="30" spans="1:17" x14ac:dyDescent="0.25">
      <c r="A30" s="60"/>
      <c r="B30" s="61"/>
      <c r="C30" s="41"/>
      <c r="D30" s="61"/>
      <c r="E30" s="61"/>
      <c r="F30" s="61"/>
      <c r="G30" s="61"/>
      <c r="H30" s="61"/>
      <c r="I30" s="123" t="str">
        <f t="shared" si="0"/>
        <v/>
      </c>
      <c r="J30" s="110"/>
      <c r="K30" s="110"/>
      <c r="L30" s="111" t="str">
        <f t="shared" si="1"/>
        <v/>
      </c>
      <c r="M30" s="63"/>
      <c r="N30" s="63"/>
      <c r="O30" s="110"/>
      <c r="P30" s="112"/>
      <c r="Q30" s="185"/>
    </row>
    <row r="31" spans="1:17" x14ac:dyDescent="0.25">
      <c r="A31" s="60"/>
      <c r="B31" s="61"/>
      <c r="C31" s="41"/>
      <c r="D31" s="61"/>
      <c r="E31" s="61"/>
      <c r="F31" s="61"/>
      <c r="G31" s="61"/>
      <c r="H31" s="61"/>
      <c r="I31" s="123" t="str">
        <f t="shared" si="0"/>
        <v/>
      </c>
      <c r="J31" s="110"/>
      <c r="K31" s="110"/>
      <c r="L31" s="111" t="str">
        <f t="shared" si="1"/>
        <v/>
      </c>
      <c r="M31" s="63"/>
      <c r="N31" s="63"/>
      <c r="O31" s="110"/>
      <c r="P31" s="112"/>
      <c r="Q31" s="185"/>
    </row>
    <row r="32" spans="1:17" ht="15.75" thickBot="1" x14ac:dyDescent="0.3">
      <c r="A32" s="65"/>
      <c r="B32" s="66"/>
      <c r="C32" s="42"/>
      <c r="D32" s="66"/>
      <c r="E32" s="66"/>
      <c r="F32" s="66"/>
      <c r="G32" s="66"/>
      <c r="H32" s="66"/>
      <c r="I32" s="124" t="str">
        <f t="shared" si="0"/>
        <v/>
      </c>
      <c r="J32" s="113"/>
      <c r="K32" s="113"/>
      <c r="L32" s="114" t="str">
        <f t="shared" si="1"/>
        <v/>
      </c>
      <c r="M32" s="67"/>
      <c r="N32" s="67"/>
      <c r="O32" s="113"/>
      <c r="P32" s="115"/>
      <c r="Q32" s="186"/>
    </row>
    <row r="33" ht="15.75" thickTop="1" x14ac:dyDescent="0.25"/>
  </sheetData>
  <autoFilter ref="A1:Q32" xr:uid="{000190FF-8340-4AA3-8934-5CDCE8BC5DCF}"/>
  <sortState xmlns:xlrd2="http://schemas.microsoft.com/office/spreadsheetml/2017/richdata2" ref="A2:P32">
    <sortCondition ref="A6:A32"/>
  </sortState>
  <dataValidations count="1">
    <dataValidation showDropDown="1" showInputMessage="1" showErrorMessage="1" sqref="G2:I32" xr:uid="{54BC37CB-BB56-4538-8F8B-0B38090924EC}"/>
  </dataValidation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4F63A882-3221-4F82-9457-4B92B0AA4CAA}">
          <x14:formula1>
            <xm:f>Adjustment!$F$2:$F$53</xm:f>
          </x14:formula1>
          <xm:sqref>C2:C32</xm:sqref>
        </x14:dataValidation>
        <x14:dataValidation type="list" allowBlank="1" showInputMessage="1" showErrorMessage="1" xr:uid="{A4856B12-43E6-4219-9DEA-29CB7EF50122}">
          <x14:formula1>
            <xm:f>'Incremental O&amp;M OH 2022'!$A$5:$A$9</xm:f>
          </x14:formula1>
          <xm:sqref>F2:F32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71FF5A-165C-457C-86B5-17DC3D0AFD3F}">
  <dimension ref="A1:M34"/>
  <sheetViews>
    <sheetView workbookViewId="0">
      <pane xSplit="2" ySplit="1" topLeftCell="C2" activePane="bottomRight" state="frozen"/>
      <selection pane="topRight" activeCell="C1" sqref="C1"/>
      <selection pane="bottomLeft" activeCell="A3" sqref="A3"/>
      <selection pane="bottomRight" activeCell="F4" sqref="F4"/>
    </sheetView>
  </sheetViews>
  <sheetFormatPr defaultRowHeight="15" x14ac:dyDescent="0.25"/>
  <cols>
    <col min="1" max="1" width="11.5703125" customWidth="1"/>
    <col min="2" max="2" width="23.5703125" customWidth="1"/>
    <col min="3" max="3" width="18.5703125" style="1" customWidth="1"/>
    <col min="4" max="4" width="30.5703125" style="1" customWidth="1"/>
    <col min="5" max="5" width="12.5703125" customWidth="1"/>
    <col min="6" max="6" width="15.5703125" customWidth="1"/>
    <col min="7" max="7" width="18.85546875" customWidth="1"/>
    <col min="8" max="9" width="17.140625" customWidth="1"/>
    <col min="10" max="10" width="17.28515625" customWidth="1"/>
    <col min="11" max="11" width="16.7109375" customWidth="1"/>
    <col min="12" max="12" width="16.7109375" bestFit="1" customWidth="1"/>
    <col min="13" max="13" width="22.28515625" bestFit="1" customWidth="1"/>
  </cols>
  <sheetData>
    <row r="1" spans="1:13" ht="76.5" thickTop="1" thickBot="1" x14ac:dyDescent="0.3">
      <c r="A1" s="68" t="s">
        <v>0</v>
      </c>
      <c r="B1" s="69" t="s">
        <v>1</v>
      </c>
      <c r="C1" s="70" t="s">
        <v>3</v>
      </c>
      <c r="D1" s="46" t="s">
        <v>243</v>
      </c>
      <c r="E1" s="130" t="s">
        <v>9</v>
      </c>
      <c r="F1" s="71" t="s">
        <v>10</v>
      </c>
      <c r="G1" s="72" t="s">
        <v>198</v>
      </c>
      <c r="H1" s="48" t="s">
        <v>199</v>
      </c>
      <c r="I1" s="48" t="s">
        <v>200</v>
      </c>
      <c r="J1" s="50" t="s">
        <v>23</v>
      </c>
      <c r="K1" s="50" t="s">
        <v>201</v>
      </c>
      <c r="L1" s="50" t="s">
        <v>202</v>
      </c>
      <c r="M1" s="73" t="s">
        <v>203</v>
      </c>
    </row>
    <row r="2" spans="1:13" ht="30.75" thickTop="1" x14ac:dyDescent="0.25">
      <c r="A2" s="74" t="str">
        <f>IF(Performance!A2&lt;&gt;"",Performance!A2,"")</f>
        <v>IA0029025</v>
      </c>
      <c r="B2" s="75" t="str">
        <f>IF(Performance!B2&lt;&gt;"",Performance!B2,"")</f>
        <v>City of Atlantic WWTP</v>
      </c>
      <c r="C2" s="75" t="str">
        <f>IF(Performance!E2&lt;&gt;"",Performance!E2,"")</f>
        <v>BNR [Total Nitrogen]</v>
      </c>
      <c r="D2" s="75" t="str">
        <f>IF(Performance!F2&lt;&gt;"",Performance!F2,"")</f>
        <v>A2O or BNR 3- to 5-Stage Replace</v>
      </c>
      <c r="E2" s="75">
        <f>IF(Performance!G2&lt;&gt;"",Performance!G2,"")</f>
        <v>7.7</v>
      </c>
      <c r="F2" s="210">
        <f>IF(AND(Performance!J2&lt;&gt;"",E2&lt;&gt;""),Performance!J2*8.34*E2,"")</f>
        <v>2123.0470800000003</v>
      </c>
      <c r="G2" s="210">
        <f>IF(AND(Performance!K2&lt;&gt;"",E2&lt;&gt;""),Performance!K2*8.34*E2,"")</f>
        <v>279.34829999999999</v>
      </c>
      <c r="H2" s="210">
        <f t="shared" ref="H2:H33" si="0">IF(AND(F2&lt;&gt;"",G2&lt;&gt;""),(F2-G2),"")</f>
        <v>1843.6987800000002</v>
      </c>
      <c r="I2" s="210">
        <f t="shared" ref="I2:I33" si="1">IF(H2&lt;&gt;"",H2*365,"")</f>
        <v>672950.0547000001</v>
      </c>
      <c r="J2" s="210">
        <f>IF(AND(Performance!M2&lt;&gt;"",E2&lt;&gt;""),Performance!M2*8.34*E2,"")</f>
        <v>1348.578</v>
      </c>
      <c r="K2" s="210">
        <f>IF(AND(F2&lt;&gt;"",J2&lt;&gt;""),(F2-J2),"")</f>
        <v>774.4690800000003</v>
      </c>
      <c r="L2" s="210">
        <f>IF(K2&lt;&gt;"",K2*365,"")</f>
        <v>282681.2142000001</v>
      </c>
      <c r="M2" s="211">
        <f t="shared" ref="M2:M33" si="2">IF(AND(I2&lt;&gt;"",L2&lt;&gt;""),I2-L2,"")</f>
        <v>390268.84049999999</v>
      </c>
    </row>
    <row r="3" spans="1:13" ht="45" x14ac:dyDescent="0.25">
      <c r="A3" s="76" t="str">
        <f>IF(Performance!A3&lt;&gt;"",Performance!A3,"")</f>
        <v>MN0020192</v>
      </c>
      <c r="B3" s="77" t="str">
        <f>IF(Performance!B3&lt;&gt;"",Performance!B3,"")</f>
        <v>Detroit Lakes WRF</v>
      </c>
      <c r="C3" s="77" t="str">
        <f>IF(Performance!E3&lt;&gt;"",Performance!E3,"")</f>
        <v>Membrane Bioreactor with Bio-P [Phosphorus]</v>
      </c>
      <c r="D3" s="77" t="str">
        <f>IF(Performance!F3&lt;&gt;"",Performance!F3,"")</f>
        <v>NA</v>
      </c>
      <c r="E3" s="77">
        <f>IF(Performance!G3&lt;&gt;"",Performance!G3,"")</f>
        <v>1.08</v>
      </c>
      <c r="F3" s="212">
        <f>IF(AND(Performance!J3&lt;&gt;"",E3&lt;&gt;""),Performance!J3*8.34*E3,"")</f>
        <v>365.24195999999995</v>
      </c>
      <c r="G3" s="212">
        <f>IF(AND(Performance!K3&lt;&gt;"",E3&lt;&gt;""),Performance!K3*8.34*E3,"")</f>
        <v>80.074008000000006</v>
      </c>
      <c r="H3" s="212">
        <f t="shared" si="0"/>
        <v>285.16795199999996</v>
      </c>
      <c r="I3" s="212">
        <f t="shared" si="1"/>
        <v>104086.30247999998</v>
      </c>
      <c r="J3" s="212">
        <f>IF(AND(Performance!M3&lt;&gt;"",E3&lt;&gt;""),Performance!M3*8.34*E3,"")</f>
        <v>223.55870400000001</v>
      </c>
      <c r="K3" s="212">
        <f t="shared" ref="K3:K33" si="3">IF(AND(F3&lt;&gt;"",J3&lt;&gt;""),(F3-J3),"")</f>
        <v>141.68325599999994</v>
      </c>
      <c r="L3" s="212">
        <f t="shared" ref="L3:L13" si="4">IF(K3&lt;&gt;"",K3*365,"")</f>
        <v>51714.388439999981</v>
      </c>
      <c r="M3" s="213">
        <f t="shared" si="2"/>
        <v>52371.914040000003</v>
      </c>
    </row>
    <row r="4" spans="1:13" ht="60" x14ac:dyDescent="0.25">
      <c r="A4" s="76" t="str">
        <f>IF(Performance!A4&lt;&gt;"",Performance!A4,"")</f>
        <v>MN0030066</v>
      </c>
      <c r="B4" s="77" t="str">
        <f>IF(Performance!B4&lt;&gt;"",Performance!B4,"")</f>
        <v>New Ulm WWTP</v>
      </c>
      <c r="C4" s="77" t="str">
        <f>IF(Performance!E4&lt;&gt;"",Performance!E4,"")</f>
        <v>Biological Phosphorus Removal [Phosphorus]</v>
      </c>
      <c r="D4" s="77" t="str">
        <f>IF(Performance!F4&lt;&gt;"",Performance!F4,"")</f>
        <v>A/O or BNR 2-Stage Replace</v>
      </c>
      <c r="E4" s="77">
        <f>IF(Performance!G4&lt;&gt;"",Performance!G4,"")</f>
        <v>2.2999999999999998</v>
      </c>
      <c r="F4" s="212">
        <f>IF(AND(Performance!J4&lt;&gt;"",E4&lt;&gt;""),Performance!J4*8.34*E4,"")</f>
        <v>614.59127999999987</v>
      </c>
      <c r="G4" s="212">
        <f>IF(AND(Performance!K4&lt;&gt;"",E4&lt;&gt;""),Performance!K4*8.34*E4,"")</f>
        <v>199.10916</v>
      </c>
      <c r="H4" s="212">
        <f t="shared" si="0"/>
        <v>415.4821199999999</v>
      </c>
      <c r="I4" s="212">
        <f t="shared" si="1"/>
        <v>151650.97379999995</v>
      </c>
      <c r="J4" s="212">
        <f>IF(AND(Performance!M4&lt;&gt;"",E4&lt;&gt;""),Performance!M4*8.34*E4,"")</f>
        <v>402.82199999999995</v>
      </c>
      <c r="K4" s="212">
        <f t="shared" si="3"/>
        <v>211.76927999999992</v>
      </c>
      <c r="L4" s="212">
        <f t="shared" si="4"/>
        <v>77295.787199999977</v>
      </c>
      <c r="M4" s="213">
        <f t="shared" si="2"/>
        <v>74355.186599999972</v>
      </c>
    </row>
    <row r="5" spans="1:13" ht="60" x14ac:dyDescent="0.25">
      <c r="A5" s="76" t="str">
        <f>IF(Performance!A5&lt;&gt;"",Performance!A5,"")</f>
        <v>MN0040878</v>
      </c>
      <c r="B5" s="77" t="str">
        <f>IF(Performance!B5&lt;&gt;"",Performance!B5,"")</f>
        <v>St. Cloud NEW RF</v>
      </c>
      <c r="C5" s="77" t="str">
        <f>IF(Performance!E5&lt;&gt;"",Performance!E5,"")</f>
        <v>Full Nitrification and BNR [Phosphorus, Nitrogen]</v>
      </c>
      <c r="D5" s="77" t="str">
        <f>IF(Performance!F5&lt;&gt;"",Performance!F5,"")</f>
        <v>A2O or BNR 3- to 5-Stage Retrofit</v>
      </c>
      <c r="E5" s="77">
        <f>IF(Performance!G5&lt;&gt;"",Performance!G5,"")</f>
        <v>9.8800000000000008</v>
      </c>
      <c r="F5" s="212">
        <f>IF(AND(Performance!J5&lt;&gt;"",E5&lt;&gt;""),Performance!J5*8.34*E5,"")</f>
        <v>3874.4103840000007</v>
      </c>
      <c r="G5" s="212">
        <f>IF(AND(Performance!K5&lt;&gt;"",E5&lt;&gt;""),Performance!K5*8.34*E5,"")</f>
        <v>1137.10896</v>
      </c>
      <c r="H5" s="212">
        <f t="shared" si="0"/>
        <v>2737.3014240000007</v>
      </c>
      <c r="I5" s="212">
        <f t="shared" si="1"/>
        <v>999115.01976000029</v>
      </c>
      <c r="J5" s="212">
        <f>IF(AND(Performance!M5&lt;&gt;"",E5&lt;&gt;""),Performance!M5*8.34*E5,"")</f>
        <v>1730.3832</v>
      </c>
      <c r="K5" s="212">
        <f t="shared" si="3"/>
        <v>2144.0271840000005</v>
      </c>
      <c r="L5" s="212">
        <f t="shared" si="4"/>
        <v>782569.92216000019</v>
      </c>
      <c r="M5" s="213">
        <f t="shared" si="2"/>
        <v>216545.0976000001</v>
      </c>
    </row>
    <row r="6" spans="1:13" ht="60" x14ac:dyDescent="0.25">
      <c r="A6" s="76" t="str">
        <f>IF(Performance!A6&lt;&gt;"",Performance!A6,"")</f>
        <v>MN0066079</v>
      </c>
      <c r="B6" s="77" t="str">
        <f>IF(Performance!B6&lt;&gt;"",Performance!B6,"")</f>
        <v>City of Long Prairie WWTF</v>
      </c>
      <c r="C6" s="77" t="str">
        <f>IF(Performance!E6&lt;&gt;"",Performance!E6,"")</f>
        <v>Extended Aeration Activated Sludge/BNR [Phosphorus]</v>
      </c>
      <c r="D6" s="77" t="str">
        <f>IF(Performance!F6&lt;&gt;"",Performance!F6,"")</f>
        <v>A/O or BNR 2-Stage Replace</v>
      </c>
      <c r="E6" s="77">
        <f>IF(Performance!G6&lt;&gt;"",Performance!G6,"")</f>
        <v>1.26</v>
      </c>
      <c r="F6" s="212">
        <f>IF(AND(Performance!J6&lt;&gt;"",E6&lt;&gt;""),Performance!J6*8.34*E6,"")</f>
        <v>698.17809599999998</v>
      </c>
      <c r="G6" s="212">
        <f>IF(AND(Performance!K6&lt;&gt;"",E6&lt;&gt;""),Performance!K6*8.34*E6,"")</f>
        <v>189.78170399999999</v>
      </c>
      <c r="H6" s="212">
        <f t="shared" si="0"/>
        <v>508.39639199999999</v>
      </c>
      <c r="I6" s="212">
        <f t="shared" si="1"/>
        <v>185564.68307999999</v>
      </c>
      <c r="J6" s="212">
        <f>IF(AND(Performance!M6&lt;&gt;"",E6&lt;&gt;""),Performance!M6*8.34*E6,"")</f>
        <v>475.08476400000001</v>
      </c>
      <c r="K6" s="212">
        <f t="shared" si="3"/>
        <v>223.09333199999998</v>
      </c>
      <c r="L6" s="212">
        <f t="shared" si="4"/>
        <v>81429.066179999994</v>
      </c>
      <c r="M6" s="213">
        <f t="shared" si="2"/>
        <v>104135.61689999999</v>
      </c>
    </row>
    <row r="7" spans="1:13" ht="90" x14ac:dyDescent="0.25">
      <c r="A7" s="76" t="str">
        <f>IF(Performance!A7&lt;&gt;"",Performance!A7,"")</f>
        <v>MT0020125</v>
      </c>
      <c r="B7" s="77" t="str">
        <f>IF(Performance!B7&lt;&gt;"",Performance!B7,"")</f>
        <v>Chinook WWTF</v>
      </c>
      <c r="C7" s="77" t="str">
        <f>IF(Performance!E7&lt;&gt;"",Performance!E7,"")</f>
        <v>Activated Sludge-Oxidation Ditch; Optimized through mixers, DO probe, and SCADA [Nitrogen]</v>
      </c>
      <c r="D7" s="77" t="str">
        <f>IF(Performance!F7&lt;&gt;"",Performance!F7,"")</f>
        <v>NA</v>
      </c>
      <c r="E7" s="77">
        <f>IF(Performance!G7&lt;&gt;"",Performance!G7,"")</f>
        <v>5.5E-2</v>
      </c>
      <c r="F7" s="212">
        <f>IF(AND(Performance!J7&lt;&gt;"",E7&lt;&gt;""),Performance!J7*8.34*E7,"")</f>
        <v>18.348000000000003</v>
      </c>
      <c r="G7" s="212">
        <f>IF(AND(Performance!K7&lt;&gt;"",E7&lt;&gt;""),Performance!K7*8.34*E7,"")</f>
        <v>1.293534</v>
      </c>
      <c r="H7" s="212">
        <f t="shared" si="0"/>
        <v>17.054466000000001</v>
      </c>
      <c r="I7" s="212">
        <f t="shared" si="1"/>
        <v>6224.8800900000006</v>
      </c>
      <c r="J7" s="212">
        <f>IF(AND(Performance!M7&lt;&gt;"",E7&lt;&gt;""),Performance!M7*8.34*E7,"")</f>
        <v>9.6326999999999998</v>
      </c>
      <c r="K7" s="212">
        <f t="shared" si="3"/>
        <v>8.7153000000000027</v>
      </c>
      <c r="L7" s="212">
        <f t="shared" si="4"/>
        <v>3181.0845000000008</v>
      </c>
      <c r="M7" s="213">
        <f t="shared" si="2"/>
        <v>3043.7955899999997</v>
      </c>
    </row>
    <row r="8" spans="1:13" ht="75" x14ac:dyDescent="0.25">
      <c r="A8" s="76" t="str">
        <f>IF(Performance!A8&lt;&gt;"",Performance!A8,"")</f>
        <v>MT0021938</v>
      </c>
      <c r="B8" s="77" t="str">
        <f>IF(Performance!B8&lt;&gt;"",Performance!B8,"")</f>
        <v>City of Kalispell Advanced Wastewater Treatment and Biological Nutrient Removal Facility</v>
      </c>
      <c r="C8" s="77" t="str">
        <f>IF(Performance!E8&lt;&gt;"",Performance!E8,"")</f>
        <v>Modified Johannesburg BNR [Phosphorus, Nitrogen]</v>
      </c>
      <c r="D8" s="77" t="str">
        <f>IF(Performance!F8&lt;&gt;"",Performance!F8,"")</f>
        <v>A2O or BNR 3- to 5-Stage Retrofit</v>
      </c>
      <c r="E8" s="77">
        <f>IF(Performance!G8&lt;&gt;"",Performance!G8,"")</f>
        <v>2.85</v>
      </c>
      <c r="F8" s="212">
        <f>IF(AND(Performance!J8&lt;&gt;"",E8&lt;&gt;""),Performance!J8*8.34*E8,"")</f>
        <v>950.7600000000001</v>
      </c>
      <c r="G8" s="212">
        <f>IF(AND(Performance!K8&lt;&gt;"",E8&lt;&gt;""),Performance!K8*8.34*E8,"")</f>
        <v>185.87358</v>
      </c>
      <c r="H8" s="212">
        <f t="shared" si="0"/>
        <v>764.88642000000004</v>
      </c>
      <c r="I8" s="212">
        <f t="shared" si="1"/>
        <v>279183.54330000002</v>
      </c>
      <c r="J8" s="212">
        <f>IF(AND(Performance!M8&lt;&gt;"",E8&lt;&gt;""),Performance!M8*8.34*E8,"")</f>
        <v>499.149</v>
      </c>
      <c r="K8" s="212">
        <f t="shared" si="3"/>
        <v>451.6110000000001</v>
      </c>
      <c r="L8" s="212">
        <f t="shared" si="4"/>
        <v>164838.01500000004</v>
      </c>
      <c r="M8" s="213">
        <f t="shared" si="2"/>
        <v>114345.52829999998</v>
      </c>
    </row>
    <row r="9" spans="1:13" ht="30" x14ac:dyDescent="0.25">
      <c r="A9" s="76" t="str">
        <f>IF(Performance!A9&lt;&gt;"",Performance!A9,"")</f>
        <v>MT0022594</v>
      </c>
      <c r="B9" s="77" t="str">
        <f>IF(Performance!B9&lt;&gt;"",Performance!B9,"")</f>
        <v>Missoula WWTP</v>
      </c>
      <c r="C9" s="77" t="str">
        <f>IF(Performance!E9&lt;&gt;"",Performance!E9,"")</f>
        <v>BNR [Phosphorus, Nitrogen]</v>
      </c>
      <c r="D9" s="77" t="str">
        <f>IF(Performance!F9&lt;&gt;"",Performance!F9,"")</f>
        <v>A2O or BNR 3- to 5-Stage Replace</v>
      </c>
      <c r="E9" s="77">
        <f>IF(Performance!G9&lt;&gt;"",Performance!G9,"")</f>
        <v>6.9</v>
      </c>
      <c r="F9" s="212">
        <f>IF(AND(Performance!J9&lt;&gt;"",E9&lt;&gt;""),Performance!J9*8.34*E9,"")</f>
        <v>2301.84</v>
      </c>
      <c r="G9" s="212">
        <f>IF(AND(Performance!K9&lt;&gt;"",E9&lt;&gt;""),Performance!K9*8.34*E9,"")</f>
        <v>554.16798000000006</v>
      </c>
      <c r="H9" s="212">
        <f t="shared" si="0"/>
        <v>1747.67202</v>
      </c>
      <c r="I9" s="212">
        <f t="shared" si="1"/>
        <v>637900.28729999997</v>
      </c>
      <c r="J9" s="212">
        <f>IF(AND(Performance!M9&lt;&gt;"",E9&lt;&gt;""),Performance!M9*8.34*E9,"")</f>
        <v>1208.4659999999999</v>
      </c>
      <c r="K9" s="212">
        <f t="shared" si="3"/>
        <v>1093.3740000000003</v>
      </c>
      <c r="L9" s="212">
        <f t="shared" si="4"/>
        <v>399081.51000000007</v>
      </c>
      <c r="M9" s="213">
        <f t="shared" si="2"/>
        <v>238818.7772999999</v>
      </c>
    </row>
    <row r="10" spans="1:13" ht="75" x14ac:dyDescent="0.25">
      <c r="A10" s="76" t="str">
        <f>IF(Performance!A10&lt;&gt;"",Performance!A10,"")</f>
        <v>NY0027561</v>
      </c>
      <c r="B10" s="77" t="str">
        <f>IF(Performance!B10&lt;&gt;"",Performance!B10,"")</f>
        <v>LeRoy R Summerson WWTF (City of Cortland)</v>
      </c>
      <c r="C10" s="77" t="str">
        <f>IF(Performance!E10&lt;&gt;"",Performance!E10,"")</f>
        <v>Cycling Air and Adding Internal Carbon Source [Phosphorus, Nitrogen]</v>
      </c>
      <c r="D10" s="77" t="str">
        <f>IF(Performance!F10&lt;&gt;"",Performance!F10,"")</f>
        <v>NA</v>
      </c>
      <c r="E10" s="77">
        <f>IF(Performance!G10&lt;&gt;"",Performance!G10,"")</f>
        <v>5.46</v>
      </c>
      <c r="F10" s="212">
        <f>IF(AND(Performance!J10&lt;&gt;"",E10&lt;&gt;""),Performance!J10*8.34*E10,"")</f>
        <v>831.03929999999991</v>
      </c>
      <c r="G10" s="212">
        <f>IF(AND(Performance!K10&lt;&gt;"",E10&lt;&gt;""),Performance!K10*8.34*E10,"")</f>
        <v>376.13066399999997</v>
      </c>
      <c r="H10" s="212">
        <f t="shared" si="0"/>
        <v>454.90863599999994</v>
      </c>
      <c r="I10" s="212">
        <f t="shared" si="1"/>
        <v>166041.65213999999</v>
      </c>
      <c r="J10" s="212">
        <f>IF(AND(Performance!M10&lt;&gt;"",E10&lt;&gt;""),Performance!M10*8.34*E10,"")</f>
        <v>732.22531199999992</v>
      </c>
      <c r="K10" s="212">
        <f t="shared" si="3"/>
        <v>98.813987999999995</v>
      </c>
      <c r="L10" s="212">
        <f t="shared" si="4"/>
        <v>36067.105619999995</v>
      </c>
      <c r="M10" s="213">
        <f t="shared" si="2"/>
        <v>129974.54652</v>
      </c>
    </row>
    <row r="11" spans="1:13" ht="45" x14ac:dyDescent="0.25">
      <c r="A11" s="191" t="str">
        <f>IF(Performance!A11&lt;&gt;"",Performance!A11,"")</f>
        <v>IL0028053</v>
      </c>
      <c r="B11" s="192" t="str">
        <f>IF(Performance!B11&lt;&gt;"",Performance!B11,"")</f>
        <v>Stickney WRP</v>
      </c>
      <c r="C11" s="192" t="str">
        <f>IF(Performance!E11&lt;&gt;"",Performance!E11,"")</f>
        <v>Ostara Phosphorus Recovery [Phosphorus]</v>
      </c>
      <c r="D11" s="77" t="str">
        <f>IF(Performance!F11&lt;&gt;"",Performance!F11,"")</f>
        <v>A/O or BNR 2-Stage Retrofit</v>
      </c>
      <c r="E11" s="192">
        <f>IF(Performance!G11&lt;&gt;"",Performance!G11,"")</f>
        <v>679</v>
      </c>
      <c r="F11" s="214">
        <f>IF(AND(Performance!J11&lt;&gt;"",E11&lt;&gt;""),Performance!J11*8.34*E11,"")</f>
        <v>226514.40000000002</v>
      </c>
      <c r="G11" s="214">
        <f>IF(AND(Performance!K11&lt;&gt;"",E11&lt;&gt;""),Performance!K11*8.34*E11,"")</f>
        <v>53570.655599999998</v>
      </c>
      <c r="H11" s="214">
        <f t="shared" si="0"/>
        <v>172943.74440000003</v>
      </c>
      <c r="I11" s="214">
        <f t="shared" si="1"/>
        <v>63124466.706000008</v>
      </c>
      <c r="J11" s="214">
        <f>IF(AND(Performance!M11&lt;&gt;"",E11&lt;&gt;""),Performance!M11*8.34*E11,"")</f>
        <v>46435.451999999997</v>
      </c>
      <c r="K11" s="214">
        <f t="shared" si="3"/>
        <v>180078.94800000003</v>
      </c>
      <c r="L11" s="214">
        <f t="shared" si="4"/>
        <v>65728816.020000011</v>
      </c>
      <c r="M11" s="215">
        <f t="shared" si="2"/>
        <v>-2604349.314000003</v>
      </c>
    </row>
    <row r="12" spans="1:13" ht="30" x14ac:dyDescent="0.25">
      <c r="A12" s="76" t="str">
        <f>IF(Performance!A12&lt;&gt;"",Performance!A12,"")</f>
        <v>MN0020567</v>
      </c>
      <c r="B12" s="77" t="str">
        <f>IF(Performance!B12&lt;&gt;"",Performance!B12,"")</f>
        <v>Monticello WWTP</v>
      </c>
      <c r="C12" s="77" t="str">
        <f>IF(Performance!E12&lt;&gt;"",Performance!E12,"")</f>
        <v>BNR [Phosphorus, Nitrogen]</v>
      </c>
      <c r="D12" s="77" t="str">
        <f>IF(Performance!F12&lt;&gt;"",Performance!F12,"")</f>
        <v>A2O or BNR 3- to 5-Stage Retrofit</v>
      </c>
      <c r="E12" s="77">
        <f>IF(Performance!G12&lt;&gt;"",Performance!G12,"")</f>
        <v>1.1499999999999999</v>
      </c>
      <c r="F12" s="212">
        <f>IF(AND(Performance!J12&lt;&gt;"",E12&lt;&gt;""),Performance!J12*8.34*E12,"")</f>
        <v>647.20068000000003</v>
      </c>
      <c r="G12" s="212">
        <f>IF(AND(Performance!K12&lt;&gt;"",E12&lt;&gt;""),Performance!K12*8.34*E12,"")</f>
        <v>83.537610000000001</v>
      </c>
      <c r="H12" s="212">
        <f t="shared" si="0"/>
        <v>563.66307000000006</v>
      </c>
      <c r="I12" s="212">
        <f t="shared" si="1"/>
        <v>205737.02055000002</v>
      </c>
      <c r="J12" s="212">
        <f>IF(AND(Performance!M12&lt;&gt;"",E12&lt;&gt;""),Performance!M12*8.34*E12,"")</f>
        <v>201.41099999999997</v>
      </c>
      <c r="K12" s="212">
        <f t="shared" si="3"/>
        <v>445.78968000000009</v>
      </c>
      <c r="L12" s="212">
        <f t="shared" si="4"/>
        <v>162713.23320000005</v>
      </c>
      <c r="M12" s="213">
        <f t="shared" si="2"/>
        <v>43023.78734999997</v>
      </c>
    </row>
    <row r="13" spans="1:13" ht="60" x14ac:dyDescent="0.25">
      <c r="A13" s="76" t="str">
        <f>IF(Performance!A13&lt;&gt;"",Performance!A13,"")</f>
        <v>MN0055361</v>
      </c>
      <c r="B13" s="77" t="str">
        <f>IF(Performance!B13&lt;&gt;"",Performance!B13,"")</f>
        <v>Plainview Township WWTP</v>
      </c>
      <c r="C13" s="77" t="str">
        <f>IF(Performance!E13&lt;&gt;"",Performance!E13,"")</f>
        <v>Biological Phosphorus Removal [Phosphorus]</v>
      </c>
      <c r="D13" s="77" t="str">
        <f>IF(Performance!F13&lt;&gt;"",Performance!F13,"")</f>
        <v>A/O or BNR 2-Stage Retrofit</v>
      </c>
      <c r="E13" s="77">
        <f>IF(Performance!G13&lt;&gt;"",Performance!G13,"")</f>
        <v>0.755</v>
      </c>
      <c r="F13" s="212">
        <f>IF(AND(Performance!J13&lt;&gt;"",E13&lt;&gt;""),Performance!J13*8.34*E13,"")</f>
        <v>228.066474</v>
      </c>
      <c r="G13" s="212">
        <f>IF(AND(Performance!K13&lt;&gt;"",E13&lt;&gt;""),Performance!K13*8.34*E13,"")</f>
        <v>68.696996999999996</v>
      </c>
      <c r="H13" s="212">
        <f t="shared" si="0"/>
        <v>159.36947700000002</v>
      </c>
      <c r="I13" s="212">
        <f t="shared" si="1"/>
        <v>58169.859105000003</v>
      </c>
      <c r="J13" s="212">
        <f>IF(AND(Performance!M13&lt;&gt;"",E13&lt;&gt;""),Performance!M13*8.34*E13,"")</f>
        <v>132.23069999999998</v>
      </c>
      <c r="K13" s="212">
        <f t="shared" si="3"/>
        <v>95.835774000000015</v>
      </c>
      <c r="L13" s="212">
        <f t="shared" si="4"/>
        <v>34980.057510000006</v>
      </c>
      <c r="M13" s="213">
        <f t="shared" si="2"/>
        <v>23189.801594999997</v>
      </c>
    </row>
    <row r="14" spans="1:13" ht="30" x14ac:dyDescent="0.25">
      <c r="A14" s="76" t="str">
        <f>IF(Performance!A14&lt;&gt;"",Performance!A14,"")</f>
        <v>MT0022568</v>
      </c>
      <c r="B14" s="77" t="str">
        <f>IF(Performance!B14&lt;&gt;"",Performance!B14,"")</f>
        <v>Billings WRF</v>
      </c>
      <c r="C14" s="77" t="str">
        <f>IF(Performance!E14&lt;&gt;"",Performance!E14,"")</f>
        <v>BNR [Phosphorus, Nitrogen]</v>
      </c>
      <c r="D14" s="77" t="str">
        <f>IF(Performance!F14&lt;&gt;"",Performance!F14,"")</f>
        <v>A2O or BNR 3- to 5-Stage Replace</v>
      </c>
      <c r="E14" s="77">
        <f>IF(Performance!G14&lt;&gt;"",Performance!G14,"")</f>
        <v>19.7</v>
      </c>
      <c r="F14" s="212">
        <f>IF(AND(Performance!J14&lt;&gt;"",E14&lt;&gt;""),Performance!J14*8.34*E14,"")</f>
        <v>6571.92</v>
      </c>
      <c r="G14" s="212">
        <f>IF(AND(Performance!K14&lt;&gt;"",E14&lt;&gt;""),Performance!K14*8.34*E14,"")</f>
        <v>1128.7272599999999</v>
      </c>
      <c r="H14" s="212">
        <f t="shared" si="0"/>
        <v>5443.1927400000004</v>
      </c>
      <c r="I14" s="212">
        <f t="shared" si="1"/>
        <v>1986765.3501000002</v>
      </c>
      <c r="J14" s="212">
        <f>IF(AND(Performance!M14&lt;&gt;"",E14&lt;&gt;""),Performance!M14*8.34*E14,"")</f>
        <v>2888.3588399999999</v>
      </c>
      <c r="K14" s="212">
        <f t="shared" si="3"/>
        <v>3683.5611600000002</v>
      </c>
      <c r="L14" s="212">
        <f t="shared" ref="L14:L32" si="5">IF(K14&lt;&gt;"",K14*365,"")</f>
        <v>1344499.8234000001</v>
      </c>
      <c r="M14" s="213">
        <f t="shared" si="2"/>
        <v>642265.52670000005</v>
      </c>
    </row>
    <row r="15" spans="1:13" ht="30" x14ac:dyDescent="0.25">
      <c r="A15" s="76" t="str">
        <f>IF(Performance!A15&lt;&gt;"",Performance!A15,"")</f>
        <v>MT0022608</v>
      </c>
      <c r="B15" s="77" t="str">
        <f>IF(Performance!B15&lt;&gt;"",Performance!B15,"")</f>
        <v>Bozeman WRF</v>
      </c>
      <c r="C15" s="77" t="str">
        <f>IF(Performance!E15&lt;&gt;"",Performance!E15,"")</f>
        <v>BNR [Phosphorus, Nitrogen]</v>
      </c>
      <c r="D15" s="77" t="str">
        <f>IF(Performance!F15&lt;&gt;"",Performance!F15,"")</f>
        <v>A2O or BNR 3- to 5-Stage Replace</v>
      </c>
      <c r="E15" s="77">
        <f>IF(Performance!G15&lt;&gt;"",Performance!G15,"")</f>
        <v>5.96</v>
      </c>
      <c r="F15" s="212">
        <f>IF(AND(Performance!J15&lt;&gt;"",E15&lt;&gt;""),Performance!J15*8.34*E15,"")</f>
        <v>1988.2560000000001</v>
      </c>
      <c r="G15" s="212">
        <f>IF(AND(Performance!K15&lt;&gt;"",E15&lt;&gt;""),Performance!K15*8.34*E15,"")</f>
        <v>305.19729599999999</v>
      </c>
      <c r="H15" s="212">
        <f t="shared" si="0"/>
        <v>1683.058704</v>
      </c>
      <c r="I15" s="212">
        <f t="shared" si="1"/>
        <v>614316.42696000007</v>
      </c>
      <c r="J15" s="212">
        <f>IF(AND(Performance!M15&lt;&gt;"",E15&lt;&gt;""),Performance!M15*8.34*E15,"")</f>
        <v>884.77391999999998</v>
      </c>
      <c r="K15" s="212">
        <f t="shared" si="3"/>
        <v>1103.4820800000002</v>
      </c>
      <c r="L15" s="212">
        <f t="shared" si="5"/>
        <v>402770.9592000001</v>
      </c>
      <c r="M15" s="213">
        <f t="shared" si="2"/>
        <v>211545.46775999997</v>
      </c>
    </row>
    <row r="16" spans="1:13" ht="60" x14ac:dyDescent="0.25">
      <c r="A16" s="76" t="str">
        <f>IF(Performance!A16&lt;&gt;"",Performance!A16,"")</f>
        <v>MT0020435</v>
      </c>
      <c r="B16" s="77" t="str">
        <f>IF(Performance!B16&lt;&gt;"",Performance!B16,"")</f>
        <v>Livingston WRF</v>
      </c>
      <c r="C16" s="77" t="str">
        <f>IF(Performance!E16&lt;&gt;"",Performance!E16,"")</f>
        <v>Sequencing Batch Reactors [Phosphorus, Nitrogen]</v>
      </c>
      <c r="D16" s="77" t="str">
        <f>IF(Performance!F16&lt;&gt;"",Performance!F16,"")</f>
        <v>A2O or BNR 3- to 5-Stage Replace</v>
      </c>
      <c r="E16" s="77">
        <f>IF(Performance!G16&lt;&gt;"",Performance!G16,"")</f>
        <v>0.73</v>
      </c>
      <c r="F16" s="212">
        <f>IF(AND(Performance!J16&lt;&gt;"",E16&lt;&gt;""),Performance!J16*8.34*E16,"")</f>
        <v>243.52800000000002</v>
      </c>
      <c r="G16" s="212">
        <f>IF(AND(Performance!K16&lt;&gt;"",E16&lt;&gt;""),Performance!K16*8.34*E16,"")</f>
        <v>18.751656000000001</v>
      </c>
      <c r="H16" s="212">
        <f t="shared" si="0"/>
        <v>224.77634400000002</v>
      </c>
      <c r="I16" s="212">
        <f t="shared" si="1"/>
        <v>82043.365560000006</v>
      </c>
      <c r="J16" s="212">
        <f>IF(AND(Performance!M16&lt;&gt;"",E16&lt;&gt;""),Performance!M16*8.34*E16,"")</f>
        <v>167.669028</v>
      </c>
      <c r="K16" s="212">
        <f t="shared" si="3"/>
        <v>75.858972000000023</v>
      </c>
      <c r="L16" s="212">
        <f t="shared" si="5"/>
        <v>27688.524780000007</v>
      </c>
      <c r="M16" s="213">
        <f t="shared" si="2"/>
        <v>54354.840779999999</v>
      </c>
    </row>
    <row r="17" spans="1:13" ht="45" x14ac:dyDescent="0.25">
      <c r="A17" s="76" t="str">
        <f>IF(Performance!A17&lt;&gt;"",Performance!A17,"")</f>
        <v>MT0020079</v>
      </c>
      <c r="B17" s="77" t="str">
        <f>IF(Performance!B17&lt;&gt;"",Performance!B17,"")</f>
        <v>Conrad WWTF</v>
      </c>
      <c r="C17" s="77" t="str">
        <f>IF(Performance!E17&lt;&gt;"",Performance!E17,"")</f>
        <v>Extended Aeration Activated Sludge [Phosphorus]</v>
      </c>
      <c r="D17" s="77" t="str">
        <f>IF(Performance!F17&lt;&gt;"",Performance!F17,"")</f>
        <v>A/O or BNR 2-Stage Replace</v>
      </c>
      <c r="E17" s="77">
        <f>IF(Performance!G17&lt;&gt;"",Performance!G17,"")</f>
        <v>0.191</v>
      </c>
      <c r="F17" s="212">
        <f>IF(AND(Performance!J17&lt;&gt;"",E17&lt;&gt;""),Performance!J17*8.34*E17,"")</f>
        <v>63.717600000000004</v>
      </c>
      <c r="G17" s="212">
        <f>IF(AND(Performance!K17&lt;&gt;"",E17&lt;&gt;""),Performance!K17*8.34*E17,"")</f>
        <v>10.35411</v>
      </c>
      <c r="H17" s="212">
        <f t="shared" si="0"/>
        <v>53.363490000000006</v>
      </c>
      <c r="I17" s="212">
        <f t="shared" si="1"/>
        <v>19477.673850000003</v>
      </c>
      <c r="J17" s="212">
        <f>IF(AND(Performance!M17&lt;&gt;"",E17&lt;&gt;""),Performance!M17*8.34*E17,"")</f>
        <v>33.451740000000001</v>
      </c>
      <c r="K17" s="212">
        <f t="shared" si="3"/>
        <v>30.265860000000004</v>
      </c>
      <c r="L17" s="212">
        <f t="shared" si="5"/>
        <v>11047.038900000001</v>
      </c>
      <c r="M17" s="213">
        <f t="shared" si="2"/>
        <v>8430.6349500000015</v>
      </c>
    </row>
    <row r="18" spans="1:13" ht="75" x14ac:dyDescent="0.25">
      <c r="A18" s="76" t="str">
        <f>IF(Performance!A18&lt;&gt;"",Performance!A18,"")</f>
        <v>MN0050725</v>
      </c>
      <c r="B18" s="77" t="str">
        <f>IF(Performance!B18&lt;&gt;"",Performance!B18,"")</f>
        <v>Kasson WWTP</v>
      </c>
      <c r="C18" s="77" t="str">
        <f>IF(Performance!E18&lt;&gt;"",Performance!E18,"")</f>
        <v>Activated sludge with Biological Phosphorus Removal [Phosphorus]</v>
      </c>
      <c r="D18" s="77" t="str">
        <f>IF(Performance!F18&lt;&gt;"",Performance!F18,"")</f>
        <v>A/O or BNR 2-Stage Replace</v>
      </c>
      <c r="E18" s="77">
        <f>IF(Performance!G18&lt;&gt;"",Performance!G18,"")</f>
        <v>0.81200000000000006</v>
      </c>
      <c r="F18" s="212">
        <f>IF(AND(Performance!J18&lt;&gt;"",E18&lt;&gt;""),Performance!J18*8.34*E18,"")</f>
        <v>264.38200319999999</v>
      </c>
      <c r="G18" s="212">
        <f>IF(AND(Performance!K18&lt;&gt;"",E18&lt;&gt;""),Performance!K18*8.34*E18,"")</f>
        <v>68.398008000000004</v>
      </c>
      <c r="H18" s="212">
        <f t="shared" si="0"/>
        <v>195.98399519999998</v>
      </c>
      <c r="I18" s="212">
        <f t="shared" si="1"/>
        <v>71534.158247999992</v>
      </c>
      <c r="J18" s="212">
        <f>IF(AND(Performance!M18&lt;&gt;"",E18&lt;&gt;""),Performance!M18*8.34*E18,"")</f>
        <v>142.21368000000001</v>
      </c>
      <c r="K18" s="212">
        <f t="shared" si="3"/>
        <v>122.16832319999997</v>
      </c>
      <c r="L18" s="212">
        <f t="shared" si="5"/>
        <v>44591.437967999991</v>
      </c>
      <c r="M18" s="213">
        <f t="shared" si="2"/>
        <v>26942.720280000001</v>
      </c>
    </row>
    <row r="19" spans="1:13" ht="75" x14ac:dyDescent="0.25">
      <c r="A19" s="76" t="str">
        <f>IF(Performance!A19&lt;&gt;"",Performance!A19,"")</f>
        <v>WI0020478</v>
      </c>
      <c r="B19" s="77" t="str">
        <f>IF(Performance!B19&lt;&gt;"",Performance!B19,"")</f>
        <v>City of Sun Prairie WWTP</v>
      </c>
      <c r="C19" s="77" t="str">
        <f>IF(Performance!E19&lt;&gt;"",Performance!E19,"")</f>
        <v>Activated sludge with Biological Phosphorus Removal [Phosphorus]</v>
      </c>
      <c r="D19" s="77" t="str">
        <f>IF(Performance!F19&lt;&gt;"",Performance!F19,"")</f>
        <v>A/O or BNR 2-Stage Retrofit</v>
      </c>
      <c r="E19" s="77">
        <f>IF(Performance!G19&lt;&gt;"",Performance!G19,"")</f>
        <v>3.53</v>
      </c>
      <c r="F19" s="212">
        <f>IF(AND(Performance!J19&lt;&gt;"",E19&lt;&gt;""),Performance!J19*8.34*E19,"")</f>
        <v>1177.6079999999999</v>
      </c>
      <c r="G19" s="212">
        <f>IF(AND(Performance!K19&lt;&gt;"",E19&lt;&gt;""),Performance!K19*8.34*E19,"")</f>
        <v>499.89459599999998</v>
      </c>
      <c r="H19" s="212">
        <f t="shared" si="0"/>
        <v>677.71340399999997</v>
      </c>
      <c r="I19" s="212">
        <f t="shared" si="1"/>
        <v>247365.39246</v>
      </c>
      <c r="J19" s="212">
        <f>IF(AND(Performance!M19&lt;&gt;"",E19&lt;&gt;""),Performance!M19*8.34*E19,"")</f>
        <v>618.24419999999986</v>
      </c>
      <c r="K19" s="212">
        <f t="shared" si="3"/>
        <v>559.36380000000008</v>
      </c>
      <c r="L19" s="212">
        <f t="shared" si="5"/>
        <v>204167.78700000004</v>
      </c>
      <c r="M19" s="213">
        <f t="shared" si="2"/>
        <v>43197.605459999962</v>
      </c>
    </row>
    <row r="20" spans="1:13" ht="45" x14ac:dyDescent="0.25">
      <c r="A20" s="76" t="str">
        <f>IF(Performance!A20&lt;&gt;"",Performance!A20,"")</f>
        <v>MN0020117</v>
      </c>
      <c r="B20" s="77" t="str">
        <f>IF(Performance!B20&lt;&gt;"",Performance!B20,"")</f>
        <v>Central Iron Range Sanitary District WWTF</v>
      </c>
      <c r="C20" s="77" t="str">
        <f>IF(Performance!E20&lt;&gt;"",Performance!E20,"")</f>
        <v>Sequencing Batch Reactors [Phosphorus]</v>
      </c>
      <c r="D20" s="77" t="str">
        <f>IF(Performance!F20&lt;&gt;"",Performance!F20,"")</f>
        <v>A/O or BNR 2-Stage Replace</v>
      </c>
      <c r="E20" s="77">
        <f>IF(Performance!G20&lt;&gt;"",Performance!G20,"")</f>
        <v>0.8</v>
      </c>
      <c r="F20" s="212">
        <f>IF(AND(Performance!J20&lt;&gt;"",E20&lt;&gt;""),Performance!J20*8.34*E20,"")</f>
        <v>191.95344</v>
      </c>
      <c r="G20" s="212">
        <f>IF(AND(Performance!K20&lt;&gt;"",E20&lt;&gt;""),Performance!K20*8.34*E20,"")</f>
        <v>45.102720000000005</v>
      </c>
      <c r="H20" s="212">
        <f t="shared" si="0"/>
        <v>146.85072</v>
      </c>
      <c r="I20" s="212">
        <f t="shared" si="1"/>
        <v>53600.512799999997</v>
      </c>
      <c r="J20" s="212">
        <f>IF(AND(Performance!M20&lt;&gt;"",E20&lt;&gt;""),Performance!M20*8.34*E20,"")</f>
        <v>140.11199999999999</v>
      </c>
      <c r="K20" s="212">
        <f t="shared" si="3"/>
        <v>51.841440000000006</v>
      </c>
      <c r="L20" s="212">
        <f t="shared" si="5"/>
        <v>18922.125600000003</v>
      </c>
      <c r="M20" s="213">
        <f t="shared" si="2"/>
        <v>34678.387199999997</v>
      </c>
    </row>
    <row r="21" spans="1:13" ht="45" x14ac:dyDescent="0.25">
      <c r="A21" s="76" t="str">
        <f>IF(Performance!A21&lt;&gt;"",Performance!A21,"")</f>
        <v>PA0080314</v>
      </c>
      <c r="B21" s="77" t="str">
        <f>IF(Performance!B21&lt;&gt;"",Performance!B21,"")</f>
        <v>Hampden Township WWTP</v>
      </c>
      <c r="C21" s="77" t="str">
        <f>IF(Performance!E21&lt;&gt;"",Performance!E21,"")</f>
        <v>Added Process Control System [Nitrogen]</v>
      </c>
      <c r="D21" s="77" t="str">
        <f>IF(Performance!F21&lt;&gt;"",Performance!F21,"")</f>
        <v>NA</v>
      </c>
      <c r="E21" s="77">
        <f>IF(Performance!G21&lt;&gt;"",Performance!G21,"")</f>
        <v>3.3540000000000001</v>
      </c>
      <c r="F21" s="212">
        <f>IF(AND(Performance!J21&lt;&gt;"",E21&lt;&gt;""),Performance!J21*8.34*E21,"")</f>
        <v>1118.8944000000001</v>
      </c>
      <c r="G21" s="212">
        <f>IF(AND(Performance!K21&lt;&gt;"",E21&lt;&gt;""),Performance!K21*8.34*E21,"")</f>
        <v>122.79866039999997</v>
      </c>
      <c r="H21" s="212">
        <f t="shared" si="0"/>
        <v>996.09573960000012</v>
      </c>
      <c r="I21" s="212">
        <f t="shared" si="1"/>
        <v>363574.94495400006</v>
      </c>
      <c r="J21" s="212">
        <f>IF(AND(Performance!M21&lt;&gt;"",E21&lt;&gt;""),Performance!M21*8.34*E21,"")</f>
        <v>587.41955999999993</v>
      </c>
      <c r="K21" s="212">
        <f t="shared" si="3"/>
        <v>531.4748400000002</v>
      </c>
      <c r="L21" s="212">
        <f t="shared" si="5"/>
        <v>193988.31660000008</v>
      </c>
      <c r="M21" s="213">
        <f t="shared" si="2"/>
        <v>169586.62835399999</v>
      </c>
    </row>
    <row r="22" spans="1:13" ht="60" x14ac:dyDescent="0.25">
      <c r="A22" s="76" t="str">
        <f>IF(Performance!A22&lt;&gt;"",Performance!A22,"")</f>
        <v>MA0100153</v>
      </c>
      <c r="B22" s="77" t="str">
        <f>IF(Performance!B22&lt;&gt;"",Performance!B22,"")</f>
        <v>Town of Lee WWTF</v>
      </c>
      <c r="C22" s="77" t="str">
        <f>IF(Performance!E22&lt;&gt;"",Performance!E22,"")</f>
        <v>Sequencing Batch Reactors [Phosphorus, Nitrogen]</v>
      </c>
      <c r="D22" s="77" t="str">
        <f>IF(Performance!F22&lt;&gt;"",Performance!F22,"")</f>
        <v>A2O or BNR 3- to 5-Stage Replace</v>
      </c>
      <c r="E22" s="77">
        <f>IF(Performance!G22&lt;&gt;"",Performance!G22,"")</f>
        <v>0.72599999999999998</v>
      </c>
      <c r="F22" s="212">
        <f>IF(AND(Performance!J22&lt;&gt;"",E22&lt;&gt;""),Performance!J22*8.34*E22,"")</f>
        <v>242.1936</v>
      </c>
      <c r="G22" s="212">
        <f>IF(AND(Performance!K22&lt;&gt;"",E22&lt;&gt;""),Performance!K22*8.34*E22,"")</f>
        <v>22.705649999999999</v>
      </c>
      <c r="H22" s="212">
        <f t="shared" si="0"/>
        <v>219.48795000000001</v>
      </c>
      <c r="I22" s="212">
        <f t="shared" si="1"/>
        <v>80113.101750000002</v>
      </c>
      <c r="J22" s="212">
        <f>IF(AND(Performance!M22&lt;&gt;"",E22&lt;&gt;""),Performance!M22*8.34*E22,"")</f>
        <v>127.15163999999999</v>
      </c>
      <c r="K22" s="212">
        <f t="shared" si="3"/>
        <v>115.04196000000002</v>
      </c>
      <c r="L22" s="212">
        <f t="shared" si="5"/>
        <v>41990.315400000007</v>
      </c>
      <c r="M22" s="213">
        <f t="shared" si="2"/>
        <v>38122.786349999995</v>
      </c>
    </row>
    <row r="23" spans="1:13" x14ac:dyDescent="0.25">
      <c r="A23" s="76" t="str">
        <f>IF(Performance!A23&lt;&gt;"",Performance!A23,"")</f>
        <v/>
      </c>
      <c r="B23" s="77" t="str">
        <f>IF(Performance!B23&lt;&gt;"",Performance!B23,"")</f>
        <v/>
      </c>
      <c r="C23" s="77" t="str">
        <f>IF(Performance!E23&lt;&gt;"",Performance!E23,"")</f>
        <v/>
      </c>
      <c r="D23" s="77" t="str">
        <f>IF(Performance!F23&lt;&gt;"",Performance!F23,"")</f>
        <v/>
      </c>
      <c r="E23" s="77" t="str">
        <f>IF(Performance!G23&lt;&gt;"",Performance!G23,"")</f>
        <v/>
      </c>
      <c r="F23" s="81" t="str">
        <f>IF(AND(Performance!J23&lt;&gt;"",E23&lt;&gt;""),Performance!J23*8.34*E23,"")</f>
        <v/>
      </c>
      <c r="G23" s="81" t="str">
        <f>IF(AND(Performance!K23&lt;&gt;"",E23&lt;&gt;""),Performance!K23*8.34*E23,"")</f>
        <v/>
      </c>
      <c r="H23" s="81" t="str">
        <f t="shared" si="0"/>
        <v/>
      </c>
      <c r="I23" s="81" t="str">
        <f t="shared" si="1"/>
        <v/>
      </c>
      <c r="J23" s="81" t="str">
        <f>IF(AND(Performance!M23&lt;&gt;"",E23&lt;&gt;""),Performance!M23*8.34*E23,"")</f>
        <v/>
      </c>
      <c r="K23" s="81" t="str">
        <f t="shared" si="3"/>
        <v/>
      </c>
      <c r="L23" s="81" t="str">
        <f t="shared" si="5"/>
        <v/>
      </c>
      <c r="M23" s="82" t="str">
        <f t="shared" si="2"/>
        <v/>
      </c>
    </row>
    <row r="24" spans="1:13" x14ac:dyDescent="0.25">
      <c r="A24" s="76" t="str">
        <f>IF(Performance!A24&lt;&gt;"",Performance!A24,"")</f>
        <v/>
      </c>
      <c r="B24" s="77" t="str">
        <f>IF(Performance!B24&lt;&gt;"",Performance!B24,"")</f>
        <v/>
      </c>
      <c r="C24" s="77" t="str">
        <f>IF(Performance!E24&lt;&gt;"",Performance!E24,"")</f>
        <v/>
      </c>
      <c r="D24" s="77" t="str">
        <f>IF(Performance!F24&lt;&gt;"",Performance!F24,"")</f>
        <v/>
      </c>
      <c r="E24" s="77" t="str">
        <f>IF(Performance!G24&lt;&gt;"",Performance!G24,"")</f>
        <v/>
      </c>
      <c r="F24" s="81" t="str">
        <f>IF(AND(Performance!J24&lt;&gt;"",E24&lt;&gt;""),Performance!J24*8.34*E24,"")</f>
        <v/>
      </c>
      <c r="G24" s="81" t="str">
        <f>IF(AND(Performance!K24&lt;&gt;"",E24&lt;&gt;""),Performance!K24*8.34*E24,"")</f>
        <v/>
      </c>
      <c r="H24" s="81" t="str">
        <f t="shared" si="0"/>
        <v/>
      </c>
      <c r="I24" s="81" t="str">
        <f t="shared" si="1"/>
        <v/>
      </c>
      <c r="J24" s="81" t="str">
        <f>IF(AND(Performance!M24&lt;&gt;"",E24&lt;&gt;""),Performance!M24*8.34*E24,"")</f>
        <v/>
      </c>
      <c r="K24" s="81" t="str">
        <f t="shared" si="3"/>
        <v/>
      </c>
      <c r="L24" s="81" t="str">
        <f t="shared" si="5"/>
        <v/>
      </c>
      <c r="M24" s="82" t="str">
        <f t="shared" si="2"/>
        <v/>
      </c>
    </row>
    <row r="25" spans="1:13" x14ac:dyDescent="0.25">
      <c r="A25" s="76" t="str">
        <f>IF(Performance!A25&lt;&gt;"",Performance!A25,"")</f>
        <v/>
      </c>
      <c r="B25" s="77" t="str">
        <f>IF(Performance!B25&lt;&gt;"",Performance!B25,"")</f>
        <v/>
      </c>
      <c r="C25" s="77" t="str">
        <f>IF(Performance!E25&lt;&gt;"",Performance!E25,"")</f>
        <v/>
      </c>
      <c r="D25" s="77" t="str">
        <f>IF(Performance!F25&lt;&gt;"",Performance!F25,"")</f>
        <v/>
      </c>
      <c r="E25" s="77" t="str">
        <f>IF(Performance!G25&lt;&gt;"",Performance!G25,"")</f>
        <v/>
      </c>
      <c r="F25" s="81" t="str">
        <f>IF(AND(Performance!J25&lt;&gt;"",E25&lt;&gt;""),Performance!J25*8.34*E25,"")</f>
        <v/>
      </c>
      <c r="G25" s="81" t="str">
        <f>IF(AND(Performance!K25&lt;&gt;"",E25&lt;&gt;""),Performance!K25*8.34*E25,"")</f>
        <v/>
      </c>
      <c r="H25" s="81" t="str">
        <f t="shared" si="0"/>
        <v/>
      </c>
      <c r="I25" s="81" t="str">
        <f t="shared" si="1"/>
        <v/>
      </c>
      <c r="J25" s="81" t="str">
        <f>IF(AND(Performance!M25&lt;&gt;"",E25&lt;&gt;""),Performance!M25*8.34*E25,"")</f>
        <v/>
      </c>
      <c r="K25" s="81" t="str">
        <f t="shared" si="3"/>
        <v/>
      </c>
      <c r="L25" s="81" t="str">
        <f t="shared" si="5"/>
        <v/>
      </c>
      <c r="M25" s="82" t="str">
        <f t="shared" si="2"/>
        <v/>
      </c>
    </row>
    <row r="26" spans="1:13" x14ac:dyDescent="0.25">
      <c r="A26" s="76" t="str">
        <f>IF(Performance!A26&lt;&gt;"",Performance!A26,"")</f>
        <v/>
      </c>
      <c r="B26" s="77" t="str">
        <f>IF(Performance!B26&lt;&gt;"",Performance!B26,"")</f>
        <v/>
      </c>
      <c r="C26" s="77" t="str">
        <f>IF(Performance!E26&lt;&gt;"",Performance!E26,"")</f>
        <v/>
      </c>
      <c r="D26" s="77" t="str">
        <f>IF(Performance!F26&lt;&gt;"",Performance!F26,"")</f>
        <v/>
      </c>
      <c r="E26" s="77" t="str">
        <f>IF(Performance!G26&lt;&gt;"",Performance!G26,"")</f>
        <v/>
      </c>
      <c r="F26" s="81" t="str">
        <f>IF(AND(Performance!J26&lt;&gt;"",E26&lt;&gt;""),Performance!J26*8.34*E26,"")</f>
        <v/>
      </c>
      <c r="G26" s="81" t="str">
        <f>IF(AND(Performance!K26&lt;&gt;"",E26&lt;&gt;""),Performance!K26*8.34*E26,"")</f>
        <v/>
      </c>
      <c r="H26" s="81" t="str">
        <f t="shared" si="0"/>
        <v/>
      </c>
      <c r="I26" s="81" t="str">
        <f t="shared" si="1"/>
        <v/>
      </c>
      <c r="J26" s="81" t="str">
        <f>IF(AND(Performance!M26&lt;&gt;"",E26&lt;&gt;""),Performance!M26*8.34*E26,"")</f>
        <v/>
      </c>
      <c r="K26" s="81" t="str">
        <f t="shared" si="3"/>
        <v/>
      </c>
      <c r="L26" s="81" t="str">
        <f t="shared" si="5"/>
        <v/>
      </c>
      <c r="M26" s="82" t="str">
        <f t="shared" si="2"/>
        <v/>
      </c>
    </row>
    <row r="27" spans="1:13" x14ac:dyDescent="0.25">
      <c r="A27" s="76" t="str">
        <f>IF(Performance!A27&lt;&gt;"",Performance!A27,"")</f>
        <v/>
      </c>
      <c r="B27" s="77" t="str">
        <f>IF(Performance!B27&lt;&gt;"",Performance!B27,"")</f>
        <v/>
      </c>
      <c r="C27" s="77" t="str">
        <f>IF(Performance!E27&lt;&gt;"",Performance!E27,"")</f>
        <v/>
      </c>
      <c r="D27" s="77" t="str">
        <f>IF(Performance!F27&lt;&gt;"",Performance!F27,"")</f>
        <v/>
      </c>
      <c r="E27" s="77" t="str">
        <f>IF(Performance!G27&lt;&gt;"",Performance!G27,"")</f>
        <v/>
      </c>
      <c r="F27" s="81" t="str">
        <f>IF(AND(Performance!J27&lt;&gt;"",E27&lt;&gt;""),Performance!J27*8.34*E27,"")</f>
        <v/>
      </c>
      <c r="G27" s="81" t="str">
        <f>IF(AND(Performance!K27&lt;&gt;"",E27&lt;&gt;""),Performance!K27*8.34*E27,"")</f>
        <v/>
      </c>
      <c r="H27" s="81" t="str">
        <f t="shared" si="0"/>
        <v/>
      </c>
      <c r="I27" s="81" t="str">
        <f t="shared" si="1"/>
        <v/>
      </c>
      <c r="J27" s="81" t="str">
        <f>IF(AND(Performance!M27&lt;&gt;"",E27&lt;&gt;""),Performance!M27*8.34*E27,"")</f>
        <v/>
      </c>
      <c r="K27" s="81" t="str">
        <f t="shared" si="3"/>
        <v/>
      </c>
      <c r="L27" s="81" t="str">
        <f t="shared" si="5"/>
        <v/>
      </c>
      <c r="M27" s="82" t="str">
        <f t="shared" si="2"/>
        <v/>
      </c>
    </row>
    <row r="28" spans="1:13" x14ac:dyDescent="0.25">
      <c r="A28" s="76" t="str">
        <f>IF(Performance!A28&lt;&gt;"",Performance!A28,"")</f>
        <v/>
      </c>
      <c r="B28" s="77" t="str">
        <f>IF(Performance!B28&lt;&gt;"",Performance!B28,"")</f>
        <v/>
      </c>
      <c r="C28" s="77" t="str">
        <f>IF(Performance!E28&lt;&gt;"",Performance!E28,"")</f>
        <v/>
      </c>
      <c r="D28" s="77" t="str">
        <f>IF(Performance!F28&lt;&gt;"",Performance!F28,"")</f>
        <v/>
      </c>
      <c r="E28" s="77" t="str">
        <f>IF(Performance!G28&lt;&gt;"",Performance!G28,"")</f>
        <v/>
      </c>
      <c r="F28" s="81" t="str">
        <f>IF(AND(Performance!J28&lt;&gt;"",E28&lt;&gt;""),Performance!J28*8.34*E28,"")</f>
        <v/>
      </c>
      <c r="G28" s="81" t="str">
        <f>IF(AND(Performance!K28&lt;&gt;"",E28&lt;&gt;""),Performance!K28*8.34*E28,"")</f>
        <v/>
      </c>
      <c r="H28" s="81" t="str">
        <f t="shared" si="0"/>
        <v/>
      </c>
      <c r="I28" s="81" t="str">
        <f t="shared" si="1"/>
        <v/>
      </c>
      <c r="J28" s="81" t="str">
        <f>IF(AND(Performance!M28&lt;&gt;"",E28&lt;&gt;""),Performance!M28*8.34*E28,"")</f>
        <v/>
      </c>
      <c r="K28" s="81" t="str">
        <f t="shared" si="3"/>
        <v/>
      </c>
      <c r="L28" s="81" t="str">
        <f t="shared" si="5"/>
        <v/>
      </c>
      <c r="M28" s="82" t="str">
        <f t="shared" si="2"/>
        <v/>
      </c>
    </row>
    <row r="29" spans="1:13" x14ac:dyDescent="0.25">
      <c r="A29" s="76" t="str">
        <f>IF(Performance!A29&lt;&gt;"",Performance!A29,"")</f>
        <v/>
      </c>
      <c r="B29" s="77" t="str">
        <f>IF(Performance!B29&lt;&gt;"",Performance!B29,"")</f>
        <v/>
      </c>
      <c r="C29" s="77" t="str">
        <f>IF(Performance!E29&lt;&gt;"",Performance!E29,"")</f>
        <v/>
      </c>
      <c r="D29" s="77" t="str">
        <f>IF(Performance!F29&lt;&gt;"",Performance!F29,"")</f>
        <v/>
      </c>
      <c r="E29" s="77" t="str">
        <f>IF(Performance!G29&lt;&gt;"",Performance!G29,"")</f>
        <v/>
      </c>
      <c r="F29" s="81" t="str">
        <f>IF(AND(Performance!J29&lt;&gt;"",E29&lt;&gt;""),Performance!J29*8.34*E29,"")</f>
        <v/>
      </c>
      <c r="G29" s="81" t="str">
        <f>IF(AND(Performance!K29&lt;&gt;"",E29&lt;&gt;""),Performance!K29*8.34*E29,"")</f>
        <v/>
      </c>
      <c r="H29" s="81" t="str">
        <f t="shared" si="0"/>
        <v/>
      </c>
      <c r="I29" s="81" t="str">
        <f t="shared" si="1"/>
        <v/>
      </c>
      <c r="J29" s="81" t="str">
        <f>IF(AND(Performance!M29&lt;&gt;"",E29&lt;&gt;""),Performance!M29*8.34*E29,"")</f>
        <v/>
      </c>
      <c r="K29" s="81" t="str">
        <f t="shared" si="3"/>
        <v/>
      </c>
      <c r="L29" s="81" t="str">
        <f t="shared" si="5"/>
        <v/>
      </c>
      <c r="M29" s="82" t="str">
        <f t="shared" si="2"/>
        <v/>
      </c>
    </row>
    <row r="30" spans="1:13" x14ac:dyDescent="0.25">
      <c r="A30" s="76" t="str">
        <f>IF(Performance!A30&lt;&gt;"",Performance!A30,"")</f>
        <v/>
      </c>
      <c r="B30" s="77" t="str">
        <f>IF(Performance!B30&lt;&gt;"",Performance!B30,"")</f>
        <v/>
      </c>
      <c r="C30" s="77" t="str">
        <f>IF(Performance!E30&lt;&gt;"",Performance!E30,"")</f>
        <v/>
      </c>
      <c r="D30" s="77" t="str">
        <f>IF(Performance!F30&lt;&gt;"",Performance!F30,"")</f>
        <v/>
      </c>
      <c r="E30" s="77" t="str">
        <f>IF(Performance!G30&lt;&gt;"",Performance!G30,"")</f>
        <v/>
      </c>
      <c r="F30" s="81" t="str">
        <f>IF(AND(Performance!J30&lt;&gt;"",E30&lt;&gt;""),Performance!J30*8.34*E30,"")</f>
        <v/>
      </c>
      <c r="G30" s="81" t="str">
        <f>IF(AND(Performance!K30&lt;&gt;"",E30&lt;&gt;""),Performance!K30*8.34*E30,"")</f>
        <v/>
      </c>
      <c r="H30" s="81" t="str">
        <f t="shared" si="0"/>
        <v/>
      </c>
      <c r="I30" s="81" t="str">
        <f t="shared" si="1"/>
        <v/>
      </c>
      <c r="J30" s="81" t="str">
        <f>IF(AND(Performance!M30&lt;&gt;"",E30&lt;&gt;""),Performance!M30*8.34*E30,"")</f>
        <v/>
      </c>
      <c r="K30" s="81" t="str">
        <f t="shared" si="3"/>
        <v/>
      </c>
      <c r="L30" s="81" t="str">
        <f t="shared" si="5"/>
        <v/>
      </c>
      <c r="M30" s="82" t="str">
        <f t="shared" si="2"/>
        <v/>
      </c>
    </row>
    <row r="31" spans="1:13" x14ac:dyDescent="0.25">
      <c r="A31" s="76" t="str">
        <f>IF(Performance!A31&lt;&gt;"",Performance!A31,"")</f>
        <v/>
      </c>
      <c r="B31" s="77" t="str">
        <f>IF(Performance!B31&lt;&gt;"",Performance!B31,"")</f>
        <v/>
      </c>
      <c r="C31" s="77" t="str">
        <f>IF(Performance!E31&lt;&gt;"",Performance!E31,"")</f>
        <v/>
      </c>
      <c r="D31" s="77" t="str">
        <f>IF(Performance!F31&lt;&gt;"",Performance!F31,"")</f>
        <v/>
      </c>
      <c r="E31" s="77" t="str">
        <f>IF(Performance!G31&lt;&gt;"",Performance!G31,"")</f>
        <v/>
      </c>
      <c r="F31" s="81" t="str">
        <f>IF(AND(Performance!J31&lt;&gt;"",E31&lt;&gt;""),Performance!J31*8.34*E31,"")</f>
        <v/>
      </c>
      <c r="G31" s="81" t="str">
        <f>IF(AND(Performance!K31&lt;&gt;"",E31&lt;&gt;""),Performance!K31*8.34*E31,"")</f>
        <v/>
      </c>
      <c r="H31" s="81" t="str">
        <f t="shared" si="0"/>
        <v/>
      </c>
      <c r="I31" s="81" t="str">
        <f t="shared" si="1"/>
        <v/>
      </c>
      <c r="J31" s="81" t="str">
        <f>IF(AND(Performance!M31&lt;&gt;"",E31&lt;&gt;""),Performance!M31*8.34*E31,"")</f>
        <v/>
      </c>
      <c r="K31" s="81" t="str">
        <f t="shared" si="3"/>
        <v/>
      </c>
      <c r="L31" s="81" t="str">
        <f t="shared" si="5"/>
        <v/>
      </c>
      <c r="M31" s="82" t="str">
        <f t="shared" si="2"/>
        <v/>
      </c>
    </row>
    <row r="32" spans="1:13" x14ac:dyDescent="0.25">
      <c r="A32" s="76" t="str">
        <f>IF(Performance!A32&lt;&gt;"",Performance!A32,"")</f>
        <v/>
      </c>
      <c r="B32" s="77" t="str">
        <f>IF(Performance!B32&lt;&gt;"",Performance!B32,"")</f>
        <v/>
      </c>
      <c r="C32" s="77" t="str">
        <f>IF(Performance!E32&lt;&gt;"",Performance!E32,"")</f>
        <v/>
      </c>
      <c r="D32" s="77" t="str">
        <f>IF(Performance!F32&lt;&gt;"",Performance!F32,"")</f>
        <v/>
      </c>
      <c r="E32" s="77" t="str">
        <f>IF(Performance!G32&lt;&gt;"",Performance!G32,"")</f>
        <v/>
      </c>
      <c r="F32" s="81" t="str">
        <f>IF(AND(Performance!J32&lt;&gt;"",E32&lt;&gt;""),Performance!J32*8.34*E32,"")</f>
        <v/>
      </c>
      <c r="G32" s="81" t="str">
        <f>IF(AND(Performance!K32&lt;&gt;"",E32&lt;&gt;""),Performance!K32*8.34*E32,"")</f>
        <v/>
      </c>
      <c r="H32" s="81" t="str">
        <f t="shared" si="0"/>
        <v/>
      </c>
      <c r="I32" s="81" t="str">
        <f t="shared" si="1"/>
        <v/>
      </c>
      <c r="J32" s="81" t="str">
        <f>IF(AND(Performance!M32&lt;&gt;"",E32&lt;&gt;""),Performance!M32*8.34*E32,"")</f>
        <v/>
      </c>
      <c r="K32" s="81" t="str">
        <f t="shared" si="3"/>
        <v/>
      </c>
      <c r="L32" s="81" t="str">
        <f t="shared" si="5"/>
        <v/>
      </c>
      <c r="M32" s="82" t="str">
        <f t="shared" si="2"/>
        <v/>
      </c>
    </row>
    <row r="33" spans="1:13" ht="15.75" thickBot="1" x14ac:dyDescent="0.3">
      <c r="A33" s="78" t="str">
        <f>IF(Performance!A33&lt;&gt;"",Performance!A33,"")</f>
        <v/>
      </c>
      <c r="B33" s="79" t="str">
        <f>IF(Performance!B33&lt;&gt;"",Performance!B33,"")</f>
        <v/>
      </c>
      <c r="C33" s="79" t="str">
        <f>IF(Performance!E33&lt;&gt;"",Performance!E33,"")</f>
        <v/>
      </c>
      <c r="D33" s="79" t="str">
        <f>IF(Performance!F33&lt;&gt;"",Performance!F33,"")</f>
        <v/>
      </c>
      <c r="E33" s="79" t="str">
        <f>IF(Performance!G33&lt;&gt;"",Performance!G33,"")</f>
        <v/>
      </c>
      <c r="F33" s="83" t="str">
        <f>IF(AND(Performance!J33&lt;&gt;"",E33&lt;&gt;""),Performance!J33*8.34*E33,"")</f>
        <v/>
      </c>
      <c r="G33" s="83" t="str">
        <f>IF(AND(Performance!K33&lt;&gt;"",E33&lt;&gt;""),Performance!K33*8.34*E33,"")</f>
        <v/>
      </c>
      <c r="H33" s="83" t="str">
        <f t="shared" si="0"/>
        <v/>
      </c>
      <c r="I33" s="83" t="str">
        <f t="shared" si="1"/>
        <v/>
      </c>
      <c r="J33" s="83" t="str">
        <f>IF(AND(Performance!M33&lt;&gt;"",E33&lt;&gt;""),Performance!M33*8.34*E33,"")</f>
        <v/>
      </c>
      <c r="K33" s="83" t="str">
        <f t="shared" si="3"/>
        <v/>
      </c>
      <c r="L33" s="83" t="str">
        <f t="shared" ref="L33" si="6">IF(K33&lt;&gt;"",K33*365,"")</f>
        <v/>
      </c>
      <c r="M33" s="84" t="str">
        <f t="shared" si="2"/>
        <v/>
      </c>
    </row>
    <row r="34" spans="1:13" ht="15.75" thickTop="1" x14ac:dyDescent="0.25"/>
  </sheetData>
  <autoFilter ref="A1:M34" xr:uid="{7371FF5A-165C-457C-86B5-17DC3D0AFD3F}"/>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C1FAE-B991-4F0A-ADB9-F44145E6099E}">
  <dimension ref="A1:M34"/>
  <sheetViews>
    <sheetView workbookViewId="0">
      <pane xSplit="2" ySplit="1" topLeftCell="H2" activePane="bottomRight" state="frozen"/>
      <selection pane="topRight" activeCell="C1" sqref="C1"/>
      <selection pane="bottomLeft" activeCell="A2" sqref="A2"/>
      <selection pane="bottomRight" activeCell="J5" sqref="J5"/>
    </sheetView>
  </sheetViews>
  <sheetFormatPr defaultRowHeight="15" x14ac:dyDescent="0.25"/>
  <cols>
    <col min="1" max="1" width="11.5703125" customWidth="1"/>
    <col min="2" max="2" width="23.5703125" customWidth="1"/>
    <col min="3" max="3" width="18.5703125" style="1" customWidth="1"/>
    <col min="4" max="4" width="30.5703125" style="1" customWidth="1"/>
    <col min="5" max="5" width="12.5703125" customWidth="1"/>
    <col min="6" max="6" width="15.5703125" customWidth="1"/>
    <col min="7" max="7" width="18.85546875" customWidth="1"/>
    <col min="8" max="8" width="18.140625" customWidth="1"/>
    <col min="9" max="9" width="20" customWidth="1"/>
    <col min="10" max="10" width="18.42578125" customWidth="1"/>
    <col min="11" max="11" width="16.5703125" customWidth="1"/>
    <col min="12" max="12" width="16.85546875" customWidth="1"/>
    <col min="13" max="13" width="22.28515625" bestFit="1" customWidth="1"/>
  </cols>
  <sheetData>
    <row r="1" spans="1:13" ht="76.5" thickTop="1" thickBot="1" x14ac:dyDescent="0.3">
      <c r="A1" s="68" t="s">
        <v>0</v>
      </c>
      <c r="B1" s="69" t="s">
        <v>1</v>
      </c>
      <c r="C1" s="70" t="s">
        <v>3</v>
      </c>
      <c r="D1" s="46" t="s">
        <v>243</v>
      </c>
      <c r="E1" s="130" t="s">
        <v>148</v>
      </c>
      <c r="F1" s="71" t="s">
        <v>149</v>
      </c>
      <c r="G1" s="72" t="s">
        <v>198</v>
      </c>
      <c r="H1" s="48" t="s">
        <v>199</v>
      </c>
      <c r="I1" s="48" t="s">
        <v>200</v>
      </c>
      <c r="J1" s="50" t="s">
        <v>23</v>
      </c>
      <c r="K1" s="50" t="s">
        <v>204</v>
      </c>
      <c r="L1" s="50" t="s">
        <v>202</v>
      </c>
      <c r="M1" s="73" t="s">
        <v>205</v>
      </c>
    </row>
    <row r="2" spans="1:13" ht="30.75" thickTop="1" x14ac:dyDescent="0.25">
      <c r="A2" s="74" t="str">
        <f>IF(Performance!A2&lt;&gt;"",Performance!A2,"")</f>
        <v>IA0029025</v>
      </c>
      <c r="B2" s="75" t="str">
        <f>IF(Performance!B2&lt;&gt;"",Performance!B2,"")</f>
        <v>City of Atlantic WWTP</v>
      </c>
      <c r="C2" s="75" t="str">
        <f>IF(Performance!E2&lt;&gt;"",Performance!E2,"")</f>
        <v>BNR [Total Nitrogen]</v>
      </c>
      <c r="D2" s="75" t="str">
        <f>IF(Performance!F2&lt;&gt;"",Performance!F2,"")</f>
        <v>A2O or BNR 3- to 5-Stage Replace</v>
      </c>
      <c r="E2" s="75">
        <f>IF(Performance!H2&lt;&gt;"",Performance!H2,"")</f>
        <v>8.1</v>
      </c>
      <c r="F2" s="80">
        <f>IF(AND(Performance!J2&lt;&gt;"",E2&lt;&gt;""),Performance!J2*8.34*E2,"")</f>
        <v>2233.3352400000003</v>
      </c>
      <c r="G2" s="80">
        <f>IF(AND(Performance!K2&lt;&gt;"",E2&lt;&gt;""),Performance!K2*8.34*E2,"")</f>
        <v>293.85989999999998</v>
      </c>
      <c r="H2" s="210">
        <f>IF(AND(F2&lt;&gt;"",G2&lt;&gt;""),(F2-G2),"")</f>
        <v>1939.4753400000004</v>
      </c>
      <c r="I2" s="210">
        <f>IF(H2&lt;&gt;"",H2*365,"")</f>
        <v>707908.49910000013</v>
      </c>
      <c r="J2" s="210">
        <f>IF(AND(Performance!M2&lt;&gt;"",E2&lt;&gt;""),Performance!M2*8.34*E2,"")</f>
        <v>1418.6339999999998</v>
      </c>
      <c r="K2" s="210">
        <f>IF(AND(F2&lt;&gt;"",J2&lt;&gt;""),(F2-J2),"")</f>
        <v>814.70124000000055</v>
      </c>
      <c r="L2" s="210">
        <f>IF(K2&lt;&gt;"",K2*365,"")</f>
        <v>297365.95260000019</v>
      </c>
      <c r="M2" s="211">
        <f>IF(AND(I2&lt;&gt;"",L2&lt;&gt;""),I2-L2,"")</f>
        <v>410542.54649999994</v>
      </c>
    </row>
    <row r="3" spans="1:13" ht="45" x14ac:dyDescent="0.25">
      <c r="A3" s="76" t="str">
        <f>IF(Performance!A3&lt;&gt;"",Performance!A3,"")</f>
        <v>MN0020192</v>
      </c>
      <c r="B3" s="77" t="str">
        <f>IF(Performance!B3&lt;&gt;"",Performance!B3,"")</f>
        <v>Detroit Lakes WRF</v>
      </c>
      <c r="C3" s="77" t="str">
        <f>IF(Performance!E3&lt;&gt;"",Performance!E3,"")</f>
        <v>Membrane Bioreactor with Bio-P [Phosphorus]</v>
      </c>
      <c r="D3" s="77" t="str">
        <f>IF(Performance!F3&lt;&gt;"",Performance!F3,"")</f>
        <v>NA</v>
      </c>
      <c r="E3" s="77">
        <f>IF(Performance!H3&lt;&gt;"",Performance!H3,"")</f>
        <v>2.21</v>
      </c>
      <c r="F3" s="81">
        <f>IF(AND(Performance!J3&lt;&gt;"",E3&lt;&gt;""),Performance!J3*8.34*E3,"")</f>
        <v>747.39326999999992</v>
      </c>
      <c r="G3" s="81">
        <f>IF(AND(Performance!K3&lt;&gt;"",E3&lt;&gt;""),Performance!K3*8.34*E3,"")</f>
        <v>163.85514599999999</v>
      </c>
      <c r="H3" s="212">
        <f t="shared" ref="H3:H33" si="0">IF(AND(F3&lt;&gt;"",G3&lt;&gt;""),(F3-G3),"")</f>
        <v>583.53812399999993</v>
      </c>
      <c r="I3" s="212">
        <f t="shared" ref="I3:I33" si="1">IF(H3&lt;&gt;"",H3*365,"")</f>
        <v>212991.41525999998</v>
      </c>
      <c r="J3" s="212">
        <f>IF(AND(Performance!M3&lt;&gt;"",E3&lt;&gt;""),Performance!M3*8.34*E3,"")</f>
        <v>457.46734799999996</v>
      </c>
      <c r="K3" s="212">
        <f t="shared" ref="K3:K33" si="2">IF(AND(F3&lt;&gt;"",J3&lt;&gt;""),(F3-J3),"")</f>
        <v>289.92592199999996</v>
      </c>
      <c r="L3" s="212">
        <f t="shared" ref="L3:L33" si="3">IF(K3&lt;&gt;"",K3*365,"")</f>
        <v>105822.96152999999</v>
      </c>
      <c r="M3" s="213">
        <f t="shared" ref="M3:M33" si="4">IF(AND(I3&lt;&gt;"",L3&lt;&gt;""),I3-L3,"")</f>
        <v>107168.45372999999</v>
      </c>
    </row>
    <row r="4" spans="1:13" ht="60" x14ac:dyDescent="0.25">
      <c r="A4" s="76" t="str">
        <f>IF(Performance!A4&lt;&gt;"",Performance!A4,"")</f>
        <v>MN0030066</v>
      </c>
      <c r="B4" s="77" t="str">
        <f>IF(Performance!B4&lt;&gt;"",Performance!B4,"")</f>
        <v>New Ulm WWTP</v>
      </c>
      <c r="C4" s="77" t="str">
        <f>IF(Performance!E4&lt;&gt;"",Performance!E4,"")</f>
        <v>Biological Phosphorus Removal [Phosphorus]</v>
      </c>
      <c r="D4" s="77" t="str">
        <f>IF(Performance!F4&lt;&gt;"",Performance!F4,"")</f>
        <v>A/O or BNR 2-Stage Replace</v>
      </c>
      <c r="E4" s="77">
        <f>IF(Performance!H4&lt;&gt;"",Performance!H4,"")</f>
        <v>6.77</v>
      </c>
      <c r="F4" s="81">
        <f>IF(AND(Performance!J4&lt;&gt;"",E4&lt;&gt;""),Performance!J4*8.34*E4,"")</f>
        <v>1809.0360719999999</v>
      </c>
      <c r="G4" s="81">
        <f>IF(AND(Performance!K4&lt;&gt;"",E4&lt;&gt;""),Performance!K4*8.34*E4,"")</f>
        <v>586.07348400000001</v>
      </c>
      <c r="H4" s="212">
        <f t="shared" si="0"/>
        <v>1222.9625879999999</v>
      </c>
      <c r="I4" s="212">
        <f t="shared" si="1"/>
        <v>446381.34461999993</v>
      </c>
      <c r="J4" s="212">
        <f>IF(AND(Performance!M4&lt;&gt;"",E4&lt;&gt;""),Performance!M4*8.34*E4,"")</f>
        <v>1185.6977999999999</v>
      </c>
      <c r="K4" s="212">
        <f t="shared" si="2"/>
        <v>623.33827199999996</v>
      </c>
      <c r="L4" s="212">
        <f t="shared" si="3"/>
        <v>227518.46927999999</v>
      </c>
      <c r="M4" s="213">
        <f t="shared" si="4"/>
        <v>218862.87533999994</v>
      </c>
    </row>
    <row r="5" spans="1:13" ht="60" x14ac:dyDescent="0.25">
      <c r="A5" s="76" t="str">
        <f>IF(Performance!A5&lt;&gt;"",Performance!A5,"")</f>
        <v>MN0040878</v>
      </c>
      <c r="B5" s="77" t="str">
        <f>IF(Performance!B5&lt;&gt;"",Performance!B5,"")</f>
        <v>St. Cloud NEW RF</v>
      </c>
      <c r="C5" s="77" t="str">
        <f>IF(Performance!E5&lt;&gt;"",Performance!E5,"")</f>
        <v>Full Nitrification and BNR [Phosphorus, Nitrogen]</v>
      </c>
      <c r="D5" s="77" t="str">
        <f>IF(Performance!F5&lt;&gt;"",Performance!F5,"")</f>
        <v>A2O or BNR 3- to 5-Stage Retrofit</v>
      </c>
      <c r="E5" s="77">
        <f>IF(Performance!H5&lt;&gt;"",Performance!H5,"")</f>
        <v>17.899999999999999</v>
      </c>
      <c r="F5" s="81">
        <f>IF(AND(Performance!J5&lt;&gt;"",E5&lt;&gt;""),Performance!J5*8.34*E5,"")</f>
        <v>7019.4277200000006</v>
      </c>
      <c r="G5" s="81">
        <f>IF(AND(Performance!K5&lt;&gt;"",E5&lt;&gt;""),Performance!K5*8.34*E5,"")</f>
        <v>2060.1468</v>
      </c>
      <c r="H5" s="212">
        <f t="shared" si="0"/>
        <v>4959.2809200000011</v>
      </c>
      <c r="I5" s="212">
        <f t="shared" si="1"/>
        <v>1810137.5358000004</v>
      </c>
      <c r="J5" s="212">
        <f>IF(AND(Performance!M5&lt;&gt;"",E5&lt;&gt;""),Performance!M5*8.34*E5,"")</f>
        <v>3135.0059999999994</v>
      </c>
      <c r="K5" s="212">
        <f t="shared" si="2"/>
        <v>3884.4217200000012</v>
      </c>
      <c r="L5" s="212">
        <f t="shared" si="3"/>
        <v>1417813.9278000004</v>
      </c>
      <c r="M5" s="213">
        <f t="shared" si="4"/>
        <v>392323.60800000001</v>
      </c>
    </row>
    <row r="6" spans="1:13" ht="60" x14ac:dyDescent="0.25">
      <c r="A6" s="76" t="str">
        <f>IF(Performance!A6&lt;&gt;"",Performance!A6,"")</f>
        <v>MN0066079</v>
      </c>
      <c r="B6" s="77" t="str">
        <f>IF(Performance!B6&lt;&gt;"",Performance!B6,"")</f>
        <v>City of Long Prairie WWTF</v>
      </c>
      <c r="C6" s="77" t="str">
        <f>IF(Performance!E6&lt;&gt;"",Performance!E6,"")</f>
        <v>Extended Aeration Activated Sludge/BNR [Phosphorus]</v>
      </c>
      <c r="D6" s="77" t="str">
        <f>IF(Performance!F6&lt;&gt;"",Performance!F6,"")</f>
        <v>A/O or BNR 2-Stage Replace</v>
      </c>
      <c r="E6" s="77">
        <f>IF(Performance!H6&lt;&gt;"",Performance!H6,"")</f>
        <v>2.2789999999999999</v>
      </c>
      <c r="F6" s="81">
        <f>IF(AND(Performance!J6&lt;&gt;"",E6&lt;&gt;""),Performance!J6*8.34*E6,"")</f>
        <v>1262.8157784</v>
      </c>
      <c r="G6" s="81">
        <f>IF(AND(Performance!K6&lt;&gt;"",E6&lt;&gt;""),Performance!K6*8.34*E6,"")</f>
        <v>343.26389159999997</v>
      </c>
      <c r="H6" s="212">
        <f t="shared" si="0"/>
        <v>919.55188680000003</v>
      </c>
      <c r="I6" s="212">
        <f t="shared" si="1"/>
        <v>335636.43868200004</v>
      </c>
      <c r="J6" s="212">
        <f>IF(AND(Performance!M6&lt;&gt;"",E6&lt;&gt;""),Performance!M6*8.34*E6,"")</f>
        <v>859.30014059999996</v>
      </c>
      <c r="K6" s="212">
        <f t="shared" si="2"/>
        <v>403.51563780000004</v>
      </c>
      <c r="L6" s="212">
        <f t="shared" si="3"/>
        <v>147283.20779700001</v>
      </c>
      <c r="M6" s="213">
        <f t="shared" si="4"/>
        <v>188353.23088500003</v>
      </c>
    </row>
    <row r="7" spans="1:13" ht="90" x14ac:dyDescent="0.25">
      <c r="A7" s="76" t="str">
        <f>IF(Performance!A7&lt;&gt;"",Performance!A7,"")</f>
        <v>MT0020125</v>
      </c>
      <c r="B7" s="77" t="str">
        <f>IF(Performance!B7&lt;&gt;"",Performance!B7,"")</f>
        <v>Chinook WWTF</v>
      </c>
      <c r="C7" s="77" t="str">
        <f>IF(Performance!E7&lt;&gt;"",Performance!E7,"")</f>
        <v>Activated Sludge-Oxidation Ditch; Optimized through mixers, DO probe, and SCADA [Nitrogen]</v>
      </c>
      <c r="D7" s="77" t="str">
        <f>IF(Performance!F7&lt;&gt;"",Performance!F7,"")</f>
        <v>NA</v>
      </c>
      <c r="E7" s="77">
        <f>IF(Performance!H7&lt;&gt;"",Performance!H7,"")</f>
        <v>0.5</v>
      </c>
      <c r="F7" s="81">
        <f>IF(AND(Performance!J7&lt;&gt;"",E7&lt;&gt;""),Performance!J7*8.34*E7,"")</f>
        <v>166.8</v>
      </c>
      <c r="G7" s="188">
        <f>IF(AND(Performance!K7&lt;&gt;"",E7&lt;&gt;""),Performance!K7*8.34*E7,"")</f>
        <v>11.759399999999999</v>
      </c>
      <c r="H7" s="212">
        <f t="shared" si="0"/>
        <v>155.04060000000001</v>
      </c>
      <c r="I7" s="212">
        <f t="shared" si="1"/>
        <v>56589.819000000003</v>
      </c>
      <c r="J7" s="212">
        <f>IF(AND(Performance!M7&lt;&gt;"",E7&lt;&gt;""),Performance!M7*8.34*E7,"")</f>
        <v>87.57</v>
      </c>
      <c r="K7" s="212">
        <f t="shared" si="2"/>
        <v>79.230000000000018</v>
      </c>
      <c r="L7" s="212">
        <f t="shared" si="3"/>
        <v>28918.950000000008</v>
      </c>
      <c r="M7" s="213">
        <f t="shared" si="4"/>
        <v>27670.868999999995</v>
      </c>
    </row>
    <row r="8" spans="1:13" ht="75" x14ac:dyDescent="0.25">
      <c r="A8" s="76" t="str">
        <f>IF(Performance!A8&lt;&gt;"",Performance!A8,"")</f>
        <v>MT0021938</v>
      </c>
      <c r="B8" s="77" t="str">
        <f>IF(Performance!B8&lt;&gt;"",Performance!B8,"")</f>
        <v>City of Kalispell Advanced Wastewater Treatment and Biological Nutrient Removal Facility</v>
      </c>
      <c r="C8" s="77" t="str">
        <f>IF(Performance!E8&lt;&gt;"",Performance!E8,"")</f>
        <v>Modified Johannesburg BNR [Phosphorus, Nitrogen]</v>
      </c>
      <c r="D8" s="77" t="str">
        <f>IF(Performance!F8&lt;&gt;"",Performance!F8,"")</f>
        <v>A2O or BNR 3- to 5-Stage Retrofit</v>
      </c>
      <c r="E8" s="77">
        <f>IF(Performance!H8&lt;&gt;"",Performance!H8,"")</f>
        <v>5.4</v>
      </c>
      <c r="F8" s="81">
        <f>IF(AND(Performance!J8&lt;&gt;"",E8&lt;&gt;""),Performance!J8*8.34*E8,"")</f>
        <v>1801.4400000000003</v>
      </c>
      <c r="G8" s="81">
        <f>IF(AND(Performance!K8&lt;&gt;"",E8&lt;&gt;""),Performance!K8*8.34*E8,"")</f>
        <v>352.18152000000003</v>
      </c>
      <c r="H8" s="212">
        <f t="shared" si="0"/>
        <v>1449.2584800000002</v>
      </c>
      <c r="I8" s="212">
        <f t="shared" si="1"/>
        <v>528979.3452000001</v>
      </c>
      <c r="J8" s="212">
        <f>IF(AND(Performance!M8&lt;&gt;"",E8&lt;&gt;""),Performance!M8*8.34*E8,"")</f>
        <v>945.75599999999997</v>
      </c>
      <c r="K8" s="212">
        <f t="shared" si="2"/>
        <v>855.68400000000031</v>
      </c>
      <c r="L8" s="212">
        <f t="shared" si="3"/>
        <v>312324.66000000009</v>
      </c>
      <c r="M8" s="213">
        <f t="shared" si="4"/>
        <v>216654.68520000001</v>
      </c>
    </row>
    <row r="9" spans="1:13" ht="30" x14ac:dyDescent="0.25">
      <c r="A9" s="76" t="str">
        <f>IF(Performance!A9&lt;&gt;"",Performance!A9,"")</f>
        <v>MT0022594</v>
      </c>
      <c r="B9" s="77" t="str">
        <f>IF(Performance!B9&lt;&gt;"",Performance!B9,"")</f>
        <v>Missoula WWTP</v>
      </c>
      <c r="C9" s="77" t="str">
        <f>IF(Performance!E9&lt;&gt;"",Performance!E9,"")</f>
        <v>BNR [Phosphorus, Nitrogen]</v>
      </c>
      <c r="D9" s="77" t="str">
        <f>IF(Performance!F9&lt;&gt;"",Performance!F9,"")</f>
        <v>A2O or BNR 3- to 5-Stage Replace</v>
      </c>
      <c r="E9" s="77">
        <f>IF(Performance!H9&lt;&gt;"",Performance!H9,"")</f>
        <v>12</v>
      </c>
      <c r="F9" s="81">
        <f>IF(AND(Performance!J9&lt;&gt;"",E9&lt;&gt;""),Performance!J9*8.34*E9,"")</f>
        <v>4003.2000000000003</v>
      </c>
      <c r="G9" s="81">
        <f>IF(AND(Performance!K9&lt;&gt;"",E9&lt;&gt;""),Performance!K9*8.34*E9,"")</f>
        <v>963.7704</v>
      </c>
      <c r="H9" s="212">
        <f t="shared" si="0"/>
        <v>3039.4296000000004</v>
      </c>
      <c r="I9" s="212">
        <f t="shared" si="1"/>
        <v>1109391.8040000002</v>
      </c>
      <c r="J9" s="212">
        <f>IF(AND(Performance!M9&lt;&gt;"",E9&lt;&gt;""),Performance!M9*8.34*E9,"")</f>
        <v>2101.6799999999998</v>
      </c>
      <c r="K9" s="212">
        <f t="shared" si="2"/>
        <v>1901.5200000000004</v>
      </c>
      <c r="L9" s="212">
        <f t="shared" si="3"/>
        <v>694054.80000000016</v>
      </c>
      <c r="M9" s="213">
        <f t="shared" si="4"/>
        <v>415337.00400000007</v>
      </c>
    </row>
    <row r="10" spans="1:13" ht="75" x14ac:dyDescent="0.25">
      <c r="A10" s="76" t="str">
        <f>IF(Performance!A10&lt;&gt;"",Performance!A10,"")</f>
        <v>NY0027561</v>
      </c>
      <c r="B10" s="77" t="str">
        <f>IF(Performance!B10&lt;&gt;"",Performance!B10,"")</f>
        <v>LeRoy R Summerson WWTF (City of Cortland)</v>
      </c>
      <c r="C10" s="77" t="str">
        <f>IF(Performance!E10&lt;&gt;"",Performance!E10,"")</f>
        <v>Cycling Air and Adding Internal Carbon Source [Phosphorus, Nitrogen]</v>
      </c>
      <c r="D10" s="77" t="str">
        <f>IF(Performance!F10&lt;&gt;"",Performance!F10,"")</f>
        <v>NA</v>
      </c>
      <c r="E10" s="77">
        <f>IF(Performance!H10&lt;&gt;"",Performance!H10,"")</f>
        <v>9</v>
      </c>
      <c r="F10" s="81">
        <f>IF(AND(Performance!J10&lt;&gt;"",E10&lt;&gt;""),Performance!J10*8.34*E10,"")</f>
        <v>1369.8449999999998</v>
      </c>
      <c r="G10" s="81">
        <f>IF(AND(Performance!K10&lt;&gt;"",E10&lt;&gt;""),Performance!K10*8.34*E10,"")</f>
        <v>619.99559999999997</v>
      </c>
      <c r="H10" s="212">
        <f t="shared" si="0"/>
        <v>749.84939999999983</v>
      </c>
      <c r="I10" s="212">
        <f t="shared" si="1"/>
        <v>273695.03099999996</v>
      </c>
      <c r="J10" s="212">
        <f>IF(AND(Performance!M10&lt;&gt;"",E10&lt;&gt;""),Performance!M10*8.34*E10,"")</f>
        <v>1206.9647999999997</v>
      </c>
      <c r="K10" s="212">
        <f t="shared" si="2"/>
        <v>162.88020000000006</v>
      </c>
      <c r="L10" s="212">
        <f t="shared" si="3"/>
        <v>59451.273000000023</v>
      </c>
      <c r="M10" s="213">
        <f t="shared" si="4"/>
        <v>214243.75799999994</v>
      </c>
    </row>
    <row r="11" spans="1:13" ht="45" x14ac:dyDescent="0.25">
      <c r="A11" s="191" t="str">
        <f>IF(Performance!A11&lt;&gt;"",Performance!A11,"")</f>
        <v>IL0028053</v>
      </c>
      <c r="B11" s="192" t="str">
        <f>IF(Performance!B11&lt;&gt;"",Performance!B11,"")</f>
        <v>Stickney WRP</v>
      </c>
      <c r="C11" s="192" t="str">
        <f>IF(Performance!E11&lt;&gt;"",Performance!E11,"")</f>
        <v>Ostara Phosphorus Recovery [Phosphorus]</v>
      </c>
      <c r="D11" s="77" t="str">
        <f>IF(Performance!F11&lt;&gt;"",Performance!F11,"")</f>
        <v>A/O or BNR 2-Stage Retrofit</v>
      </c>
      <c r="E11" s="192">
        <f>IF(Performance!H11&lt;&gt;"",Performance!H11,"")</f>
        <v>1440</v>
      </c>
      <c r="F11" s="193">
        <f>IF(AND(Performance!J11&lt;&gt;"",E11&lt;&gt;""),Performance!J11*8.34*E11,"")</f>
        <v>480384.00000000006</v>
      </c>
      <c r="G11" s="193">
        <f>IF(AND(Performance!K11&lt;&gt;"",E11&lt;&gt;""),Performance!K11*8.34*E11,"")</f>
        <v>113610.81600000001</v>
      </c>
      <c r="H11" s="214">
        <f t="shared" si="0"/>
        <v>366773.18400000007</v>
      </c>
      <c r="I11" s="214">
        <f t="shared" si="1"/>
        <v>133872212.16000003</v>
      </c>
      <c r="J11" s="214">
        <f>IF(AND(Performance!M11&lt;&gt;"",E11&lt;&gt;""),Performance!M11*8.34*E11,"")</f>
        <v>98478.719999999987</v>
      </c>
      <c r="K11" s="214">
        <f t="shared" si="2"/>
        <v>381905.28000000009</v>
      </c>
      <c r="L11" s="214">
        <f t="shared" si="3"/>
        <v>139395427.20000002</v>
      </c>
      <c r="M11" s="215">
        <f t="shared" si="4"/>
        <v>-5523215.0399999917</v>
      </c>
    </row>
    <row r="12" spans="1:13" ht="30" x14ac:dyDescent="0.25">
      <c r="A12" s="76" t="str">
        <f>IF(Performance!A12&lt;&gt;"",Performance!A12,"")</f>
        <v>MN0020567</v>
      </c>
      <c r="B12" s="77" t="str">
        <f>IF(Performance!B12&lt;&gt;"",Performance!B12,"")</f>
        <v>Monticello WWTP</v>
      </c>
      <c r="C12" s="77" t="str">
        <f>IF(Performance!E12&lt;&gt;"",Performance!E12,"")</f>
        <v>BNR [Phosphorus, Nitrogen]</v>
      </c>
      <c r="D12" s="77" t="str">
        <f>IF(Performance!F12&lt;&gt;"",Performance!F12,"")</f>
        <v>A2O or BNR 3- to 5-Stage Retrofit</v>
      </c>
      <c r="E12" s="77">
        <f>IF(Performance!H12&lt;&gt;"",Performance!H12,"")</f>
        <v>2.36</v>
      </c>
      <c r="F12" s="81">
        <f>IF(AND(Performance!J12&lt;&gt;"",E12&lt;&gt;""),Performance!J12*8.34*E12,"")</f>
        <v>1328.1683520000001</v>
      </c>
      <c r="G12" s="81">
        <f>IF(AND(Performance!K12&lt;&gt;"",E12&lt;&gt;""),Performance!K12*8.34*E12,"")</f>
        <v>171.43370400000001</v>
      </c>
      <c r="H12" s="212">
        <f t="shared" si="0"/>
        <v>1156.7346480000001</v>
      </c>
      <c r="I12" s="212">
        <f t="shared" si="1"/>
        <v>422208.14652000007</v>
      </c>
      <c r="J12" s="212">
        <f>IF(AND(Performance!M12&lt;&gt;"",E12&lt;&gt;""),Performance!M12*8.34*E12,"")</f>
        <v>413.33039999999994</v>
      </c>
      <c r="K12" s="212">
        <f t="shared" si="2"/>
        <v>914.8379520000002</v>
      </c>
      <c r="L12" s="212">
        <f t="shared" si="3"/>
        <v>333915.85248000006</v>
      </c>
      <c r="M12" s="213">
        <f t="shared" si="4"/>
        <v>88292.294040000008</v>
      </c>
    </row>
    <row r="13" spans="1:13" ht="60" x14ac:dyDescent="0.25">
      <c r="A13" s="76" t="str">
        <f>IF(Performance!A13&lt;&gt;"",Performance!A13,"")</f>
        <v>MN0055361</v>
      </c>
      <c r="B13" s="77" t="str">
        <f>IF(Performance!B13&lt;&gt;"",Performance!B13,"")</f>
        <v>Plainview Township WWTP</v>
      </c>
      <c r="C13" s="77" t="str">
        <f>IF(Performance!E13&lt;&gt;"",Performance!E13,"")</f>
        <v>Biological Phosphorus Removal [Phosphorus]</v>
      </c>
      <c r="D13" s="77" t="str">
        <f>IF(Performance!F13&lt;&gt;"",Performance!F13,"")</f>
        <v>A/O or BNR 2-Stage Retrofit</v>
      </c>
      <c r="E13" s="77">
        <f>IF(Performance!H13&lt;&gt;"",Performance!H13,"")</f>
        <v>2.67</v>
      </c>
      <c r="F13" s="81">
        <f>IF(AND(Performance!J13&lt;&gt;"",E13&lt;&gt;""),Performance!J13*8.34*E13,"")</f>
        <v>806.53971599999988</v>
      </c>
      <c r="G13" s="81">
        <f>IF(AND(Performance!K13&lt;&gt;"",E13&lt;&gt;""),Performance!K13*8.34*E13,"")</f>
        <v>242.941698</v>
      </c>
      <c r="H13" s="212">
        <f t="shared" si="0"/>
        <v>563.59801799999991</v>
      </c>
      <c r="I13" s="212">
        <f t="shared" si="1"/>
        <v>205713.27656999996</v>
      </c>
      <c r="J13" s="212">
        <f>IF(AND(Performance!M13&lt;&gt;"",E13&lt;&gt;""),Performance!M13*8.34*E13,"")</f>
        <v>467.62379999999996</v>
      </c>
      <c r="K13" s="212">
        <f t="shared" si="2"/>
        <v>338.91591599999992</v>
      </c>
      <c r="L13" s="212">
        <f t="shared" si="3"/>
        <v>123704.30933999998</v>
      </c>
      <c r="M13" s="213">
        <f t="shared" si="4"/>
        <v>82008.96722999998</v>
      </c>
    </row>
    <row r="14" spans="1:13" ht="30" x14ac:dyDescent="0.25">
      <c r="A14" s="76" t="str">
        <f>IF(Performance!A14&lt;&gt;"",Performance!A14,"")</f>
        <v>MT0022568</v>
      </c>
      <c r="B14" s="77" t="str">
        <f>IF(Performance!B14&lt;&gt;"",Performance!B14,"")</f>
        <v>Billings WRF</v>
      </c>
      <c r="C14" s="77" t="str">
        <f>IF(Performance!E14&lt;&gt;"",Performance!E14,"")</f>
        <v>BNR [Phosphorus, Nitrogen]</v>
      </c>
      <c r="D14" s="77" t="str">
        <f>IF(Performance!F14&lt;&gt;"",Performance!F14,"")</f>
        <v>A2O or BNR 3- to 5-Stage Replace</v>
      </c>
      <c r="E14" s="77">
        <f>IF(Performance!H14&lt;&gt;"",Performance!H14,"")</f>
        <v>26</v>
      </c>
      <c r="F14" s="81">
        <f>IF(AND(Performance!J14&lt;&gt;"",E14&lt;&gt;""),Performance!J14*8.34*E14,"")</f>
        <v>8673.6</v>
      </c>
      <c r="G14" s="81">
        <f>IF(AND(Performance!K14&lt;&gt;"",E14&lt;&gt;""),Performance!K14*8.34*E14,"")</f>
        <v>1489.6908000000001</v>
      </c>
      <c r="H14" s="212">
        <f t="shared" si="0"/>
        <v>7183.9092000000001</v>
      </c>
      <c r="I14" s="212">
        <f t="shared" si="1"/>
        <v>2622126.858</v>
      </c>
      <c r="J14" s="212">
        <f>IF(AND(Performance!M14&lt;&gt;"",E14&lt;&gt;""),Performance!M14*8.34*E14,"")</f>
        <v>3812.0472</v>
      </c>
      <c r="K14" s="212">
        <f t="shared" si="2"/>
        <v>4861.5528000000004</v>
      </c>
      <c r="L14" s="212">
        <f t="shared" si="3"/>
        <v>1774466.7720000001</v>
      </c>
      <c r="M14" s="213">
        <f t="shared" si="4"/>
        <v>847660.08599999989</v>
      </c>
    </row>
    <row r="15" spans="1:13" ht="30" x14ac:dyDescent="0.25">
      <c r="A15" s="76" t="str">
        <f>IF(Performance!A15&lt;&gt;"",Performance!A15,"")</f>
        <v>MT0022608</v>
      </c>
      <c r="B15" s="77" t="str">
        <f>IF(Performance!B15&lt;&gt;"",Performance!B15,"")</f>
        <v>Bozeman WRF</v>
      </c>
      <c r="C15" s="77" t="str">
        <f>IF(Performance!E15&lt;&gt;"",Performance!E15,"")</f>
        <v>BNR [Phosphorus, Nitrogen]</v>
      </c>
      <c r="D15" s="77" t="str">
        <f>IF(Performance!F15&lt;&gt;"",Performance!F15,"")</f>
        <v>A2O or BNR 3- to 5-Stage Replace</v>
      </c>
      <c r="E15" s="77">
        <f>IF(Performance!H15&lt;&gt;"",Performance!H15,"")</f>
        <v>8.5</v>
      </c>
      <c r="F15" s="81">
        <f>IF(AND(Performance!J15&lt;&gt;"",E15&lt;&gt;""),Performance!J15*8.34*E15,"")</f>
        <v>2835.6000000000004</v>
      </c>
      <c r="G15" s="81">
        <f>IF(AND(Performance!K15&lt;&gt;"",E15&lt;&gt;""),Performance!K15*8.34*E15,"")</f>
        <v>435.26459999999997</v>
      </c>
      <c r="H15" s="212">
        <f t="shared" si="0"/>
        <v>2400.3354000000004</v>
      </c>
      <c r="I15" s="212">
        <f t="shared" si="1"/>
        <v>876122.42100000009</v>
      </c>
      <c r="J15" s="212">
        <f>IF(AND(Performance!M15&lt;&gt;"",E15&lt;&gt;""),Performance!M15*8.34*E15,"")</f>
        <v>1261.8420000000001</v>
      </c>
      <c r="K15" s="212">
        <f t="shared" si="2"/>
        <v>1573.7580000000003</v>
      </c>
      <c r="L15" s="212">
        <f t="shared" si="3"/>
        <v>574421.67000000004</v>
      </c>
      <c r="M15" s="213">
        <f t="shared" si="4"/>
        <v>301700.75100000005</v>
      </c>
    </row>
    <row r="16" spans="1:13" ht="60" x14ac:dyDescent="0.25">
      <c r="A16" s="76" t="str">
        <f>IF(Performance!A16&lt;&gt;"",Performance!A16,"")</f>
        <v>MT0020435</v>
      </c>
      <c r="B16" s="77" t="str">
        <f>IF(Performance!B16&lt;&gt;"",Performance!B16,"")</f>
        <v>Livingston WRF</v>
      </c>
      <c r="C16" s="77" t="str">
        <f>IF(Performance!E16&lt;&gt;"",Performance!E16,"")</f>
        <v>Sequencing Batch Reactors [Phosphorus, Nitrogen]</v>
      </c>
      <c r="D16" s="77" t="str">
        <f>IF(Performance!F16&lt;&gt;"",Performance!F16,"")</f>
        <v>A2O or BNR 3- to 5-Stage Replace</v>
      </c>
      <c r="E16" s="77">
        <f>IF(Performance!H16&lt;&gt;"",Performance!H16,"")</f>
        <v>0.91300000000000003</v>
      </c>
      <c r="F16" s="81">
        <f>IF(AND(Performance!J16&lt;&gt;"",E16&lt;&gt;""),Performance!J16*8.34*E16,"")</f>
        <v>304.57680000000005</v>
      </c>
      <c r="G16" s="81">
        <f>IF(AND(Performance!K16&lt;&gt;"",E16&lt;&gt;""),Performance!K16*8.34*E16,"")</f>
        <v>23.4524136</v>
      </c>
      <c r="H16" s="212">
        <f t="shared" si="0"/>
        <v>281.12438640000005</v>
      </c>
      <c r="I16" s="212">
        <f t="shared" si="1"/>
        <v>102610.40103600002</v>
      </c>
      <c r="J16" s="212">
        <f>IF(AND(Performance!M16&lt;&gt;"",E16&lt;&gt;""),Performance!M16*8.34*E16,"")</f>
        <v>209.7011268</v>
      </c>
      <c r="K16" s="212">
        <f t="shared" si="2"/>
        <v>94.875673200000051</v>
      </c>
      <c r="L16" s="212">
        <f t="shared" si="3"/>
        <v>34629.62071800002</v>
      </c>
      <c r="M16" s="213">
        <f t="shared" si="4"/>
        <v>67980.780318000005</v>
      </c>
    </row>
    <row r="17" spans="1:13" ht="45" x14ac:dyDescent="0.25">
      <c r="A17" s="76" t="str">
        <f>IF(Performance!A17&lt;&gt;"",Performance!A17,"")</f>
        <v>MT0020079</v>
      </c>
      <c r="B17" s="77" t="str">
        <f>IF(Performance!B17&lt;&gt;"",Performance!B17,"")</f>
        <v>Conrad WWTF</v>
      </c>
      <c r="C17" s="77" t="str">
        <f>IF(Performance!E17&lt;&gt;"",Performance!E17,"")</f>
        <v>Extended Aeration Activated Sludge [Phosphorus]</v>
      </c>
      <c r="D17" s="77" t="str">
        <f>IF(Performance!F17&lt;&gt;"",Performance!F17,"")</f>
        <v>A/O or BNR 2-Stage Replace</v>
      </c>
      <c r="E17" s="77">
        <f>IF(Performance!H17&lt;&gt;"",Performance!H17,"")</f>
        <v>0.5</v>
      </c>
      <c r="F17" s="81">
        <f>IF(AND(Performance!J17&lt;&gt;"",E17&lt;&gt;""),Performance!J17*8.34*E17,"")</f>
        <v>166.8</v>
      </c>
      <c r="G17" s="81">
        <f>IF(AND(Performance!K17&lt;&gt;"",E17&lt;&gt;""),Performance!K17*8.34*E17,"")</f>
        <v>27.105</v>
      </c>
      <c r="H17" s="212">
        <f t="shared" si="0"/>
        <v>139.69500000000002</v>
      </c>
      <c r="I17" s="212">
        <f t="shared" si="1"/>
        <v>50988.67500000001</v>
      </c>
      <c r="J17" s="212">
        <f>IF(AND(Performance!M17&lt;&gt;"",E17&lt;&gt;""),Performance!M17*8.34*E17,"")</f>
        <v>87.57</v>
      </c>
      <c r="K17" s="212">
        <f t="shared" si="2"/>
        <v>79.230000000000018</v>
      </c>
      <c r="L17" s="212">
        <f t="shared" si="3"/>
        <v>28918.950000000008</v>
      </c>
      <c r="M17" s="213">
        <f t="shared" si="4"/>
        <v>22069.725000000002</v>
      </c>
    </row>
    <row r="18" spans="1:13" ht="75" x14ac:dyDescent="0.25">
      <c r="A18" s="76" t="str">
        <f>IF(Performance!A18&lt;&gt;"",Performance!A18,"")</f>
        <v>MN0050725</v>
      </c>
      <c r="B18" s="77" t="str">
        <f>IF(Performance!B18&lt;&gt;"",Performance!B18,"")</f>
        <v>Kasson WWTP</v>
      </c>
      <c r="C18" s="77" t="str">
        <f>IF(Performance!E18&lt;&gt;"",Performance!E18,"")</f>
        <v>Activated sludge with Biological Phosphorus Removal [Phosphorus]</v>
      </c>
      <c r="D18" s="77" t="str">
        <f>IF(Performance!F18&lt;&gt;"",Performance!F18,"")</f>
        <v>A/O or BNR 2-Stage Replace</v>
      </c>
      <c r="E18" s="77">
        <f>IF(Performance!H18&lt;&gt;"",Performance!H18,"")</f>
        <v>2.0699999999999998</v>
      </c>
      <c r="F18" s="81">
        <f>IF(AND(Performance!J18&lt;&gt;"",E18&lt;&gt;""),Performance!J18*8.34*E18,"")</f>
        <v>673.97875199999987</v>
      </c>
      <c r="G18" s="81">
        <f>IF(AND(Performance!K18&lt;&gt;"",E18&lt;&gt;""),Performance!K18*8.34*E18,"")</f>
        <v>174.36437999999998</v>
      </c>
      <c r="H18" s="212">
        <f t="shared" si="0"/>
        <v>499.61437199999989</v>
      </c>
      <c r="I18" s="212">
        <f t="shared" si="1"/>
        <v>182359.24577999997</v>
      </c>
      <c r="J18" s="212">
        <f>IF(AND(Performance!M18&lt;&gt;"",E18&lt;&gt;""),Performance!M18*8.34*E18,"")</f>
        <v>362.53979999999996</v>
      </c>
      <c r="K18" s="212">
        <f t="shared" si="2"/>
        <v>311.43895199999992</v>
      </c>
      <c r="L18" s="212">
        <f t="shared" si="3"/>
        <v>113675.21747999996</v>
      </c>
      <c r="M18" s="213">
        <f t="shared" si="4"/>
        <v>68684.028300000005</v>
      </c>
    </row>
    <row r="19" spans="1:13" ht="75" x14ac:dyDescent="0.25">
      <c r="A19" s="76" t="str">
        <f>IF(Performance!A19&lt;&gt;"",Performance!A19,"")</f>
        <v>WI0020478</v>
      </c>
      <c r="B19" s="77" t="str">
        <f>IF(Performance!B19&lt;&gt;"",Performance!B19,"")</f>
        <v>City of Sun Prairie WWTP</v>
      </c>
      <c r="C19" s="77" t="str">
        <f>IF(Performance!E19&lt;&gt;"",Performance!E19,"")</f>
        <v>Activated sludge with Biological Phosphorus Removal [Phosphorus]</v>
      </c>
      <c r="D19" s="77" t="str">
        <f>IF(Performance!F19&lt;&gt;"",Performance!F19,"")</f>
        <v>A/O or BNR 2-Stage Retrofit</v>
      </c>
      <c r="E19" s="77">
        <f>IF(Performance!H19&lt;&gt;"",Performance!H19,"")</f>
        <v>7.53</v>
      </c>
      <c r="F19" s="81">
        <f>IF(AND(Performance!J19&lt;&gt;"",E19&lt;&gt;""),Performance!J19*8.34*E19,"")</f>
        <v>2512.0080000000003</v>
      </c>
      <c r="G19" s="81">
        <f>IF(AND(Performance!K19&lt;&gt;"",E19&lt;&gt;""),Performance!K19*8.34*E19,"")</f>
        <v>1066.3473960000001</v>
      </c>
      <c r="H19" s="212">
        <f t="shared" si="0"/>
        <v>1445.6606040000001</v>
      </c>
      <c r="I19" s="212">
        <f t="shared" si="1"/>
        <v>527666.12046000001</v>
      </c>
      <c r="J19" s="212">
        <f>IF(AND(Performance!M19&lt;&gt;"",E19&lt;&gt;""),Performance!M19*8.34*E19,"")</f>
        <v>1318.8042</v>
      </c>
      <c r="K19" s="212">
        <f t="shared" si="2"/>
        <v>1193.2038000000002</v>
      </c>
      <c r="L19" s="212">
        <f t="shared" si="3"/>
        <v>435519.3870000001</v>
      </c>
      <c r="M19" s="213">
        <f t="shared" si="4"/>
        <v>92146.733459999901</v>
      </c>
    </row>
    <row r="20" spans="1:13" ht="45" x14ac:dyDescent="0.25">
      <c r="A20" s="76" t="str">
        <f>IF(Performance!A20&lt;&gt;"",Performance!A20,"")</f>
        <v>MN0020117</v>
      </c>
      <c r="B20" s="77" t="str">
        <f>IF(Performance!B20&lt;&gt;"",Performance!B20,"")</f>
        <v>Central Iron Range Sanitary District WWTF</v>
      </c>
      <c r="C20" s="77" t="str">
        <f>IF(Performance!E20&lt;&gt;"",Performance!E20,"")</f>
        <v>Sequencing Batch Reactors [Phosphorus]</v>
      </c>
      <c r="D20" s="77" t="str">
        <f>IF(Performance!F20&lt;&gt;"",Performance!F20,"")</f>
        <v>A/O or BNR 2-Stage Replace</v>
      </c>
      <c r="E20" s="77">
        <f>IF(Performance!H20&lt;&gt;"",Performance!H20,"")</f>
        <v>2.5</v>
      </c>
      <c r="F20" s="81">
        <f>IF(AND(Performance!J20&lt;&gt;"",E20&lt;&gt;""),Performance!J20*8.34*E20,"")</f>
        <v>599.85450000000003</v>
      </c>
      <c r="G20" s="81">
        <f>IF(AND(Performance!K20&lt;&gt;"",E20&lt;&gt;""),Performance!K20*8.34*E20,"")</f>
        <v>140.946</v>
      </c>
      <c r="H20" s="212">
        <f t="shared" si="0"/>
        <v>458.9085</v>
      </c>
      <c r="I20" s="212">
        <f t="shared" si="1"/>
        <v>167501.60250000001</v>
      </c>
      <c r="J20" s="212">
        <f>IF(AND(Performance!M20&lt;&gt;"",E20&lt;&gt;""),Performance!M20*8.34*E20,"")</f>
        <v>437.84999999999997</v>
      </c>
      <c r="K20" s="212">
        <f t="shared" si="2"/>
        <v>162.00450000000006</v>
      </c>
      <c r="L20" s="212">
        <f t="shared" si="3"/>
        <v>59131.642500000024</v>
      </c>
      <c r="M20" s="213">
        <f t="shared" si="4"/>
        <v>108369.95999999999</v>
      </c>
    </row>
    <row r="21" spans="1:13" ht="45" x14ac:dyDescent="0.25">
      <c r="A21" s="76" t="str">
        <f>IF(Performance!A21&lt;&gt;"",Performance!A21,"")</f>
        <v>PA0080314</v>
      </c>
      <c r="B21" s="77" t="str">
        <f>IF(Performance!B21&lt;&gt;"",Performance!B21,"")</f>
        <v>Hampden Township WWTP</v>
      </c>
      <c r="C21" s="77" t="str">
        <f>IF(Performance!E21&lt;&gt;"",Performance!E21,"")</f>
        <v>Added Process Control System [Nitrogen]</v>
      </c>
      <c r="D21" s="77" t="str">
        <f>IF(Performance!F21&lt;&gt;"",Performance!F21,"")</f>
        <v>NA</v>
      </c>
      <c r="E21" s="77">
        <f>IF(Performance!H21&lt;&gt;"",Performance!H21,"")</f>
        <v>5.69</v>
      </c>
      <c r="F21" s="81">
        <f>IF(AND(Performance!J21&lt;&gt;"",E21&lt;&gt;""),Performance!J21*8.34*E21,"")</f>
        <v>1898.1840000000002</v>
      </c>
      <c r="G21" s="81">
        <f>IF(AND(Performance!K21&lt;&gt;"",E21&lt;&gt;""),Performance!K21*8.34*E21,"")</f>
        <v>208.32569399999997</v>
      </c>
      <c r="H21" s="212">
        <f t="shared" si="0"/>
        <v>1689.8583060000003</v>
      </c>
      <c r="I21" s="212">
        <f t="shared" si="1"/>
        <v>616798.28169000009</v>
      </c>
      <c r="J21" s="212">
        <f>IF(AND(Performance!M21&lt;&gt;"",E21&lt;&gt;""),Performance!M21*8.34*E21,"")</f>
        <v>996.54660000000001</v>
      </c>
      <c r="K21" s="212">
        <f t="shared" si="2"/>
        <v>901.63740000000018</v>
      </c>
      <c r="L21" s="212">
        <f t="shared" si="3"/>
        <v>329097.65100000007</v>
      </c>
      <c r="M21" s="213">
        <f t="shared" si="4"/>
        <v>287700.63069000002</v>
      </c>
    </row>
    <row r="22" spans="1:13" ht="60" x14ac:dyDescent="0.25">
      <c r="A22" s="76" t="str">
        <f>IF(Performance!A22&lt;&gt;"",Performance!A22,"")</f>
        <v>MA0100153</v>
      </c>
      <c r="B22" s="77" t="str">
        <f>IF(Performance!B22&lt;&gt;"",Performance!B22,"")</f>
        <v>Town of Lee WWTF</v>
      </c>
      <c r="C22" s="77" t="str">
        <f>IF(Performance!E22&lt;&gt;"",Performance!E22,"")</f>
        <v>Sequencing Batch Reactors [Phosphorus, Nitrogen]</v>
      </c>
      <c r="D22" s="77" t="str">
        <f>IF(Performance!F22&lt;&gt;"",Performance!F22,"")</f>
        <v>A2O or BNR 3- to 5-Stage Replace</v>
      </c>
      <c r="E22" s="77">
        <f>IF(Performance!H22&lt;&gt;"",Performance!H22,"")</f>
        <v>1.5</v>
      </c>
      <c r="F22" s="81">
        <f>IF(AND(Performance!J22&lt;&gt;"",E22&lt;&gt;""),Performance!J22*8.34*E22,"")</f>
        <v>500.40000000000003</v>
      </c>
      <c r="G22" s="81">
        <f>IF(AND(Performance!K22&lt;&gt;"",E22&lt;&gt;""),Performance!K22*8.34*E22,"")</f>
        <v>46.912499999999994</v>
      </c>
      <c r="H22" s="212">
        <f t="shared" si="0"/>
        <v>453.48750000000007</v>
      </c>
      <c r="I22" s="212">
        <f t="shared" si="1"/>
        <v>165522.93750000003</v>
      </c>
      <c r="J22" s="212">
        <f>IF(AND(Performance!M22&lt;&gt;"",E22&lt;&gt;""),Performance!M22*8.34*E22,"")</f>
        <v>262.70999999999998</v>
      </c>
      <c r="K22" s="212">
        <f t="shared" si="2"/>
        <v>237.69000000000005</v>
      </c>
      <c r="L22" s="212">
        <f t="shared" si="3"/>
        <v>86756.85000000002</v>
      </c>
      <c r="M22" s="213">
        <f t="shared" si="4"/>
        <v>78766.087500000009</v>
      </c>
    </row>
    <row r="23" spans="1:13" x14ac:dyDescent="0.25">
      <c r="A23" s="76" t="str">
        <f>IF(Performance!A23&lt;&gt;"",Performance!A23,"")</f>
        <v/>
      </c>
      <c r="B23" s="77" t="str">
        <f>IF(Performance!B23&lt;&gt;"",Performance!B23,"")</f>
        <v/>
      </c>
      <c r="C23" s="77" t="str">
        <f>IF(Performance!E23&lt;&gt;"",Performance!E23,"")</f>
        <v/>
      </c>
      <c r="D23" s="77" t="str">
        <f>IF(Performance!F23&lt;&gt;"",Performance!F23,"")</f>
        <v/>
      </c>
      <c r="E23" s="77" t="str">
        <f>IF(Performance!H23&lt;&gt;"",Performance!H23,"")</f>
        <v/>
      </c>
      <c r="F23" s="81" t="str">
        <f>IF(AND(Performance!J23&lt;&gt;"",E23&lt;&gt;""),Performance!J23*8.34*E23,"")</f>
        <v/>
      </c>
      <c r="G23" s="81" t="str">
        <f>IF(AND(Performance!K23&lt;&gt;"",E23&lt;&gt;""),Performance!K23*8.34*E23,"")</f>
        <v/>
      </c>
      <c r="H23" s="81" t="str">
        <f t="shared" si="0"/>
        <v/>
      </c>
      <c r="I23" s="81" t="str">
        <f t="shared" si="1"/>
        <v/>
      </c>
      <c r="J23" s="81" t="str">
        <f>IF(AND(Performance!M23&lt;&gt;"",E23&lt;&gt;""),Performance!M23*8.34*E23,"")</f>
        <v/>
      </c>
      <c r="K23" s="81" t="str">
        <f t="shared" si="2"/>
        <v/>
      </c>
      <c r="L23" s="81" t="str">
        <f t="shared" si="3"/>
        <v/>
      </c>
      <c r="M23" s="82" t="str">
        <f t="shared" si="4"/>
        <v/>
      </c>
    </row>
    <row r="24" spans="1:13" x14ac:dyDescent="0.25">
      <c r="A24" s="76" t="str">
        <f>IF(Performance!A24&lt;&gt;"",Performance!A24,"")</f>
        <v/>
      </c>
      <c r="B24" s="77" t="str">
        <f>IF(Performance!B24&lt;&gt;"",Performance!B24,"")</f>
        <v/>
      </c>
      <c r="C24" s="77" t="str">
        <f>IF(Performance!E24&lt;&gt;"",Performance!E24,"")</f>
        <v/>
      </c>
      <c r="D24" s="77" t="str">
        <f>IF(Performance!F24&lt;&gt;"",Performance!F24,"")</f>
        <v/>
      </c>
      <c r="E24" s="77" t="str">
        <f>IF(Performance!H24&lt;&gt;"",Performance!H24,"")</f>
        <v/>
      </c>
      <c r="F24" s="81" t="str">
        <f>IF(AND(Performance!J24&lt;&gt;"",E24&lt;&gt;""),Performance!J24*8.34*E24,"")</f>
        <v/>
      </c>
      <c r="G24" s="81" t="str">
        <f>IF(AND(Performance!K24&lt;&gt;"",E24&lt;&gt;""),Performance!K24*8.34*E24,"")</f>
        <v/>
      </c>
      <c r="H24" s="81" t="str">
        <f t="shared" si="0"/>
        <v/>
      </c>
      <c r="I24" s="81" t="str">
        <f t="shared" si="1"/>
        <v/>
      </c>
      <c r="J24" s="81" t="str">
        <f>IF(AND(Performance!M24&lt;&gt;"",E24&lt;&gt;""),Performance!M24*8.34*E24,"")</f>
        <v/>
      </c>
      <c r="K24" s="81" t="str">
        <f t="shared" si="2"/>
        <v/>
      </c>
      <c r="L24" s="81" t="str">
        <f t="shared" si="3"/>
        <v/>
      </c>
      <c r="M24" s="82" t="str">
        <f t="shared" si="4"/>
        <v/>
      </c>
    </row>
    <row r="25" spans="1:13" x14ac:dyDescent="0.25">
      <c r="A25" s="76" t="str">
        <f>IF(Performance!A25&lt;&gt;"",Performance!A25,"")</f>
        <v/>
      </c>
      <c r="B25" s="77" t="str">
        <f>IF(Performance!B25&lt;&gt;"",Performance!B25,"")</f>
        <v/>
      </c>
      <c r="C25" s="77" t="str">
        <f>IF(Performance!E25&lt;&gt;"",Performance!E25,"")</f>
        <v/>
      </c>
      <c r="D25" s="77" t="str">
        <f>IF(Performance!F25&lt;&gt;"",Performance!F25,"")</f>
        <v/>
      </c>
      <c r="E25" s="77" t="str">
        <f>IF(Performance!H25&lt;&gt;"",Performance!H25,"")</f>
        <v/>
      </c>
      <c r="F25" s="81" t="str">
        <f>IF(AND(Performance!J25&lt;&gt;"",E25&lt;&gt;""),Performance!J25*8.34*E25,"")</f>
        <v/>
      </c>
      <c r="G25" s="81" t="str">
        <f>IF(AND(Performance!K25&lt;&gt;"",E25&lt;&gt;""),Performance!K25*8.34*E25,"")</f>
        <v/>
      </c>
      <c r="H25" s="81" t="str">
        <f t="shared" si="0"/>
        <v/>
      </c>
      <c r="I25" s="81" t="str">
        <f t="shared" si="1"/>
        <v/>
      </c>
      <c r="J25" s="81" t="str">
        <f>IF(AND(Performance!M25&lt;&gt;"",E25&lt;&gt;""),Performance!M25*8.34*E25,"")</f>
        <v/>
      </c>
      <c r="K25" s="81" t="str">
        <f t="shared" si="2"/>
        <v/>
      </c>
      <c r="L25" s="81" t="str">
        <f t="shared" si="3"/>
        <v/>
      </c>
      <c r="M25" s="82" t="str">
        <f t="shared" si="4"/>
        <v/>
      </c>
    </row>
    <row r="26" spans="1:13" x14ac:dyDescent="0.25">
      <c r="A26" s="76" t="str">
        <f>IF(Performance!A26&lt;&gt;"",Performance!A26,"")</f>
        <v/>
      </c>
      <c r="B26" s="77" t="str">
        <f>IF(Performance!B26&lt;&gt;"",Performance!B26,"")</f>
        <v/>
      </c>
      <c r="C26" s="77" t="str">
        <f>IF(Performance!E26&lt;&gt;"",Performance!E26,"")</f>
        <v/>
      </c>
      <c r="D26" s="77" t="str">
        <f>IF(Performance!F26&lt;&gt;"",Performance!F26,"")</f>
        <v/>
      </c>
      <c r="E26" s="77" t="str">
        <f>IF(Performance!H26&lt;&gt;"",Performance!H26,"")</f>
        <v/>
      </c>
      <c r="F26" s="81" t="str">
        <f>IF(AND(Performance!J26&lt;&gt;"",E26&lt;&gt;""),Performance!J26*8.34*E26,"")</f>
        <v/>
      </c>
      <c r="G26" s="81" t="str">
        <f>IF(AND(Performance!K26&lt;&gt;"",E26&lt;&gt;""),Performance!K26*8.34*E26,"")</f>
        <v/>
      </c>
      <c r="H26" s="81" t="str">
        <f t="shared" si="0"/>
        <v/>
      </c>
      <c r="I26" s="81" t="str">
        <f t="shared" si="1"/>
        <v/>
      </c>
      <c r="J26" s="81" t="str">
        <f>IF(AND(Performance!M26&lt;&gt;"",E26&lt;&gt;""),Performance!M26*8.34*E26,"")</f>
        <v/>
      </c>
      <c r="K26" s="81" t="str">
        <f t="shared" si="2"/>
        <v/>
      </c>
      <c r="L26" s="81" t="str">
        <f t="shared" si="3"/>
        <v/>
      </c>
      <c r="M26" s="82" t="str">
        <f t="shared" si="4"/>
        <v/>
      </c>
    </row>
    <row r="27" spans="1:13" x14ac:dyDescent="0.25">
      <c r="A27" s="76" t="str">
        <f>IF(Performance!A27&lt;&gt;"",Performance!A27,"")</f>
        <v/>
      </c>
      <c r="B27" s="77" t="str">
        <f>IF(Performance!B27&lt;&gt;"",Performance!B27,"")</f>
        <v/>
      </c>
      <c r="C27" s="77" t="str">
        <f>IF(Performance!E27&lt;&gt;"",Performance!E27,"")</f>
        <v/>
      </c>
      <c r="D27" s="77" t="str">
        <f>IF(Performance!F27&lt;&gt;"",Performance!F27,"")</f>
        <v/>
      </c>
      <c r="E27" s="77" t="str">
        <f>IF(Performance!H27&lt;&gt;"",Performance!H27,"")</f>
        <v/>
      </c>
      <c r="F27" s="81" t="str">
        <f>IF(AND(Performance!J27&lt;&gt;"",E27&lt;&gt;""),Performance!J27*8.34*E27,"")</f>
        <v/>
      </c>
      <c r="G27" s="81" t="str">
        <f>IF(AND(Performance!K27&lt;&gt;"",E27&lt;&gt;""),Performance!K27*8.34*E27,"")</f>
        <v/>
      </c>
      <c r="H27" s="81" t="str">
        <f t="shared" si="0"/>
        <v/>
      </c>
      <c r="I27" s="81" t="str">
        <f t="shared" si="1"/>
        <v/>
      </c>
      <c r="J27" s="81" t="str">
        <f>IF(AND(Performance!M27&lt;&gt;"",E27&lt;&gt;""),Performance!M27*8.34*E27,"")</f>
        <v/>
      </c>
      <c r="K27" s="81" t="str">
        <f t="shared" si="2"/>
        <v/>
      </c>
      <c r="L27" s="81" t="str">
        <f t="shared" si="3"/>
        <v/>
      </c>
      <c r="M27" s="82" t="str">
        <f t="shared" si="4"/>
        <v/>
      </c>
    </row>
    <row r="28" spans="1:13" x14ac:dyDescent="0.25">
      <c r="A28" s="76" t="str">
        <f>IF(Performance!A28&lt;&gt;"",Performance!A28,"")</f>
        <v/>
      </c>
      <c r="B28" s="77" t="str">
        <f>IF(Performance!B28&lt;&gt;"",Performance!B28,"")</f>
        <v/>
      </c>
      <c r="C28" s="77" t="str">
        <f>IF(Performance!E28&lt;&gt;"",Performance!E28,"")</f>
        <v/>
      </c>
      <c r="D28" s="77" t="str">
        <f>IF(Performance!F28&lt;&gt;"",Performance!F28,"")</f>
        <v/>
      </c>
      <c r="E28" s="77" t="str">
        <f>IF(Performance!H28&lt;&gt;"",Performance!H28,"")</f>
        <v/>
      </c>
      <c r="F28" s="81" t="str">
        <f>IF(AND(Performance!J28&lt;&gt;"",E28&lt;&gt;""),Performance!J28*8.34*E28,"")</f>
        <v/>
      </c>
      <c r="G28" s="81" t="str">
        <f>IF(AND(Performance!K28&lt;&gt;"",E28&lt;&gt;""),Performance!K28*8.34*E28,"")</f>
        <v/>
      </c>
      <c r="H28" s="81" t="str">
        <f t="shared" si="0"/>
        <v/>
      </c>
      <c r="I28" s="81" t="str">
        <f t="shared" si="1"/>
        <v/>
      </c>
      <c r="J28" s="81" t="str">
        <f>IF(AND(Performance!M28&lt;&gt;"",E28&lt;&gt;""),Performance!M28*8.34*E28,"")</f>
        <v/>
      </c>
      <c r="K28" s="81" t="str">
        <f t="shared" si="2"/>
        <v/>
      </c>
      <c r="L28" s="81" t="str">
        <f t="shared" si="3"/>
        <v/>
      </c>
      <c r="M28" s="82" t="str">
        <f t="shared" si="4"/>
        <v/>
      </c>
    </row>
    <row r="29" spans="1:13" x14ac:dyDescent="0.25">
      <c r="A29" s="76" t="str">
        <f>IF(Performance!A29&lt;&gt;"",Performance!A29,"")</f>
        <v/>
      </c>
      <c r="B29" s="77" t="str">
        <f>IF(Performance!B29&lt;&gt;"",Performance!B29,"")</f>
        <v/>
      </c>
      <c r="C29" s="77" t="str">
        <f>IF(Performance!E29&lt;&gt;"",Performance!E29,"")</f>
        <v/>
      </c>
      <c r="D29" s="77" t="str">
        <f>IF(Performance!F29&lt;&gt;"",Performance!F29,"")</f>
        <v/>
      </c>
      <c r="E29" s="77" t="str">
        <f>IF(Performance!H29&lt;&gt;"",Performance!H29,"")</f>
        <v/>
      </c>
      <c r="F29" s="81" t="str">
        <f>IF(AND(Performance!J29&lt;&gt;"",E29&lt;&gt;""),Performance!J29*8.34*E29,"")</f>
        <v/>
      </c>
      <c r="G29" s="81" t="str">
        <f>IF(AND(Performance!K29&lt;&gt;"",E29&lt;&gt;""),Performance!K29*8.34*E29,"")</f>
        <v/>
      </c>
      <c r="H29" s="81" t="str">
        <f t="shared" si="0"/>
        <v/>
      </c>
      <c r="I29" s="81" t="str">
        <f t="shared" si="1"/>
        <v/>
      </c>
      <c r="J29" s="81" t="str">
        <f>IF(AND(Performance!M29&lt;&gt;"",E29&lt;&gt;""),Performance!M29*8.34*E29,"")</f>
        <v/>
      </c>
      <c r="K29" s="81" t="str">
        <f t="shared" si="2"/>
        <v/>
      </c>
      <c r="L29" s="81" t="str">
        <f t="shared" si="3"/>
        <v/>
      </c>
      <c r="M29" s="82" t="str">
        <f t="shared" si="4"/>
        <v/>
      </c>
    </row>
    <row r="30" spans="1:13" x14ac:dyDescent="0.25">
      <c r="A30" s="76" t="str">
        <f>IF(Performance!A30&lt;&gt;"",Performance!A30,"")</f>
        <v/>
      </c>
      <c r="B30" s="77" t="str">
        <f>IF(Performance!B30&lt;&gt;"",Performance!B30,"")</f>
        <v/>
      </c>
      <c r="C30" s="77" t="str">
        <f>IF(Performance!E30&lt;&gt;"",Performance!E30,"")</f>
        <v/>
      </c>
      <c r="D30" s="77" t="str">
        <f>IF(Performance!F30&lt;&gt;"",Performance!F30,"")</f>
        <v/>
      </c>
      <c r="E30" s="77" t="str">
        <f>IF(Performance!H30&lt;&gt;"",Performance!H30,"")</f>
        <v/>
      </c>
      <c r="F30" s="81" t="str">
        <f>IF(AND(Performance!J30&lt;&gt;"",E30&lt;&gt;""),Performance!J30*8.34*E30,"")</f>
        <v/>
      </c>
      <c r="G30" s="81" t="str">
        <f>IF(AND(Performance!K30&lt;&gt;"",E30&lt;&gt;""),Performance!K30*8.34*E30,"")</f>
        <v/>
      </c>
      <c r="H30" s="81" t="str">
        <f t="shared" si="0"/>
        <v/>
      </c>
      <c r="I30" s="81" t="str">
        <f t="shared" si="1"/>
        <v/>
      </c>
      <c r="J30" s="81" t="str">
        <f>IF(AND(Performance!M30&lt;&gt;"",E30&lt;&gt;""),Performance!M30*8.34*E30,"")</f>
        <v/>
      </c>
      <c r="K30" s="81" t="str">
        <f t="shared" si="2"/>
        <v/>
      </c>
      <c r="L30" s="81" t="str">
        <f t="shared" si="3"/>
        <v/>
      </c>
      <c r="M30" s="82" t="str">
        <f t="shared" si="4"/>
        <v/>
      </c>
    </row>
    <row r="31" spans="1:13" x14ac:dyDescent="0.25">
      <c r="A31" s="76" t="str">
        <f>IF(Performance!A31&lt;&gt;"",Performance!A31,"")</f>
        <v/>
      </c>
      <c r="B31" s="77" t="str">
        <f>IF(Performance!B31&lt;&gt;"",Performance!B31,"")</f>
        <v/>
      </c>
      <c r="C31" s="77" t="str">
        <f>IF(Performance!E31&lt;&gt;"",Performance!E31,"")</f>
        <v/>
      </c>
      <c r="D31" s="77" t="str">
        <f>IF(Performance!F31&lt;&gt;"",Performance!F31,"")</f>
        <v/>
      </c>
      <c r="E31" s="77" t="str">
        <f>IF(Performance!H31&lt;&gt;"",Performance!H31,"")</f>
        <v/>
      </c>
      <c r="F31" s="81" t="str">
        <f>IF(AND(Performance!J31&lt;&gt;"",E31&lt;&gt;""),Performance!J31*8.34*E31,"")</f>
        <v/>
      </c>
      <c r="G31" s="81" t="str">
        <f>IF(AND(Performance!K31&lt;&gt;"",E31&lt;&gt;""),Performance!K31*8.34*E31,"")</f>
        <v/>
      </c>
      <c r="H31" s="81" t="str">
        <f t="shared" si="0"/>
        <v/>
      </c>
      <c r="I31" s="81" t="str">
        <f t="shared" si="1"/>
        <v/>
      </c>
      <c r="J31" s="81" t="str">
        <f>IF(AND(Performance!M31&lt;&gt;"",E31&lt;&gt;""),Performance!M31*8.34*E31,"")</f>
        <v/>
      </c>
      <c r="K31" s="81" t="str">
        <f t="shared" si="2"/>
        <v/>
      </c>
      <c r="L31" s="81" t="str">
        <f t="shared" si="3"/>
        <v/>
      </c>
      <c r="M31" s="82" t="str">
        <f t="shared" si="4"/>
        <v/>
      </c>
    </row>
    <row r="32" spans="1:13" x14ac:dyDescent="0.25">
      <c r="A32" s="76" t="str">
        <f>IF(Performance!A32&lt;&gt;"",Performance!A32,"")</f>
        <v/>
      </c>
      <c r="B32" s="77" t="str">
        <f>IF(Performance!B32&lt;&gt;"",Performance!B32,"")</f>
        <v/>
      </c>
      <c r="C32" s="77" t="str">
        <f>IF(Performance!E32&lt;&gt;"",Performance!E32,"")</f>
        <v/>
      </c>
      <c r="D32" s="77" t="str">
        <f>IF(Performance!F32&lt;&gt;"",Performance!F32,"")</f>
        <v/>
      </c>
      <c r="E32" s="77" t="str">
        <f>IF(Performance!H32&lt;&gt;"",Performance!H32,"")</f>
        <v/>
      </c>
      <c r="F32" s="81" t="str">
        <f>IF(AND(Performance!J32&lt;&gt;"",E32&lt;&gt;""),Performance!J32*8.34*E32,"")</f>
        <v/>
      </c>
      <c r="G32" s="81" t="str">
        <f>IF(AND(Performance!K32&lt;&gt;"",E32&lt;&gt;""),Performance!K32*8.34*E32,"")</f>
        <v/>
      </c>
      <c r="H32" s="81" t="str">
        <f t="shared" si="0"/>
        <v/>
      </c>
      <c r="I32" s="81" t="str">
        <f t="shared" si="1"/>
        <v/>
      </c>
      <c r="J32" s="81" t="str">
        <f>IF(AND(Performance!M32&lt;&gt;"",E32&lt;&gt;""),Performance!M32*8.34*E32,"")</f>
        <v/>
      </c>
      <c r="K32" s="81" t="str">
        <f t="shared" si="2"/>
        <v/>
      </c>
      <c r="L32" s="81" t="str">
        <f t="shared" si="3"/>
        <v/>
      </c>
      <c r="M32" s="82" t="str">
        <f t="shared" si="4"/>
        <v/>
      </c>
    </row>
    <row r="33" spans="1:13" ht="15.75" thickBot="1" x14ac:dyDescent="0.3">
      <c r="A33" s="78" t="str">
        <f>IF(Performance!A33&lt;&gt;"",Performance!A33,"")</f>
        <v/>
      </c>
      <c r="B33" s="79" t="str">
        <f>IF(Performance!B33&lt;&gt;"",Performance!B33,"")</f>
        <v/>
      </c>
      <c r="C33" s="79" t="str">
        <f>IF(Performance!E33&lt;&gt;"",Performance!E33,"")</f>
        <v/>
      </c>
      <c r="D33" s="79" t="str">
        <f>IF(Performance!F33&lt;&gt;"",Performance!F33,"")</f>
        <v/>
      </c>
      <c r="E33" s="79" t="str">
        <f>IF(Performance!H33&lt;&gt;"",Performance!H33,"")</f>
        <v/>
      </c>
      <c r="F33" s="83" t="str">
        <f>IF(AND(Performance!J33&lt;&gt;"",E33&lt;&gt;""),Performance!J33*8.34*E33,"")</f>
        <v/>
      </c>
      <c r="G33" s="83" t="str">
        <f>IF(AND(Performance!K33&lt;&gt;"",E33&lt;&gt;""),Performance!K33*8.34*E33,"")</f>
        <v/>
      </c>
      <c r="H33" s="83" t="str">
        <f t="shared" si="0"/>
        <v/>
      </c>
      <c r="I33" s="83" t="str">
        <f t="shared" si="1"/>
        <v/>
      </c>
      <c r="J33" s="83" t="str">
        <f>IF(AND(Performance!M33&lt;&gt;"",E33&lt;&gt;""),Performance!M33*8.34*E33,"")</f>
        <v/>
      </c>
      <c r="K33" s="83" t="str">
        <f t="shared" si="2"/>
        <v/>
      </c>
      <c r="L33" s="83" t="str">
        <f t="shared" si="3"/>
        <v/>
      </c>
      <c r="M33" s="84" t="str">
        <f t="shared" si="4"/>
        <v/>
      </c>
    </row>
    <row r="34" spans="1:13" ht="15.75" thickTop="1" x14ac:dyDescent="0.25"/>
  </sheetData>
  <autoFilter ref="A1:M34" xr:uid="{F4CC1FAE-B991-4F0A-ADB9-F44145E6099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132E2C-20EC-45A3-B76A-05B7E8680B86}">
  <dimension ref="A1:AM49"/>
  <sheetViews>
    <sheetView workbookViewId="0">
      <pane xSplit="2" ySplit="1" topLeftCell="J22" activePane="bottomRight" state="frozen"/>
      <selection pane="topRight" activeCell="C1" sqref="C1"/>
      <selection pane="bottomLeft" activeCell="A2" sqref="A2"/>
      <selection pane="bottomRight" activeCell="Q3" sqref="Q3"/>
    </sheetView>
  </sheetViews>
  <sheetFormatPr defaultRowHeight="15" x14ac:dyDescent="0.25"/>
  <cols>
    <col min="1" max="1" width="11.5703125" customWidth="1"/>
    <col min="2" max="2" width="23.5703125" customWidth="1"/>
    <col min="3" max="3" width="18.5703125" style="1" customWidth="1"/>
    <col min="4" max="4" width="30.5703125" style="1" customWidth="1"/>
    <col min="5" max="5" width="1.7109375" customWidth="1"/>
    <col min="6" max="6" width="16" style="1" customWidth="1"/>
    <col min="7" max="7" width="14.5703125" style="1" customWidth="1"/>
    <col min="8" max="8" width="15.7109375" style="1" customWidth="1"/>
    <col min="9" max="9" width="15.140625" style="1" customWidth="1"/>
    <col min="10" max="10" width="17.5703125" customWidth="1"/>
    <col min="11" max="11" width="16.42578125" bestFit="1" customWidth="1"/>
    <col min="12" max="12" width="1.7109375" customWidth="1"/>
    <col min="13" max="13" width="14.5703125" bestFit="1" customWidth="1"/>
    <col min="14" max="14" width="16" style="1" customWidth="1"/>
    <col min="15" max="15" width="16.140625" customWidth="1"/>
    <col min="16" max="16" width="16.42578125" bestFit="1" customWidth="1"/>
    <col min="17" max="17" width="35.85546875" style="1" bestFit="1" customWidth="1"/>
    <col min="18" max="18" width="19.5703125" style="1" hidden="1" customWidth="1"/>
    <col min="19" max="19" width="4.85546875" hidden="1" customWidth="1"/>
    <col min="20" max="21" width="24.140625" hidden="1" customWidth="1"/>
    <col min="22" max="23" width="28.85546875" hidden="1" customWidth="1"/>
    <col min="24" max="24" width="9.7109375" hidden="1" customWidth="1"/>
    <col min="25" max="25" width="20.5703125" hidden="1" customWidth="1"/>
    <col min="26" max="26" width="5.140625" hidden="1" customWidth="1"/>
    <col min="27" max="28" width="24.140625" hidden="1" customWidth="1"/>
    <col min="29" max="30" width="28.85546875" hidden="1" customWidth="1"/>
    <col min="31" max="32" width="5.140625" hidden="1" customWidth="1"/>
    <col min="33" max="34" width="10.7109375" hidden="1" customWidth="1"/>
    <col min="35" max="35" width="11.7109375" hidden="1" customWidth="1"/>
    <col min="36" max="37" width="5.140625" hidden="1" customWidth="1"/>
    <col min="38" max="38" width="10.7109375" hidden="1" customWidth="1"/>
    <col min="39" max="39" width="13" hidden="1" customWidth="1"/>
  </cols>
  <sheetData>
    <row r="1" spans="1:39" ht="151.5" thickTop="1" thickBot="1" x14ac:dyDescent="0.3">
      <c r="A1" s="85" t="s">
        <v>0</v>
      </c>
      <c r="B1" s="86" t="s">
        <v>1</v>
      </c>
      <c r="C1" s="70" t="s">
        <v>11</v>
      </c>
      <c r="D1" s="46" t="s">
        <v>243</v>
      </c>
      <c r="E1" s="32"/>
      <c r="F1" s="87" t="s">
        <v>163</v>
      </c>
      <c r="G1" s="87" t="s">
        <v>167</v>
      </c>
      <c r="H1" s="87" t="s">
        <v>168</v>
      </c>
      <c r="I1" s="87" t="s">
        <v>164</v>
      </c>
      <c r="J1" s="140" t="s">
        <v>165</v>
      </c>
      <c r="K1" s="140" t="s">
        <v>166</v>
      </c>
      <c r="L1" s="32"/>
      <c r="M1" s="88" t="s">
        <v>168</v>
      </c>
      <c r="N1" s="88" t="s">
        <v>313</v>
      </c>
      <c r="O1" s="140" t="s">
        <v>169</v>
      </c>
      <c r="P1" s="171" t="s">
        <v>170</v>
      </c>
      <c r="Q1" s="176" t="s">
        <v>154</v>
      </c>
      <c r="R1" s="1" t="s">
        <v>192</v>
      </c>
    </row>
    <row r="2" spans="1:39" ht="75.95" customHeight="1" thickTop="1" x14ac:dyDescent="0.25">
      <c r="A2" s="74" t="str">
        <f>IF(Performance!A2&lt;&gt;"",Performance!A2,"")</f>
        <v>IA0029025</v>
      </c>
      <c r="B2" s="75" t="str">
        <f>IF(Performance!B2&lt;&gt;"",Performance!B2,"")</f>
        <v>City of Atlantic WWTP</v>
      </c>
      <c r="C2" s="75" t="str">
        <f>IF(Performance!E2&lt;&gt;"",Performance!E2,"")</f>
        <v>BNR [Total Nitrogen]</v>
      </c>
      <c r="D2" s="75" t="str">
        <f>IF(Performance!F2&lt;&gt;"",Performance!F2,"")</f>
        <v>A2O or BNR 3- to 5-Stage Replace</v>
      </c>
      <c r="E2" s="33"/>
      <c r="F2" s="120">
        <v>14000000</v>
      </c>
      <c r="G2" s="122">
        <v>1</v>
      </c>
      <c r="H2" s="89">
        <f>IF(F2="","",F2*G2)</f>
        <v>14000000</v>
      </c>
      <c r="I2" s="53">
        <v>2012</v>
      </c>
      <c r="J2" s="89">
        <f>IF($F2&lt;&gt;"",H2*(Adjustment!$C$26/(VLOOKUP($I2,Adjustment!$B$2:$D$27,2,FALSE)))*Adjustment!$G$26/VLOOKUP(Performance!$C2,Adjustment!$F$2:$I$53,2,FALSE),"")</f>
        <v>24081740.663958807</v>
      </c>
      <c r="K2" s="90">
        <f>IF(J2&lt;&gt;"",-PMT(2%,20,J2),"")</f>
        <v>1472760.2257520724</v>
      </c>
      <c r="L2" s="33"/>
      <c r="M2" s="148" t="str">
        <f>IF(F2&lt;&gt;"","",IF(Performance!F2="A/O or BNR 2-Stage Retrofit",T2,IF(Performance!F2="A/O or BNR 2-Stage Replace",Y2,IF(Performance!F2="A2O or BNR 3- to 5-Stage Retrofit",AD2,IF(Performance!F2="A2O or BNR 3- to 5-Stage Replace",AI2,"")))))</f>
        <v/>
      </c>
      <c r="N2" s="141" t="str">
        <f>IF(M2="","",2022)</f>
        <v/>
      </c>
      <c r="O2" s="89" t="str">
        <f>IF(M2&lt;&gt;"",M2*(Adjustment!$C$26/Adjustment!$C$25)*(Adjustment!$G$26/Adjustment!$G$38),"")</f>
        <v/>
      </c>
      <c r="P2" s="172" t="str">
        <f t="shared" ref="P2:P33" si="0">IF(O2&lt;&gt;"",-PMT(2%,20,O2),"")</f>
        <v/>
      </c>
      <c r="Q2" s="181" t="s">
        <v>303</v>
      </c>
      <c r="R2" s="170">
        <f>IF(K2&lt;&gt;"",K2,IF(P2&lt;&gt;"",P2,""))</f>
        <v>1472760.2257520724</v>
      </c>
      <c r="S2">
        <f>Performance!H2</f>
        <v>8.1</v>
      </c>
      <c r="T2" s="117">
        <f>W2+($S2-U2)*((X2-W2)/(V2-U2))</f>
        <v>2372454.36</v>
      </c>
      <c r="U2">
        <f t="shared" ref="U2:U33" si="1">VLOOKUP($S2,$S$39:$S$49,1,TRUE)</f>
        <v>7.5</v>
      </c>
      <c r="V2" cm="1">
        <f t="array" ref="V2">INDEX($S$39:$S$49,MATCH($S2,$S$39:$S$49)+1)</f>
        <v>10</v>
      </c>
      <c r="W2" s="12">
        <f t="shared" ref="W2:W33" si="2">VLOOKUP($S2,$S$39:$T$49,2,TRUE)</f>
        <v>2239233</v>
      </c>
      <c r="X2" s="12" cm="1">
        <f t="array" ref="X2">INDEX($T$39:$T$49,MATCH(W2,$T$39:$T$49)+1)</f>
        <v>2794322</v>
      </c>
      <c r="Y2" s="117">
        <f>AB2+($S2-Z2)*((AC2-AB2)/(AA2-Z2))</f>
        <v>9489816.4000000004</v>
      </c>
      <c r="Z2">
        <f t="shared" ref="Z2:Z33" si="3">VLOOKUP($S2,$S$39:$S$49,1,TRUE)</f>
        <v>7.5</v>
      </c>
      <c r="AA2" cm="1">
        <f t="array" ref="AA2">INDEX($S$39:$S$49,MATCH($S2,$S$39:$S$49)+1)</f>
        <v>10</v>
      </c>
      <c r="AB2" s="12">
        <f t="shared" ref="AB2:AB33" si="4">VLOOKUP($S2,$S$39:$U$49,3,TRUE)</f>
        <v>8956930</v>
      </c>
      <c r="AC2" s="12" cm="1">
        <f t="array" ref="AC2">INDEX($U$39:$U$49,MATCH(AB2,$U$39:$U$49)+1)</f>
        <v>11177290</v>
      </c>
      <c r="AD2" s="117">
        <f>AG2+($S2-AE2)*((AH2-AG2)/(AF2-AE2))</f>
        <v>10403931.719999999</v>
      </c>
      <c r="AE2">
        <f t="shared" ref="AE2:AE33" si="5">VLOOKUP($S2,$S$39:$S$49,1,TRUE)</f>
        <v>7.5</v>
      </c>
      <c r="AF2" cm="1">
        <f t="array" ref="AF2">INDEX($S$39:$S$49,MATCH($S2,$S$39:$S$49)+1)</f>
        <v>10</v>
      </c>
      <c r="AG2" s="12">
        <f t="shared" ref="AG2:AG33" si="6">VLOOKUP($S2,$S$39:$V$49,4,TRUE)</f>
        <v>9685485</v>
      </c>
      <c r="AH2" s="12" cm="1">
        <f t="array" ref="AH2">INDEX($V$39:$V$49,MATCH(AG2,$V$39:$V$49)+1)</f>
        <v>12679013</v>
      </c>
      <c r="AI2" s="117">
        <f>AL2+($S2-AJ2)*((AM2-AL2)/(AK2-AJ2))</f>
        <v>18958986.559999999</v>
      </c>
      <c r="AJ2">
        <f t="shared" ref="AJ2:AJ33" si="7">VLOOKUP($S2,$S$39:$S$49,1,TRUE)</f>
        <v>7.5</v>
      </c>
      <c r="AK2" cm="1">
        <f t="array" ref="AK2">INDEX($S$39:$S$49,MATCH($S2,$S$39:$S$49)+1)</f>
        <v>10</v>
      </c>
      <c r="AL2" s="12">
        <f t="shared" ref="AL2:AL33" si="8">VLOOKUP($S2,$S$39:$W$49,5,TRUE)</f>
        <v>17583050</v>
      </c>
      <c r="AM2" s="12" cm="1">
        <f t="array" ref="AM2">INDEX($W$39:$W$49,MATCH(AL2,$W$39:$W$49)+1)</f>
        <v>23316119</v>
      </c>
    </row>
    <row r="3" spans="1:39" ht="60" x14ac:dyDescent="0.25">
      <c r="A3" s="76" t="str">
        <f>IF(Performance!A3&lt;&gt;"",Performance!A3,"")</f>
        <v>MN0020192</v>
      </c>
      <c r="B3" s="77" t="str">
        <f>IF(Performance!B3&lt;&gt;"",Performance!B3,"")</f>
        <v>Detroit Lakes WRF</v>
      </c>
      <c r="C3" s="77" t="str">
        <f>IF(Performance!E3&lt;&gt;"",Performance!E3,"")</f>
        <v>Membrane Bioreactor with Bio-P [Phosphorus]</v>
      </c>
      <c r="D3" s="77" t="str">
        <f>IF(Performance!F3&lt;&gt;"",Performance!F3,"")</f>
        <v>NA</v>
      </c>
      <c r="E3" s="34"/>
      <c r="F3" s="121">
        <v>34000000</v>
      </c>
      <c r="G3" s="123">
        <v>0.12</v>
      </c>
      <c r="H3" s="91">
        <f t="shared" ref="H3:H33" si="9">IF(F3="","",F3*G3)</f>
        <v>4080000</v>
      </c>
      <c r="I3" s="41">
        <v>2019</v>
      </c>
      <c r="J3" s="91">
        <f>IF($F3&lt;&gt;"",H3*(Adjustment!$C$26/(VLOOKUP($I3,Adjustment!$B$2:$D$27,2,FALSE)))*Adjustment!$G$26/VLOOKUP(Performance!$C3,Adjustment!$F$2:$I$53,2,FALSE),"")</f>
        <v>5446987.0003925292</v>
      </c>
      <c r="K3" s="92">
        <f t="shared" ref="K3:K33" si="10">IF(J3&lt;&gt;"",-PMT(2%,20,J3),"")</f>
        <v>333119.84861512698</v>
      </c>
      <c r="L3" s="34"/>
      <c r="M3" s="149" t="str">
        <f>IF(F3&lt;&gt;"","",IF(Performance!F3="A/O or BNR 2-Stage Retrofit",T3,IF(Performance!F3="A/O or BNR 2-Stage Replace",Y3,IF(Performance!F3="A2O or BNR 3- to 5-Stage Retrofit",AD3,IF(Performance!F3="A2O or BNR 3- to 5-Stage Replace",AI3,"")))))</f>
        <v/>
      </c>
      <c r="N3" s="101" t="str">
        <f t="shared" ref="N3:N33" si="11">IF(M3="","",2022)</f>
        <v/>
      </c>
      <c r="O3" s="91" t="str">
        <f>IF(M3&lt;&gt;"",M3*(Adjustment!$C$26/Adjustment!$C$25)*(Adjustment!$G$26/Adjustment!$G$38),"")</f>
        <v/>
      </c>
      <c r="P3" s="173" t="str">
        <f>IF(O3&lt;&gt;"",-PMT(2%,20,O3),"")</f>
        <v/>
      </c>
      <c r="Q3" s="181" t="s">
        <v>314</v>
      </c>
      <c r="R3" s="170">
        <f t="shared" ref="R3:R33" si="12">IF(K3&lt;&gt;"",K3,IF(P3&lt;&gt;"",P3,""))</f>
        <v>333119.84861512698</v>
      </c>
      <c r="S3">
        <f>Performance!H3</f>
        <v>2.21</v>
      </c>
      <c r="T3" s="117">
        <f t="shared" ref="T3:T26" si="13">W3+($S3-U3)*((X3-W3)/(V3-U3))</f>
        <v>798244.42848759505</v>
      </c>
      <c r="U3">
        <f t="shared" si="1"/>
        <v>1</v>
      </c>
      <c r="V3" cm="1">
        <f t="array" ref="V3">INDEX($S$39:$S$49,MATCH($S3,$S$39:$S$49)+1)</f>
        <v>2.5</v>
      </c>
      <c r="W3" s="12">
        <f t="shared" si="2"/>
        <v>358586.45769445703</v>
      </c>
      <c r="X3" s="12" cm="1">
        <f t="array" ref="X3">INDEX($T$39:$T$49,MATCH(W3,$T$39:$T$49)+1)</f>
        <v>903617</v>
      </c>
      <c r="Y3" s="117">
        <f t="shared" ref="Y3:Y26" si="14">AB3+($S3-Z3)*((AC3-AB3)/(AA3-Z3))</f>
        <v>3192979.327283713</v>
      </c>
      <c r="Z3">
        <f t="shared" si="3"/>
        <v>1</v>
      </c>
      <c r="AA3" cm="1">
        <f t="array" ref="AA3">INDEX($S$39:$S$49,MATCH($S3,$S$39:$S$49)+1)</f>
        <v>2.5</v>
      </c>
      <c r="AB3" s="12">
        <f t="shared" si="4"/>
        <v>1434345.8307778281</v>
      </c>
      <c r="AC3" s="12" cm="1">
        <f t="array" ref="AC3">INDEX($U$39:$U$49,MATCH(AB3,$U$39:$U$49)+1)</f>
        <v>3614470</v>
      </c>
      <c r="AD3" s="117">
        <f t="shared" ref="AD3:AD26" si="15">AG3+($S3-AE3)*((AH3-AG3)/(AF3-AE3))</f>
        <v>3787941.4465350341</v>
      </c>
      <c r="AE3">
        <f t="shared" si="5"/>
        <v>1</v>
      </c>
      <c r="AF3" cm="1">
        <f t="array" ref="AF3">INDEX($S$39:$S$49,MATCH($S3,$S$39:$S$49)+1)</f>
        <v>2.5</v>
      </c>
      <c r="AG3" s="12">
        <f t="shared" si="6"/>
        <v>2049056.482077763</v>
      </c>
      <c r="AH3" s="12" cm="1">
        <f t="array" ref="AH3">INDEX($V$39:$V$49,MATCH(AG3,$V$39:$V$49)+1)</f>
        <v>4204699</v>
      </c>
      <c r="AI3" s="117">
        <f t="shared" ref="AI3:AI26" si="16">AL3+($S3-AJ3)*((AM3-AL3)/(AK3-AJ3))</f>
        <v>6703896.7839903329</v>
      </c>
      <c r="AJ3">
        <f t="shared" si="7"/>
        <v>1</v>
      </c>
      <c r="AK3" cm="1">
        <f t="array" ref="AK3">INDEX($S$39:$S$49,MATCH($S3,$S$39:$S$49)+1)</f>
        <v>2.5</v>
      </c>
      <c r="AL3" s="12">
        <f t="shared" si="8"/>
        <v>3487924.5033982713</v>
      </c>
      <c r="AM3" s="12" cm="1">
        <f t="array" ref="AM3">INDEX($W$39:$W$49,MATCH(AL3,$W$39:$W$49)+1)</f>
        <v>7474667</v>
      </c>
    </row>
    <row r="4" spans="1:39" ht="75" x14ac:dyDescent="0.25">
      <c r="A4" s="76" t="str">
        <f>IF(Performance!A4&lt;&gt;"",Performance!A4,"")</f>
        <v>MN0030066</v>
      </c>
      <c r="B4" s="77" t="str">
        <f>IF(Performance!B4&lt;&gt;"",Performance!B4,"")</f>
        <v>New Ulm WWTP</v>
      </c>
      <c r="C4" s="77" t="str">
        <f>IF(Performance!E4&lt;&gt;"",Performance!E4,"")</f>
        <v>Biological Phosphorus Removal [Phosphorus]</v>
      </c>
      <c r="D4" s="77" t="str">
        <f>IF(Performance!F4&lt;&gt;"",Performance!F4,"")</f>
        <v>A/O or BNR 2-Stage Replace</v>
      </c>
      <c r="E4" s="34"/>
      <c r="F4" s="121">
        <v>1500000</v>
      </c>
      <c r="G4" s="123">
        <v>1</v>
      </c>
      <c r="H4" s="91">
        <f t="shared" si="9"/>
        <v>1500000</v>
      </c>
      <c r="I4" s="41">
        <v>2006</v>
      </c>
      <c r="J4" s="91">
        <f>IF($F4&lt;&gt;"",H4*(Adjustment!$C$26/(VLOOKUP($I4,Adjustment!$B$2:$D$27,2,FALSE)))*Adjustment!$G$26/VLOOKUP(Performance!$C4,Adjustment!$F$2:$I$53,2,FALSE),"")</f>
        <v>2687112.7153302766</v>
      </c>
      <c r="K4" s="92">
        <f t="shared" si="10"/>
        <v>164334.99490233741</v>
      </c>
      <c r="L4" s="34"/>
      <c r="M4" s="149" t="str">
        <f>IF(F4&lt;&gt;"","",IF(Performance!F4="A/O or BNR 2-Stage Retrofit",T4,IF(Performance!F4="A/O or BNR 2-Stage Replace",Y4,IF(Performance!F4="A2O or BNR 3- to 5-Stage Retrofit",AD4,IF(Performance!F4="A2O or BNR 3- to 5-Stage Replace",AI4,"")))))</f>
        <v/>
      </c>
      <c r="N4" s="101" t="str">
        <f t="shared" si="11"/>
        <v/>
      </c>
      <c r="O4" s="91" t="str">
        <f>IF(M4&lt;&gt;"",M4*(Adjustment!$C$26/Adjustment!$C$25)*(Adjustment!$G$26/Adjustment!$G$38),"")</f>
        <v/>
      </c>
      <c r="P4" s="173" t="str">
        <f t="shared" si="0"/>
        <v/>
      </c>
      <c r="Q4" s="182" t="s">
        <v>196</v>
      </c>
      <c r="R4" s="170">
        <f t="shared" si="12"/>
        <v>164334.99490233741</v>
      </c>
      <c r="S4">
        <f>Performance!H4</f>
        <v>6.77</v>
      </c>
      <c r="T4" s="117">
        <f t="shared" si="13"/>
        <v>2065978.304</v>
      </c>
      <c r="U4">
        <f t="shared" si="1"/>
        <v>5</v>
      </c>
      <c r="V4" cm="1">
        <f t="array" ref="V4">INDEX($S$39:$S$49,MATCH($S4,$S$39:$S$49)+1)</f>
        <v>7.5</v>
      </c>
      <c r="W4" s="12">
        <f t="shared" si="2"/>
        <v>1645895</v>
      </c>
      <c r="X4" s="12" cm="1">
        <f t="array" ref="X4">INDEX($T$39:$T$49,MATCH(W4,$T$39:$T$49)+1)</f>
        <v>2239233</v>
      </c>
      <c r="Y4" s="117">
        <f t="shared" si="14"/>
        <v>8263911.7999999998</v>
      </c>
      <c r="Z4">
        <f t="shared" si="3"/>
        <v>5</v>
      </c>
      <c r="AA4" cm="1">
        <f t="array" ref="AA4">INDEX($S$39:$S$49,MATCH($S4,$S$39:$S$49)+1)</f>
        <v>7.5</v>
      </c>
      <c r="AB4" s="12">
        <f t="shared" si="4"/>
        <v>6583580</v>
      </c>
      <c r="AC4" s="12" cm="1">
        <f t="array" ref="AC4">INDEX($U$39:$U$49,MATCH(AB4,$U$39:$U$49)+1)</f>
        <v>8956930</v>
      </c>
      <c r="AD4" s="117">
        <f t="shared" si="15"/>
        <v>9032185.8080000002</v>
      </c>
      <c r="AE4">
        <f t="shared" si="5"/>
        <v>5</v>
      </c>
      <c r="AF4" cm="1">
        <f t="array" ref="AF4">INDEX($S$39:$S$49,MATCH($S4,$S$39:$S$49)+1)</f>
        <v>7.5</v>
      </c>
      <c r="AG4" s="12">
        <f t="shared" si="6"/>
        <v>7448159</v>
      </c>
      <c r="AH4" s="12" cm="1">
        <f t="array" ref="AH4">INDEX($V$39:$V$49,MATCH(AG4,$V$39:$V$49)+1)</f>
        <v>9685485</v>
      </c>
      <c r="AI4" s="117">
        <f t="shared" si="16"/>
        <v>16385381.047999999</v>
      </c>
      <c r="AJ4">
        <f t="shared" si="7"/>
        <v>5</v>
      </c>
      <c r="AK4" cm="1">
        <f t="array" ref="AK4">INDEX($S$39:$S$49,MATCH($S4,$S$39:$S$49)+1)</f>
        <v>7.5</v>
      </c>
      <c r="AL4" s="12">
        <f t="shared" si="8"/>
        <v>13481444</v>
      </c>
      <c r="AM4" s="12" cm="1">
        <f t="array" ref="AM4">INDEX($W$39:$W$49,MATCH(AL4,$W$39:$W$49)+1)</f>
        <v>17583050</v>
      </c>
    </row>
    <row r="5" spans="1:39" ht="60" x14ac:dyDescent="0.25">
      <c r="A5" s="76" t="str">
        <f>IF(Performance!A5&lt;&gt;"",Performance!A5,"")</f>
        <v>MN0040878</v>
      </c>
      <c r="B5" s="77" t="str">
        <f>IF(Performance!B5&lt;&gt;"",Performance!B5,"")</f>
        <v>St. Cloud NEW RF</v>
      </c>
      <c r="C5" s="77" t="str">
        <f>IF(Performance!E5&lt;&gt;"",Performance!E5,"")</f>
        <v>Full Nitrification and BNR [Phosphorus, Nitrogen]</v>
      </c>
      <c r="D5" s="77" t="str">
        <f>IF(Performance!F5&lt;&gt;"",Performance!F5,"")</f>
        <v>A2O or BNR 3- to 5-Stage Retrofit</v>
      </c>
      <c r="E5" s="34"/>
      <c r="F5" s="121">
        <v>23400000</v>
      </c>
      <c r="G5" s="123">
        <v>1</v>
      </c>
      <c r="H5" s="91">
        <f t="shared" si="9"/>
        <v>23400000</v>
      </c>
      <c r="I5" s="41">
        <v>2010</v>
      </c>
      <c r="J5" s="91">
        <f>IF($F5&lt;&gt;"",H5*(Adjustment!$C$26/(VLOOKUP($I5,Adjustment!$B$2:$D$27,2,FALSE)))*Adjustment!$G$26/VLOOKUP(Performance!$C5,Adjustment!$F$2:$I$53,2,FALSE),"")</f>
        <v>37540962.819089904</v>
      </c>
      <c r="K5" s="92">
        <f t="shared" si="10"/>
        <v>2295882.0812790883</v>
      </c>
      <c r="L5" s="34"/>
      <c r="M5" s="149" t="str">
        <f>IF(F5&lt;&gt;"","",IF(Performance!F5="A/O or BNR 2-Stage Retrofit",T5,IF(Performance!F5="A/O or BNR 2-Stage Replace",Y5,IF(Performance!F5="A2O or BNR 3- to 5-Stage Retrofit",AD5,IF(Performance!F5="A2O or BNR 3- to 5-Stage Replace",AI5,"")))))</f>
        <v/>
      </c>
      <c r="N5" s="101" t="str">
        <f t="shared" si="11"/>
        <v/>
      </c>
      <c r="O5" s="91" t="str">
        <f>IF(M5&lt;&gt;"",M5*(Adjustment!$C$26/Adjustment!$C$25)*(Adjustment!$G$26/Adjustment!$G$38),"")</f>
        <v/>
      </c>
      <c r="P5" s="173" t="str">
        <f t="shared" si="0"/>
        <v/>
      </c>
      <c r="Q5" s="182" t="s">
        <v>208</v>
      </c>
      <c r="R5" s="170">
        <f t="shared" si="12"/>
        <v>2295882.0812790883</v>
      </c>
      <c r="S5">
        <f>Performance!H5</f>
        <v>17.899999999999999</v>
      </c>
      <c r="T5" s="117">
        <f t="shared" si="13"/>
        <v>4420856.16</v>
      </c>
      <c r="U5">
        <f t="shared" si="1"/>
        <v>10</v>
      </c>
      <c r="V5" cm="1">
        <f t="array" ref="V5">INDEX($S$39:$S$49,MATCH($S5,$S$39:$S$49)+1)</f>
        <v>20</v>
      </c>
      <c r="W5" s="12">
        <f t="shared" si="2"/>
        <v>2794322</v>
      </c>
      <c r="X5" s="12" cm="1">
        <f t="array" ref="X5">INDEX($T$39:$T$49,MATCH(W5,$T$39:$T$49)+1)</f>
        <v>4853226</v>
      </c>
      <c r="Y5" s="117">
        <f t="shared" si="14"/>
        <v>17683425.059999999</v>
      </c>
      <c r="Z5">
        <f t="shared" si="3"/>
        <v>10</v>
      </c>
      <c r="AA5" cm="1">
        <f t="array" ref="AA5">INDEX($S$39:$S$49,MATCH($S5,$S$39:$S$49)+1)</f>
        <v>20</v>
      </c>
      <c r="AB5" s="12">
        <f t="shared" si="4"/>
        <v>11177290</v>
      </c>
      <c r="AC5" s="12" cm="1">
        <f t="array" ref="AC5">INDEX($U$39:$U$49,MATCH(AB5,$U$39:$U$49)+1)</f>
        <v>19412904</v>
      </c>
      <c r="AD5" s="117">
        <f t="shared" si="15"/>
        <v>19844498.649999999</v>
      </c>
      <c r="AE5">
        <f t="shared" si="5"/>
        <v>10</v>
      </c>
      <c r="AF5" cm="1">
        <f t="array" ref="AF5">INDEX($S$39:$S$49,MATCH($S5,$S$39:$S$49)+1)</f>
        <v>20</v>
      </c>
      <c r="AG5" s="12">
        <f t="shared" si="6"/>
        <v>12679013</v>
      </c>
      <c r="AH5" s="12" cm="1">
        <f t="array" ref="AH5">INDEX($V$39:$V$49,MATCH(AG5,$V$39:$V$49)+1)</f>
        <v>21749248</v>
      </c>
      <c r="AI5" s="117">
        <f t="shared" si="16"/>
        <v>36367280.030000001</v>
      </c>
      <c r="AJ5">
        <f t="shared" si="7"/>
        <v>10</v>
      </c>
      <c r="AK5" cm="1">
        <f t="array" ref="AK5">INDEX($S$39:$S$49,MATCH($S5,$S$39:$S$49)+1)</f>
        <v>20</v>
      </c>
      <c r="AL5" s="12">
        <f t="shared" si="8"/>
        <v>23316119</v>
      </c>
      <c r="AM5" s="12" cm="1">
        <f t="array" ref="AM5">INDEX($W$39:$W$49,MATCH(AL5,$W$39:$W$49)+1)</f>
        <v>39836576</v>
      </c>
    </row>
    <row r="6" spans="1:39" ht="60" x14ac:dyDescent="0.25">
      <c r="A6" s="76" t="str">
        <f>IF(Performance!A6&lt;&gt;"",Performance!A6,"")</f>
        <v>MN0066079</v>
      </c>
      <c r="B6" s="77" t="str">
        <f>IF(Performance!B6&lt;&gt;"",Performance!B6,"")</f>
        <v>City of Long Prairie WWTF</v>
      </c>
      <c r="C6" s="77" t="str">
        <f>IF(Performance!E6&lt;&gt;"",Performance!E6,"")</f>
        <v>Extended Aeration Activated Sludge/BNR [Phosphorus]</v>
      </c>
      <c r="D6" s="77" t="str">
        <f>IF(Performance!F6&lt;&gt;"",Performance!F6,"")</f>
        <v>A/O or BNR 2-Stage Replace</v>
      </c>
      <c r="E6" s="34"/>
      <c r="F6" s="121">
        <v>14000000</v>
      </c>
      <c r="G6" s="123">
        <v>1</v>
      </c>
      <c r="H6" s="91">
        <f t="shared" si="9"/>
        <v>14000000</v>
      </c>
      <c r="I6" s="41">
        <v>2020</v>
      </c>
      <c r="J6" s="91">
        <f>IF($F6&lt;&gt;"",H6*(Adjustment!$C$26/(VLOOKUP($I6,Adjustment!$B$2:$D$27,2,FALSE)))*Adjustment!$G$26/VLOOKUP(Performance!$C6,Adjustment!$F$2:$I$53,2,FALSE),"")</f>
        <v>18737150.330428343</v>
      </c>
      <c r="K6" s="92">
        <f t="shared" si="10"/>
        <v>1145902.6212291981</v>
      </c>
      <c r="L6" s="34"/>
      <c r="M6" s="149" t="str">
        <f>IF(F6&lt;&gt;"","",IF(Performance!F6="A/O or BNR 2-Stage Retrofit",T6,IF(Performance!F6="A/O or BNR 2-Stage Replace",Y6,IF(Performance!F6="A2O or BNR 3- to 5-Stage Retrofit",AD6,IF(Performance!F6="A2O or BNR 3- to 5-Stage Replace",AI6,"")))))</f>
        <v/>
      </c>
      <c r="N6" s="101" t="str">
        <f t="shared" si="11"/>
        <v/>
      </c>
      <c r="O6" s="91" t="str">
        <f>IF(M6&lt;&gt;"",M6*(Adjustment!$C$26/Adjustment!$C$25)*(Adjustment!$G$26/Adjustment!$G$38),"")</f>
        <v/>
      </c>
      <c r="P6" s="173" t="str">
        <f t="shared" si="0"/>
        <v/>
      </c>
      <c r="Q6" s="181" t="s">
        <v>303</v>
      </c>
      <c r="R6" s="170">
        <f t="shared" si="12"/>
        <v>1145902.6212291981</v>
      </c>
      <c r="S6">
        <f>Performance!H6</f>
        <v>2.2789999999999999</v>
      </c>
      <c r="T6" s="117">
        <f t="shared" si="13"/>
        <v>823315.83343364997</v>
      </c>
      <c r="U6">
        <f t="shared" si="1"/>
        <v>1</v>
      </c>
      <c r="V6" cm="1">
        <f t="array" ref="V6">INDEX($S$39:$S$49,MATCH($S6,$S$39:$S$49)+1)</f>
        <v>2.5</v>
      </c>
      <c r="W6" s="12">
        <f t="shared" si="2"/>
        <v>358586.45769445703</v>
      </c>
      <c r="X6" s="12" cm="1">
        <f t="array" ref="X6">INDEX($T$39:$T$49,MATCH(W6,$T$39:$T$49)+1)</f>
        <v>903617</v>
      </c>
      <c r="Y6" s="117">
        <f t="shared" si="14"/>
        <v>3293265.0390679333</v>
      </c>
      <c r="Z6">
        <f t="shared" si="3"/>
        <v>1</v>
      </c>
      <c r="AA6" cm="1">
        <f t="array" ref="AA6">INDEX($S$39:$S$49,MATCH($S6,$S$39:$S$49)+1)</f>
        <v>2.5</v>
      </c>
      <c r="AB6" s="12">
        <f t="shared" si="4"/>
        <v>1434345.8307778281</v>
      </c>
      <c r="AC6" s="12" cm="1">
        <f t="array" ref="AC6">INDEX($U$39:$U$49,MATCH(AB6,$U$39:$U$49)+1)</f>
        <v>3614470</v>
      </c>
      <c r="AD6" s="117">
        <f t="shared" si="15"/>
        <v>3887101.0023594568</v>
      </c>
      <c r="AE6">
        <f t="shared" si="5"/>
        <v>1</v>
      </c>
      <c r="AF6" cm="1">
        <f t="array" ref="AF6">INDEX($S$39:$S$49,MATCH($S6,$S$39:$S$49)+1)</f>
        <v>2.5</v>
      </c>
      <c r="AG6" s="12">
        <f t="shared" si="6"/>
        <v>2049056.482077763</v>
      </c>
      <c r="AH6" s="12" cm="1">
        <f t="array" ref="AH6">INDEX($V$39:$V$49,MATCH(AG6,$V$39:$V$49)+1)</f>
        <v>4204699</v>
      </c>
      <c r="AI6" s="117">
        <f t="shared" si="16"/>
        <v>6887286.9388340116</v>
      </c>
      <c r="AJ6">
        <f t="shared" si="7"/>
        <v>1</v>
      </c>
      <c r="AK6" cm="1">
        <f t="array" ref="AK6">INDEX($S$39:$S$49,MATCH($S6,$S$39:$S$49)+1)</f>
        <v>2.5</v>
      </c>
      <c r="AL6" s="12">
        <f t="shared" si="8"/>
        <v>3487924.5033982713</v>
      </c>
      <c r="AM6" s="12" cm="1">
        <f t="array" ref="AM6">INDEX($W$39:$W$49,MATCH(AL6,$W$39:$W$49)+1)</f>
        <v>7474667</v>
      </c>
    </row>
    <row r="7" spans="1:39" ht="90" x14ac:dyDescent="0.25">
      <c r="A7" s="76" t="str">
        <f>IF(Performance!A7&lt;&gt;"",Performance!A7,"")</f>
        <v>MT0020125</v>
      </c>
      <c r="B7" s="77" t="str">
        <f>IF(Performance!B7&lt;&gt;"",Performance!B7,"")</f>
        <v>Chinook WWTF</v>
      </c>
      <c r="C7" s="77" t="str">
        <f>IF(Performance!E7&lt;&gt;"",Performance!E7,"")</f>
        <v>Activated Sludge-Oxidation Ditch; Optimized through mixers, DO probe, and SCADA [Nitrogen]</v>
      </c>
      <c r="D7" s="77" t="str">
        <f>IF(Performance!F7&lt;&gt;"",Performance!F7,"")</f>
        <v>NA</v>
      </c>
      <c r="E7" s="34"/>
      <c r="F7" s="121">
        <v>68000</v>
      </c>
      <c r="G7" s="123">
        <v>1</v>
      </c>
      <c r="H7" s="91">
        <f t="shared" si="9"/>
        <v>68000</v>
      </c>
      <c r="I7" s="41">
        <v>2004</v>
      </c>
      <c r="J7" s="91">
        <f>IF($F7&lt;&gt;"",H7*(Adjustment!$C$26/(VLOOKUP($I7,Adjustment!$B$2:$D$27,2,FALSE)))*Adjustment!$G$26/VLOOKUP(Performance!$C7,Adjustment!$F$2:$I$53,2,FALSE),"")</f>
        <v>164701.93443496525</v>
      </c>
      <c r="K7" s="92">
        <f t="shared" si="10"/>
        <v>10072.629778929229</v>
      </c>
      <c r="L7" s="34"/>
      <c r="M7" s="149" t="str">
        <f>IF(F7&lt;&gt;"","",IF(Performance!F7="A/O or BNR 2-Stage Retrofit",T7,IF(Performance!F7="A/O or BNR 2-Stage Replace",Y7,IF(Performance!F7="A2O or BNR 3- to 5-Stage Retrofit",AD7,IF(Performance!F7="A2O or BNR 3- to 5-Stage Replace",AI7,"")))))</f>
        <v/>
      </c>
      <c r="N7" s="101" t="str">
        <f t="shared" si="11"/>
        <v/>
      </c>
      <c r="O7" s="91" t="str">
        <f>IF(M7&lt;&gt;"",M7*(Adjustment!$C$26/Adjustment!$C$25)*(Adjustment!$G$26/Adjustment!$G$38),"")</f>
        <v/>
      </c>
      <c r="P7" s="173" t="str">
        <f t="shared" si="0"/>
        <v/>
      </c>
      <c r="Q7" s="182" t="s">
        <v>215</v>
      </c>
      <c r="R7" s="170">
        <f t="shared" si="12"/>
        <v>10072.629778929229</v>
      </c>
      <c r="S7">
        <f>Performance!H7</f>
        <v>0.5</v>
      </c>
      <c r="T7" s="117">
        <f t="shared" si="13"/>
        <v>217720.88633088517</v>
      </c>
      <c r="U7">
        <f t="shared" si="1"/>
        <v>0.5</v>
      </c>
      <c r="V7" cm="1">
        <f t="array" ref="V7">INDEX($S$39:$S$49,MATCH($S7,$S$39:$S$49)+1)</f>
        <v>0.75</v>
      </c>
      <c r="W7" s="12">
        <f t="shared" si="2"/>
        <v>217720.88633088517</v>
      </c>
      <c r="X7" s="12" cm="1">
        <f t="array" ref="X7">INDEX($T$39:$T$49,MATCH(W7,$T$39:$T$49)+1)</f>
        <v>285220.44016152946</v>
      </c>
      <c r="Y7" s="117">
        <f t="shared" si="14"/>
        <v>870883.54532354069</v>
      </c>
      <c r="Z7">
        <f t="shared" si="3"/>
        <v>0.5</v>
      </c>
      <c r="AA7" cm="1">
        <f t="array" ref="AA7">INDEX($S$39:$S$49,MATCH($S7,$S$39:$S$49)+1)</f>
        <v>0.75</v>
      </c>
      <c r="AB7" s="12">
        <f t="shared" si="4"/>
        <v>870883.54532354069</v>
      </c>
      <c r="AC7" s="12" cm="1">
        <f t="array" ref="AC7">INDEX($U$39:$U$49,MATCH(AB7,$U$39:$U$49)+1)</f>
        <v>1140881.7606461179</v>
      </c>
      <c r="AD7" s="117">
        <f t="shared" si="15"/>
        <v>1430332.9330895599</v>
      </c>
      <c r="AE7">
        <f t="shared" si="5"/>
        <v>0.5</v>
      </c>
      <c r="AF7" cm="1">
        <f t="array" ref="AF7">INDEX($S$39:$S$49,MATCH($S7,$S$39:$S$49)+1)</f>
        <v>0.75</v>
      </c>
      <c r="AG7" s="12">
        <f t="shared" si="6"/>
        <v>1430332.9330895599</v>
      </c>
      <c r="AH7" s="12" cm="1">
        <f t="array" ref="AH7">INDEX($V$39:$V$49,MATCH(AG7,$V$39:$V$49)+1)</f>
        <v>1732403.582268148</v>
      </c>
      <c r="AI7" s="117">
        <f t="shared" si="16"/>
        <v>2429081.5134236766</v>
      </c>
      <c r="AJ7">
        <f t="shared" si="7"/>
        <v>0.5</v>
      </c>
      <c r="AK7" cm="1">
        <f t="array" ref="AK7">INDEX($S$39:$S$49,MATCH($S7,$S$39:$S$49)+1)</f>
        <v>0.75</v>
      </c>
      <c r="AL7" s="12">
        <f t="shared" si="8"/>
        <v>2429081.5134236766</v>
      </c>
      <c r="AM7" s="12" cm="1">
        <f t="array" ref="AM7">INDEX($W$39:$W$49,MATCH(AL7,$W$39:$W$49)+1)</f>
        <v>2946726.0729314061</v>
      </c>
    </row>
    <row r="8" spans="1:39" ht="75" x14ac:dyDescent="0.25">
      <c r="A8" s="76" t="str">
        <f>IF(Performance!A8&lt;&gt;"",Performance!A8,"")</f>
        <v>MT0021938</v>
      </c>
      <c r="B8" s="77" t="str">
        <f>IF(Performance!B8&lt;&gt;"",Performance!B8,"")</f>
        <v>City of Kalispell Advanced Wastewater Treatment and Biological Nutrient Removal Facility</v>
      </c>
      <c r="C8" s="77" t="str">
        <f>IF(Performance!E8&lt;&gt;"",Performance!E8,"")</f>
        <v>Modified Johannesburg BNR [Phosphorus, Nitrogen]</v>
      </c>
      <c r="D8" s="77" t="str">
        <f>IF(Performance!F8&lt;&gt;"",Performance!F8,"")</f>
        <v>A2O or BNR 3- to 5-Stage Retrofit</v>
      </c>
      <c r="E8" s="34"/>
      <c r="F8" s="121">
        <v>21712500</v>
      </c>
      <c r="G8" s="123">
        <v>0.5</v>
      </c>
      <c r="H8" s="91">
        <f t="shared" si="9"/>
        <v>10856250</v>
      </c>
      <c r="I8" s="41">
        <v>2009</v>
      </c>
      <c r="J8" s="91">
        <f>IF($F8&lt;&gt;"",H8*(Adjustment!$C$26/(VLOOKUP($I8,Adjustment!$B$2:$D$27,2,FALSE)))*Adjustment!$G$26/VLOOKUP(Performance!$C8,Adjustment!$F$2:$I$53,2,FALSE),"")</f>
        <v>21186899.888135951</v>
      </c>
      <c r="K8" s="92">
        <f t="shared" si="10"/>
        <v>1295721.2644074769</v>
      </c>
      <c r="L8" s="34"/>
      <c r="M8" s="149"/>
      <c r="N8" s="101" t="str">
        <f t="shared" si="11"/>
        <v/>
      </c>
      <c r="O8" s="91" t="str">
        <f>IF(M8&lt;&gt;"",M8*(Adjustment!$C$26/Adjustment!$C$25)*(Adjustment!$G$26/Adjustment!$G$38),"")</f>
        <v/>
      </c>
      <c r="P8" s="173" t="str">
        <f t="shared" si="0"/>
        <v/>
      </c>
      <c r="Q8" s="182" t="s">
        <v>237</v>
      </c>
      <c r="R8" s="170">
        <f t="shared" si="12"/>
        <v>1295721.2644074769</v>
      </c>
      <c r="S8">
        <f>Performance!H8</f>
        <v>5.4</v>
      </c>
      <c r="T8" s="117">
        <f t="shared" si="13"/>
        <v>1740829.08</v>
      </c>
      <c r="U8">
        <f t="shared" si="1"/>
        <v>5</v>
      </c>
      <c r="V8" cm="1">
        <f t="array" ref="V8">INDEX($S$39:$S$49,MATCH($S8,$S$39:$S$49)+1)</f>
        <v>7.5</v>
      </c>
      <c r="W8" s="12">
        <f t="shared" si="2"/>
        <v>1645895</v>
      </c>
      <c r="X8" s="12" cm="1">
        <f t="array" ref="X8">INDEX($T$39:$T$49,MATCH(W8,$T$39:$T$49)+1)</f>
        <v>2239233</v>
      </c>
      <c r="Y8" s="117">
        <f t="shared" si="14"/>
        <v>6963316</v>
      </c>
      <c r="Z8">
        <f t="shared" si="3"/>
        <v>5</v>
      </c>
      <c r="AA8" cm="1">
        <f t="array" ref="AA8">INDEX($S$39:$S$49,MATCH($S8,$S$39:$S$49)+1)</f>
        <v>7.5</v>
      </c>
      <c r="AB8" s="12">
        <f t="shared" si="4"/>
        <v>6583580</v>
      </c>
      <c r="AC8" s="12" cm="1">
        <f t="array" ref="AC8">INDEX($U$39:$U$49,MATCH(AB8,$U$39:$U$49)+1)</f>
        <v>8956930</v>
      </c>
      <c r="AD8" s="117">
        <f t="shared" si="15"/>
        <v>7806131.1600000001</v>
      </c>
      <c r="AE8">
        <f t="shared" si="5"/>
        <v>5</v>
      </c>
      <c r="AF8" cm="1">
        <f t="array" ref="AF8">INDEX($S$39:$S$49,MATCH($S8,$S$39:$S$49)+1)</f>
        <v>7.5</v>
      </c>
      <c r="AG8" s="12">
        <f t="shared" si="6"/>
        <v>7448159</v>
      </c>
      <c r="AH8" s="12" cm="1">
        <f t="array" ref="AH8">INDEX($V$39:$V$49,MATCH(AG8,$V$39:$V$49)+1)</f>
        <v>9685485</v>
      </c>
      <c r="AI8" s="117">
        <f t="shared" si="16"/>
        <v>14137700.960000001</v>
      </c>
      <c r="AJ8">
        <f t="shared" si="7"/>
        <v>5</v>
      </c>
      <c r="AK8" cm="1">
        <f t="array" ref="AK8">INDEX($S$39:$S$49,MATCH($S8,$S$39:$S$49)+1)</f>
        <v>7.5</v>
      </c>
      <c r="AL8" s="12">
        <f t="shared" si="8"/>
        <v>13481444</v>
      </c>
      <c r="AM8" s="12" cm="1">
        <f t="array" ref="AM8">INDEX($W$39:$W$49,MATCH(AL8,$W$39:$W$49)+1)</f>
        <v>17583050</v>
      </c>
    </row>
    <row r="9" spans="1:39" ht="60" x14ac:dyDescent="0.25">
      <c r="A9" s="76" t="str">
        <f>IF(Performance!A9&lt;&gt;"",Performance!A9,"")</f>
        <v>MT0022594</v>
      </c>
      <c r="B9" s="77" t="str">
        <f>IF(Performance!B9&lt;&gt;"",Performance!B9,"")</f>
        <v>Missoula WWTP</v>
      </c>
      <c r="C9" s="77" t="str">
        <f>IF(Performance!E9&lt;&gt;"",Performance!E9,"")</f>
        <v>BNR [Phosphorus, Nitrogen]</v>
      </c>
      <c r="D9" s="77" t="str">
        <f>IF(Performance!F9&lt;&gt;"",Performance!F9,"")</f>
        <v>A2O or BNR 3- to 5-Stage Replace</v>
      </c>
      <c r="E9" s="34"/>
      <c r="F9" s="121">
        <v>14000000</v>
      </c>
      <c r="G9" s="123">
        <v>1</v>
      </c>
      <c r="H9" s="91">
        <f t="shared" si="9"/>
        <v>14000000</v>
      </c>
      <c r="I9" s="41">
        <v>2000</v>
      </c>
      <c r="J9" s="91">
        <f>IF($F9&lt;&gt;"",H9*(Adjustment!$C$26/(VLOOKUP($I9,Adjustment!$B$2:$D$27,2,FALSE)))*Adjustment!$G$26/VLOOKUP(Performance!$C9,Adjustment!$F$2:$I$53,2,FALSE),"")</f>
        <v>40844655.621898919</v>
      </c>
      <c r="K9" s="92">
        <f t="shared" si="10"/>
        <v>2497925.0907930299</v>
      </c>
      <c r="L9" s="34"/>
      <c r="M9" s="149" t="str">
        <f>IF(F9&lt;&gt;"","",IF(Performance!F9="A/O or BNR 2-Stage Retrofit",T9,IF(Performance!F9="A/O or BNR 2-Stage Replace",Y9,IF(Performance!F9="A2O or BNR 3- to 5-Stage Retrofit",AD9,IF(Performance!F9="A2O or BNR 3- to 5-Stage Replace",AI9,"")))))</f>
        <v/>
      </c>
      <c r="N9" s="101" t="str">
        <f t="shared" si="11"/>
        <v/>
      </c>
      <c r="O9" s="91" t="str">
        <f>IF(M9&lt;&gt;"",M9*(Adjustment!$C$26/Adjustment!$C$25)*(Adjustment!$G$26/Adjustment!$G$38),"")</f>
        <v/>
      </c>
      <c r="P9" s="173" t="str">
        <f t="shared" si="0"/>
        <v/>
      </c>
      <c r="Q9" s="182" t="s">
        <v>213</v>
      </c>
      <c r="R9" s="170">
        <f t="shared" si="12"/>
        <v>2497925.0907930299</v>
      </c>
      <c r="S9">
        <f>Performance!H9</f>
        <v>12</v>
      </c>
      <c r="T9" s="117">
        <f t="shared" si="13"/>
        <v>3206102.8</v>
      </c>
      <c r="U9">
        <f t="shared" si="1"/>
        <v>10</v>
      </c>
      <c r="V9" cm="1">
        <f t="array" ref="V9">INDEX($S$39:$S$49,MATCH($S9,$S$39:$S$49)+1)</f>
        <v>20</v>
      </c>
      <c r="W9" s="12">
        <f t="shared" si="2"/>
        <v>2794322</v>
      </c>
      <c r="X9" s="12" cm="1">
        <f t="array" ref="X9">INDEX($T$39:$T$49,MATCH(W9,$T$39:$T$49)+1)</f>
        <v>4853226</v>
      </c>
      <c r="Y9" s="117">
        <f t="shared" si="14"/>
        <v>12824412.800000001</v>
      </c>
      <c r="Z9">
        <f t="shared" si="3"/>
        <v>10</v>
      </c>
      <c r="AA9" cm="1">
        <f t="array" ref="AA9">INDEX($S$39:$S$49,MATCH($S9,$S$39:$S$49)+1)</f>
        <v>20</v>
      </c>
      <c r="AB9" s="12">
        <f t="shared" si="4"/>
        <v>11177290</v>
      </c>
      <c r="AC9" s="12" cm="1">
        <f t="array" ref="AC9">INDEX($U$39:$U$49,MATCH(AB9,$U$39:$U$49)+1)</f>
        <v>19412904</v>
      </c>
      <c r="AD9" s="117">
        <f t="shared" si="15"/>
        <v>14493060</v>
      </c>
      <c r="AE9">
        <f t="shared" si="5"/>
        <v>10</v>
      </c>
      <c r="AF9" cm="1">
        <f t="array" ref="AF9">INDEX($S$39:$S$49,MATCH($S9,$S$39:$S$49)+1)</f>
        <v>20</v>
      </c>
      <c r="AG9" s="12">
        <f t="shared" si="6"/>
        <v>12679013</v>
      </c>
      <c r="AH9" s="12" cm="1">
        <f t="array" ref="AH9">INDEX($V$39:$V$49,MATCH(AG9,$V$39:$V$49)+1)</f>
        <v>21749248</v>
      </c>
      <c r="AI9" s="117">
        <f t="shared" si="16"/>
        <v>26620210.399999999</v>
      </c>
      <c r="AJ9">
        <f t="shared" si="7"/>
        <v>10</v>
      </c>
      <c r="AK9" cm="1">
        <f t="array" ref="AK9">INDEX($S$39:$S$49,MATCH($S9,$S$39:$S$49)+1)</f>
        <v>20</v>
      </c>
      <c r="AL9" s="12">
        <f t="shared" si="8"/>
        <v>23316119</v>
      </c>
      <c r="AM9" s="12" cm="1">
        <f t="array" ref="AM9">INDEX($W$39:$W$49,MATCH(AL9,$W$39:$W$49)+1)</f>
        <v>39836576</v>
      </c>
    </row>
    <row r="10" spans="1:39" ht="135" x14ac:dyDescent="0.25">
      <c r="A10" s="76" t="str">
        <f>IF(Performance!A10&lt;&gt;"",Performance!A10,"")</f>
        <v>NY0027561</v>
      </c>
      <c r="B10" s="77" t="str">
        <f>IF(Performance!B10&lt;&gt;"",Performance!B10,"")</f>
        <v>LeRoy R Summerson WWTF (City of Cortland)</v>
      </c>
      <c r="C10" s="77" t="str">
        <f>IF(Performance!E10&lt;&gt;"",Performance!E10,"")</f>
        <v>Cycling Air and Adding Internal Carbon Source [Phosphorus, Nitrogen]</v>
      </c>
      <c r="D10" s="77" t="str">
        <f>IF(Performance!F10&lt;&gt;"",Performance!F10,"")</f>
        <v>NA</v>
      </c>
      <c r="E10" s="34"/>
      <c r="F10" s="121">
        <v>0</v>
      </c>
      <c r="G10" s="123">
        <v>1</v>
      </c>
      <c r="H10" s="91">
        <f t="shared" si="9"/>
        <v>0</v>
      </c>
      <c r="I10" s="41">
        <v>2022</v>
      </c>
      <c r="J10" s="91">
        <f>IF($F10&lt;&gt;"",H10*(Adjustment!$C$26/(VLOOKUP($I10,Adjustment!$B$2:$D$27,2,FALSE)))*Adjustment!$G$26/VLOOKUP(Performance!$C10,Adjustment!$F$2:$I$53,2,FALSE),"")</f>
        <v>0</v>
      </c>
      <c r="K10" s="92">
        <f t="shared" si="10"/>
        <v>0</v>
      </c>
      <c r="L10" s="34"/>
      <c r="M10" s="149" t="str">
        <f>IF(F10&lt;&gt;"","",IF(Performance!F10="A/O or BNR 2-Stage Retrofit",T10,IF(Performance!F10="A/O or BNR 2-Stage Replace",Y10,IF(Performance!F10="A2O or BNR 3- to 5-Stage Retrofit",AD10,IF(Performance!F10="A2O or BNR 3- to 5-Stage Replace",AI10,"")))))</f>
        <v/>
      </c>
      <c r="N10" s="101" t="str">
        <f t="shared" si="11"/>
        <v/>
      </c>
      <c r="O10" s="91" t="str">
        <f>IF(M10&lt;&gt;"",M10*(Adjustment!$C$26/Adjustment!$C$25)*(Adjustment!$G$26/Adjustment!$G$38),"")</f>
        <v/>
      </c>
      <c r="P10" s="173" t="str">
        <f t="shared" si="0"/>
        <v/>
      </c>
      <c r="Q10" s="185" t="s">
        <v>217</v>
      </c>
      <c r="R10" s="170">
        <f t="shared" si="12"/>
        <v>0</v>
      </c>
      <c r="S10">
        <f>Performance!H10</f>
        <v>9</v>
      </c>
      <c r="T10" s="117">
        <f t="shared" si="13"/>
        <v>2572286.4</v>
      </c>
      <c r="U10">
        <f t="shared" si="1"/>
        <v>7.5</v>
      </c>
      <c r="V10" cm="1">
        <f t="array" ref="V10">INDEX($S$39:$S$49,MATCH($S10,$S$39:$S$49)+1)</f>
        <v>10</v>
      </c>
      <c r="W10" s="12">
        <f t="shared" si="2"/>
        <v>2239233</v>
      </c>
      <c r="X10" s="12" cm="1">
        <f t="array" ref="X10">INDEX($T$39:$T$49,MATCH(W10,$T$39:$T$49)+1)</f>
        <v>2794322</v>
      </c>
      <c r="Y10" s="117">
        <f t="shared" si="14"/>
        <v>10289146</v>
      </c>
      <c r="Z10">
        <f t="shared" si="3"/>
        <v>7.5</v>
      </c>
      <c r="AA10" cm="1">
        <f t="array" ref="AA10">INDEX($S$39:$S$49,MATCH($S10,$S$39:$S$49)+1)</f>
        <v>10</v>
      </c>
      <c r="AB10" s="12">
        <f t="shared" si="4"/>
        <v>8956930</v>
      </c>
      <c r="AC10" s="12" cm="1">
        <f t="array" ref="AC10">INDEX($U$39:$U$49,MATCH(AB10,$U$39:$U$49)+1)</f>
        <v>11177290</v>
      </c>
      <c r="AD10" s="117">
        <f t="shared" si="15"/>
        <v>11481601.800000001</v>
      </c>
      <c r="AE10">
        <f t="shared" si="5"/>
        <v>7.5</v>
      </c>
      <c r="AF10" cm="1">
        <f t="array" ref="AF10">INDEX($S$39:$S$49,MATCH($S10,$S$39:$S$49)+1)</f>
        <v>10</v>
      </c>
      <c r="AG10" s="12">
        <f t="shared" si="6"/>
        <v>9685485</v>
      </c>
      <c r="AH10" s="12" cm="1">
        <f t="array" ref="AH10">INDEX($V$39:$V$49,MATCH(AG10,$V$39:$V$49)+1)</f>
        <v>12679013</v>
      </c>
      <c r="AI10" s="117">
        <f t="shared" si="16"/>
        <v>21022891.399999999</v>
      </c>
      <c r="AJ10">
        <f t="shared" si="7"/>
        <v>7.5</v>
      </c>
      <c r="AK10" cm="1">
        <f t="array" ref="AK10">INDEX($S$39:$S$49,MATCH($S10,$S$39:$S$49)+1)</f>
        <v>10</v>
      </c>
      <c r="AL10" s="12">
        <f t="shared" si="8"/>
        <v>17583050</v>
      </c>
      <c r="AM10" s="12" cm="1">
        <f t="array" ref="AM10">INDEX($W$39:$W$49,MATCH(AL10,$W$39:$W$49)+1)</f>
        <v>23316119</v>
      </c>
    </row>
    <row r="11" spans="1:39" ht="45" x14ac:dyDescent="0.25">
      <c r="A11" s="76" t="str">
        <f>IF(Performance!A11&lt;&gt;"",Performance!A11,"")</f>
        <v>IL0028053</v>
      </c>
      <c r="B11" s="77" t="str">
        <f>IF(Performance!B11&lt;&gt;"",Performance!B11,"")</f>
        <v>Stickney WRP</v>
      </c>
      <c r="C11" s="77" t="str">
        <f>IF(Performance!E11&lt;&gt;"",Performance!E11,"")</f>
        <v>Ostara Phosphorus Recovery [Phosphorus]</v>
      </c>
      <c r="D11" s="77" t="str">
        <f>IF(Performance!F11&lt;&gt;"",Performance!F11,"")</f>
        <v>A/O or BNR 2-Stage Retrofit</v>
      </c>
      <c r="E11" s="34"/>
      <c r="F11" s="121">
        <v>35000000</v>
      </c>
      <c r="G11" s="123">
        <v>1</v>
      </c>
      <c r="H11" s="91">
        <f t="shared" si="9"/>
        <v>35000000</v>
      </c>
      <c r="I11" s="41">
        <v>2019</v>
      </c>
      <c r="J11" s="91">
        <f>IF($F11&lt;&gt;"",H11*(Adjustment!$C$26/(VLOOKUP($I11,Adjustment!$B$2:$D$27,2,FALSE)))*Adjustment!$G$26/VLOOKUP(Performance!$C11,Adjustment!$F$2:$I$53,2,FALSE),"")</f>
        <v>45496956.691875167</v>
      </c>
      <c r="K11" s="92">
        <f t="shared" si="10"/>
        <v>2782444.5559635544</v>
      </c>
      <c r="L11" s="34"/>
      <c r="M11" s="149" t="str">
        <f>IF(F11&lt;&gt;"","",IF(Performance!F11="A/O or BNR 2-Stage Retrofit",T11,IF(Performance!F11="A/O or BNR 2-Stage Replace",Y11,IF(Performance!F11="A2O or BNR 3- to 5-Stage Retrofit",AD11,IF(Performance!F11="A2O or BNR 3- to 5-Stage Replace",AI11,"")))))</f>
        <v/>
      </c>
      <c r="N11" s="101" t="str">
        <f t="shared" si="11"/>
        <v/>
      </c>
      <c r="O11" s="91" t="str">
        <f>IF(M11&lt;&gt;"",M11*(Adjustment!$C$26/Adjustment!$C$25)*(Adjustment!$G$26/Adjustment!$G$38),"")</f>
        <v/>
      </c>
      <c r="P11" s="173" t="str">
        <f t="shared" si="0"/>
        <v/>
      </c>
      <c r="Q11" s="182" t="s">
        <v>302</v>
      </c>
      <c r="R11" s="170">
        <f t="shared" si="12"/>
        <v>2782444.5559635544</v>
      </c>
      <c r="S11">
        <f>Performance!H11</f>
        <v>1440</v>
      </c>
      <c r="T11" s="117" t="e">
        <f t="shared" si="13"/>
        <v>#REF!</v>
      </c>
      <c r="U11">
        <f t="shared" si="1"/>
        <v>50</v>
      </c>
      <c r="V11" t="e" cm="1">
        <f t="array" ref="V11">INDEX($S$39:$S$49,MATCH($S11,$S$39:$S$49)+1)</f>
        <v>#REF!</v>
      </c>
      <c r="W11" s="12">
        <f t="shared" si="2"/>
        <v>10334334</v>
      </c>
      <c r="X11" s="12" t="e" cm="1">
        <f t="array" ref="X11">INDEX($T$39:$T$49,MATCH(W11,$T$39:$T$49)+1)</f>
        <v>#REF!</v>
      </c>
      <c r="Y11" s="117" t="e">
        <f t="shared" si="14"/>
        <v>#REF!</v>
      </c>
      <c r="Z11">
        <f t="shared" si="3"/>
        <v>50</v>
      </c>
      <c r="AA11" t="e" cm="1">
        <f t="array" ref="AA11">INDEX($S$39:$S$49,MATCH($S11,$S$39:$S$49)+1)</f>
        <v>#REF!</v>
      </c>
      <c r="AB11" s="12">
        <f t="shared" si="4"/>
        <v>41337335</v>
      </c>
      <c r="AC11" s="12" t="e" cm="1">
        <f t="array" ref="AC11">INDEX($U$39:$U$49,MATCH(AB11,$U$39:$U$49)+1)</f>
        <v>#REF!</v>
      </c>
      <c r="AD11" s="117" t="e">
        <f t="shared" si="15"/>
        <v>#REF!</v>
      </c>
      <c r="AE11">
        <f t="shared" si="5"/>
        <v>50</v>
      </c>
      <c r="AF11" t="e" cm="1">
        <f t="array" ref="AF11">INDEX($S$39:$S$49,MATCH($S11,$S$39:$S$49)+1)</f>
        <v>#REF!</v>
      </c>
      <c r="AG11" s="12">
        <f t="shared" si="6"/>
        <v>47608053</v>
      </c>
      <c r="AH11" s="12" t="e" cm="1">
        <f t="array" ref="AH11">INDEX($V$39:$V$49,MATCH(AG11,$V$39:$V$49)+1)</f>
        <v>#REF!</v>
      </c>
      <c r="AI11" s="117" t="e">
        <f t="shared" si="16"/>
        <v>#REF!</v>
      </c>
      <c r="AJ11">
        <f t="shared" si="7"/>
        <v>50</v>
      </c>
      <c r="AK11" t="e" cm="1">
        <f t="array" ref="AK11">INDEX($S$39:$S$49,MATCH($S11,$S$39:$S$49)+1)</f>
        <v>#REF!</v>
      </c>
      <c r="AL11" s="12">
        <f t="shared" si="8"/>
        <v>87008214</v>
      </c>
      <c r="AM11" s="12" t="e" cm="1">
        <f t="array" ref="AM11">INDEX($W$39:$W$49,MATCH(AL11,$W$39:$W$49)+1)</f>
        <v>#REF!</v>
      </c>
    </row>
    <row r="12" spans="1:39" ht="60" x14ac:dyDescent="0.25">
      <c r="A12" s="76" t="str">
        <f>IF(Performance!A12&lt;&gt;"",Performance!A12,"")</f>
        <v>MN0020567</v>
      </c>
      <c r="B12" s="77" t="str">
        <f>IF(Performance!B12&lt;&gt;"",Performance!B12,"")</f>
        <v>Monticello WWTP</v>
      </c>
      <c r="C12" s="77" t="str">
        <f>IF(Performance!E12&lt;&gt;"",Performance!E12,"")</f>
        <v>BNR [Phosphorus, Nitrogen]</v>
      </c>
      <c r="D12" s="77" t="str">
        <f>IF(Performance!F12&lt;&gt;"",Performance!F12,"")</f>
        <v>A2O or BNR 3- to 5-Stage Retrofit</v>
      </c>
      <c r="E12" s="34"/>
      <c r="F12" s="121"/>
      <c r="G12" s="123"/>
      <c r="H12" s="91" t="str">
        <f t="shared" si="9"/>
        <v/>
      </c>
      <c r="I12" s="41"/>
      <c r="J12" s="91" t="str">
        <f>IF($F12&lt;&gt;"",H12*(Adjustment!$C$26/(VLOOKUP($I12,Adjustment!$B$2:$D$27,2,FALSE)))*Adjustment!$G$26/VLOOKUP(Performance!$C12,Adjustment!$F$2:$I$53,2,FALSE),"")</f>
        <v/>
      </c>
      <c r="K12" s="92" t="str">
        <f t="shared" si="10"/>
        <v/>
      </c>
      <c r="L12" s="34"/>
      <c r="M12" s="149">
        <f>IF(F12&lt;&gt;"","",IF(Performance!F12="A/O or BNR 2-Stage Retrofit",T12,IF(Performance!F12="A/O or BNR 2-Stage Replace",Y12,IF(Performance!F12="A2O or BNR 3- to 5-Stage Retrofit",AD12,IF(Performance!F12="A2O or BNR 3- to 5-Stage Replace",AI12,"")))))</f>
        <v>4003505.6983272578</v>
      </c>
      <c r="N12" s="101">
        <f t="shared" si="11"/>
        <v>2022</v>
      </c>
      <c r="O12" s="91">
        <f>IF(M12&lt;&gt;"",M12*(Adjustment!$C$26/Adjustment!$C$25)*(Adjustment!$G$26/Adjustment!$G$38),"")</f>
        <v>4554472.543157707</v>
      </c>
      <c r="P12" s="173">
        <f t="shared" si="0"/>
        <v>278536.5935312704</v>
      </c>
      <c r="Q12" s="182" t="s">
        <v>307</v>
      </c>
      <c r="R12" s="170">
        <f t="shared" si="12"/>
        <v>278536.5935312704</v>
      </c>
      <c r="S12">
        <f>Performance!H12</f>
        <v>2.36</v>
      </c>
      <c r="T12" s="117">
        <f t="shared" si="13"/>
        <v>852747.48271814932</v>
      </c>
      <c r="U12">
        <f t="shared" si="1"/>
        <v>1</v>
      </c>
      <c r="V12" cm="1">
        <f t="array" ref="V12">INDEX($S$39:$S$49,MATCH($S12,$S$39:$S$49)+1)</f>
        <v>2.5</v>
      </c>
      <c r="W12" s="12">
        <f t="shared" si="2"/>
        <v>358586.45769445703</v>
      </c>
      <c r="X12" s="12" cm="1">
        <f t="array" ref="X12">INDEX($T$39:$T$49,MATCH(W12,$T$39:$T$49)+1)</f>
        <v>903617</v>
      </c>
      <c r="Y12" s="117">
        <f t="shared" si="14"/>
        <v>3410991.7442059303</v>
      </c>
      <c r="Z12">
        <f t="shared" si="3"/>
        <v>1</v>
      </c>
      <c r="AA12" cm="1">
        <f t="array" ref="AA12">INDEX($S$39:$S$49,MATCH($S12,$S$39:$S$49)+1)</f>
        <v>2.5</v>
      </c>
      <c r="AB12" s="12">
        <f t="shared" si="4"/>
        <v>1434345.8307778281</v>
      </c>
      <c r="AC12" s="12" cm="1">
        <f t="array" ref="AC12">INDEX($U$39:$U$49,MATCH(AB12,$U$39:$U$49)+1)</f>
        <v>3614470</v>
      </c>
      <c r="AD12" s="117">
        <f t="shared" si="15"/>
        <v>4003505.6983272578</v>
      </c>
      <c r="AE12">
        <f t="shared" si="5"/>
        <v>1</v>
      </c>
      <c r="AF12" cm="1">
        <f t="array" ref="AF12">INDEX($S$39:$S$49,MATCH($S12,$S$39:$S$49)+1)</f>
        <v>2.5</v>
      </c>
      <c r="AG12" s="12">
        <f t="shared" si="6"/>
        <v>2049056.482077763</v>
      </c>
      <c r="AH12" s="12" cm="1">
        <f t="array" ref="AH12">INDEX($V$39:$V$49,MATCH(AG12,$V$39:$V$49)+1)</f>
        <v>4204699</v>
      </c>
      <c r="AI12" s="117">
        <f t="shared" si="16"/>
        <v>7102571.0336505044</v>
      </c>
      <c r="AJ12">
        <f t="shared" si="7"/>
        <v>1</v>
      </c>
      <c r="AK12" cm="1">
        <f t="array" ref="AK12">INDEX($S$39:$S$49,MATCH($S12,$S$39:$S$49)+1)</f>
        <v>2.5</v>
      </c>
      <c r="AL12" s="12">
        <f t="shared" si="8"/>
        <v>3487924.5033982713</v>
      </c>
      <c r="AM12" s="12" cm="1">
        <f t="array" ref="AM12">INDEX($W$39:$W$49,MATCH(AL12,$W$39:$W$49)+1)</f>
        <v>7474667</v>
      </c>
    </row>
    <row r="13" spans="1:39" ht="75" x14ac:dyDescent="0.25">
      <c r="A13" s="76" t="str">
        <f>IF(Performance!A13&lt;&gt;"",Performance!A13,"")</f>
        <v>MN0055361</v>
      </c>
      <c r="B13" s="77" t="str">
        <f>IF(Performance!B13&lt;&gt;"",Performance!B13,"")</f>
        <v>Plainview Township WWTP</v>
      </c>
      <c r="C13" s="77" t="str">
        <f>IF(Performance!E13&lt;&gt;"",Performance!E13,"")</f>
        <v>Biological Phosphorus Removal [Phosphorus]</v>
      </c>
      <c r="D13" s="77" t="str">
        <f>IF(Performance!F13&lt;&gt;"",Performance!F13,"")</f>
        <v>A/O or BNR 2-Stage Retrofit</v>
      </c>
      <c r="E13" s="34"/>
      <c r="F13" s="121">
        <v>500000</v>
      </c>
      <c r="G13" s="123">
        <v>1</v>
      </c>
      <c r="H13" s="91">
        <f t="shared" si="9"/>
        <v>500000</v>
      </c>
      <c r="I13" s="41">
        <v>2006</v>
      </c>
      <c r="J13" s="91">
        <f>IF($F13&lt;&gt;"",H13*(Adjustment!$C$26/(VLOOKUP($I13,Adjustment!$B$2:$D$27,2,FALSE)))*Adjustment!$G$26/VLOOKUP(Performance!$C13,Adjustment!$F$2:$I$53,2,FALSE),"")</f>
        <v>895704.23844342551</v>
      </c>
      <c r="K13" s="92">
        <f t="shared" si="10"/>
        <v>54778.331634112466</v>
      </c>
      <c r="L13" s="34"/>
      <c r="M13" s="149" t="str">
        <f>IF(F13&lt;&gt;"","",IF(Performance!F13="A/O or BNR 2-Stage Retrofit",T13,IF(Performance!F13="A/O or BNR 2-Stage Replace",Y13,IF(Performance!F13="A2O or BNR 3- to 5-Stage Retrofit",AD13,IF(Performance!F13="A2O or BNR 3- to 5-Stage Replace",AI13,"")))))</f>
        <v/>
      </c>
      <c r="N13" s="101" t="str">
        <f t="shared" si="11"/>
        <v/>
      </c>
      <c r="O13" s="91" t="str">
        <f>IF(M13&lt;&gt;"",M13*(Adjustment!$C$26/Adjustment!$C$25)*(Adjustment!$G$26/Adjustment!$G$38),"")</f>
        <v/>
      </c>
      <c r="P13" s="173" t="str">
        <f t="shared" si="0"/>
        <v/>
      </c>
      <c r="Q13" s="182" t="s">
        <v>222</v>
      </c>
      <c r="R13" s="170">
        <f t="shared" si="12"/>
        <v>54778.331634112466</v>
      </c>
      <c r="S13">
        <f>Performance!H13</f>
        <v>2.67</v>
      </c>
      <c r="T13" s="117">
        <f t="shared" si="13"/>
        <v>954091.90399999998</v>
      </c>
      <c r="U13">
        <f t="shared" si="1"/>
        <v>2.5</v>
      </c>
      <c r="V13" cm="1">
        <f t="array" ref="V13">INDEX($S$39:$S$49,MATCH($S13,$S$39:$S$49)+1)</f>
        <v>5</v>
      </c>
      <c r="W13" s="12">
        <f t="shared" si="2"/>
        <v>903617</v>
      </c>
      <c r="X13" s="12" cm="1">
        <f t="array" ref="X13">INDEX($T$39:$T$49,MATCH(W13,$T$39:$T$49)+1)</f>
        <v>1645895</v>
      </c>
      <c r="Y13" s="117">
        <f t="shared" si="14"/>
        <v>3816369.48</v>
      </c>
      <c r="Z13">
        <f t="shared" si="3"/>
        <v>2.5</v>
      </c>
      <c r="AA13" cm="1">
        <f t="array" ref="AA13">INDEX($S$39:$S$49,MATCH($S13,$S$39:$S$49)+1)</f>
        <v>5</v>
      </c>
      <c r="AB13" s="12">
        <f t="shared" si="4"/>
        <v>3614470</v>
      </c>
      <c r="AC13" s="12" cm="1">
        <f t="array" ref="AC13">INDEX($U$39:$U$49,MATCH(AB13,$U$39:$U$49)+1)</f>
        <v>6583580</v>
      </c>
      <c r="AD13" s="117">
        <f t="shared" si="15"/>
        <v>4425254.28</v>
      </c>
      <c r="AE13">
        <f t="shared" si="5"/>
        <v>2.5</v>
      </c>
      <c r="AF13" cm="1">
        <f t="array" ref="AF13">INDEX($S$39:$S$49,MATCH($S13,$S$39:$S$49)+1)</f>
        <v>5</v>
      </c>
      <c r="AG13" s="12">
        <f t="shared" si="6"/>
        <v>4204699</v>
      </c>
      <c r="AH13" s="12" cm="1">
        <f t="array" ref="AH13">INDEX($V$39:$V$49,MATCH(AG13,$V$39:$V$49)+1)</f>
        <v>7448159</v>
      </c>
      <c r="AI13" s="117">
        <f t="shared" si="16"/>
        <v>7883127.8360000001</v>
      </c>
      <c r="AJ13">
        <f t="shared" si="7"/>
        <v>2.5</v>
      </c>
      <c r="AK13" cm="1">
        <f t="array" ref="AK13">INDEX($S$39:$S$49,MATCH($S13,$S$39:$S$49)+1)</f>
        <v>5</v>
      </c>
      <c r="AL13" s="12">
        <f t="shared" si="8"/>
        <v>7474667</v>
      </c>
      <c r="AM13" s="12" cm="1">
        <f t="array" ref="AM13">INDEX($W$39:$W$49,MATCH(AL13,$W$39:$W$49)+1)</f>
        <v>13481444</v>
      </c>
    </row>
    <row r="14" spans="1:39" ht="105" x14ac:dyDescent="0.25">
      <c r="A14" s="76" t="str">
        <f>IF(Performance!A14&lt;&gt;"",Performance!A14,"")</f>
        <v>MT0022568</v>
      </c>
      <c r="B14" s="77" t="str">
        <f>IF(Performance!B14&lt;&gt;"",Performance!B14,"")</f>
        <v>Billings WRF</v>
      </c>
      <c r="C14" s="77" t="str">
        <f>IF(Performance!E14&lt;&gt;"",Performance!E14,"")</f>
        <v>BNR [Phosphorus, Nitrogen]</v>
      </c>
      <c r="D14" s="77" t="str">
        <f>IF(Performance!F14&lt;&gt;"",Performance!F14,"")</f>
        <v>A2O or BNR 3- to 5-Stage Replace</v>
      </c>
      <c r="E14" s="34"/>
      <c r="F14" s="121">
        <v>70000000</v>
      </c>
      <c r="G14" s="123">
        <v>0.7</v>
      </c>
      <c r="H14" s="91">
        <f t="shared" si="9"/>
        <v>49000000</v>
      </c>
      <c r="I14" s="41">
        <v>2017</v>
      </c>
      <c r="J14" s="91">
        <f>IF($F14&lt;&gt;"",H14*(Adjustment!$C$26/(VLOOKUP($I14,Adjustment!$B$2:$D$27,2,FALSE)))*Adjustment!$G$26/VLOOKUP(Performance!$C14,Adjustment!$F$2:$I$53,2,FALSE),"")</f>
        <v>82715060.293726608</v>
      </c>
      <c r="K14" s="92">
        <f t="shared" si="10"/>
        <v>5058581.6270998381</v>
      </c>
      <c r="L14" s="34"/>
      <c r="M14" s="149" t="str">
        <f>IF(F14&lt;&gt;"","",IF(Performance!F14="A/O or BNR 2-Stage Retrofit",T14,IF(Performance!F14="A/O or BNR 2-Stage Replace",Y14,IF(Performance!F14="A2O or BNR 3- to 5-Stage Retrofit",AD14,IF(Performance!F14="A2O or BNR 3- to 5-Stage Replace",AI14,"")))))</f>
        <v/>
      </c>
      <c r="N14" s="101" t="str">
        <f t="shared" si="11"/>
        <v/>
      </c>
      <c r="O14" s="91" t="str">
        <f>IF(M14&lt;&gt;"",M14*(Adjustment!$C$26/Adjustment!$C$25)*(Adjustment!$G$26/Adjustment!$G$38),"")</f>
        <v/>
      </c>
      <c r="P14" s="173" t="str">
        <f t="shared" si="0"/>
        <v/>
      </c>
      <c r="Q14" s="182" t="s">
        <v>236</v>
      </c>
      <c r="R14" s="170">
        <f t="shared" si="12"/>
        <v>5058581.6270998381</v>
      </c>
      <c r="S14">
        <f>Performance!H14</f>
        <v>26</v>
      </c>
      <c r="T14" s="117">
        <f t="shared" si="13"/>
        <v>6017320.7999999998</v>
      </c>
      <c r="U14">
        <f t="shared" si="1"/>
        <v>20</v>
      </c>
      <c r="V14" cm="1">
        <f t="array" ref="V14">INDEX($S$39:$S$49,MATCH($S14,$S$39:$S$49)+1)</f>
        <v>30</v>
      </c>
      <c r="W14" s="12">
        <f t="shared" si="2"/>
        <v>4853226</v>
      </c>
      <c r="X14" s="12" cm="1">
        <f t="array" ref="X14">INDEX($T$39:$T$49,MATCH(W14,$T$39:$T$49)+1)</f>
        <v>6793384</v>
      </c>
      <c r="Y14" s="117">
        <f t="shared" si="14"/>
        <v>24069283.800000001</v>
      </c>
      <c r="Z14">
        <f t="shared" si="3"/>
        <v>20</v>
      </c>
      <c r="AA14" cm="1">
        <f t="array" ref="AA14">INDEX($S$39:$S$49,MATCH($S14,$S$39:$S$49)+1)</f>
        <v>30</v>
      </c>
      <c r="AB14" s="12">
        <f t="shared" si="4"/>
        <v>19412904</v>
      </c>
      <c r="AC14" s="12" cm="1">
        <f t="array" ref="AC14">INDEX($U$39:$U$49,MATCH(AB14,$U$39:$U$49)+1)</f>
        <v>27173537</v>
      </c>
      <c r="AD14" s="117">
        <f t="shared" si="15"/>
        <v>27384610.600000001</v>
      </c>
      <c r="AE14">
        <f t="shared" si="5"/>
        <v>20</v>
      </c>
      <c r="AF14" cm="1">
        <f t="array" ref="AF14">INDEX($S$39:$S$49,MATCH($S14,$S$39:$S$49)+1)</f>
        <v>30</v>
      </c>
      <c r="AG14" s="12">
        <f t="shared" si="6"/>
        <v>21749248</v>
      </c>
      <c r="AH14" s="12" cm="1">
        <f t="array" ref="AH14">INDEX($V$39:$V$49,MATCH(AG14,$V$39:$V$49)+1)</f>
        <v>31141519</v>
      </c>
      <c r="AI14" s="117">
        <f t="shared" si="16"/>
        <v>49884392</v>
      </c>
      <c r="AJ14">
        <f t="shared" si="7"/>
        <v>20</v>
      </c>
      <c r="AK14" cm="1">
        <f t="array" ref="AK14">INDEX($S$39:$S$49,MATCH($S14,$S$39:$S$49)+1)</f>
        <v>30</v>
      </c>
      <c r="AL14" s="12">
        <f t="shared" si="8"/>
        <v>39836576</v>
      </c>
      <c r="AM14" s="12" cm="1">
        <f t="array" ref="AM14">INDEX($W$39:$W$49,MATCH(AL14,$W$39:$W$49)+1)</f>
        <v>56582936</v>
      </c>
    </row>
    <row r="15" spans="1:39" ht="270" x14ac:dyDescent="0.25">
      <c r="A15" s="76" t="str">
        <f>IF(Performance!A15&lt;&gt;"",Performance!A15,"")</f>
        <v>MT0022608</v>
      </c>
      <c r="B15" s="77" t="str">
        <f>IF(Performance!B15&lt;&gt;"",Performance!B15,"")</f>
        <v>Bozeman WRF</v>
      </c>
      <c r="C15" s="77" t="str">
        <f>IF(Performance!E15&lt;&gt;"",Performance!E15,"")</f>
        <v>BNR [Phosphorus, Nitrogen]</v>
      </c>
      <c r="D15" s="77" t="str">
        <f>IF(Performance!F15&lt;&gt;"",Performance!F15,"")</f>
        <v>A2O or BNR 3- to 5-Stage Replace</v>
      </c>
      <c r="E15" s="34"/>
      <c r="F15" s="121">
        <v>45000000</v>
      </c>
      <c r="G15" s="123">
        <v>0.35</v>
      </c>
      <c r="H15" s="91">
        <f t="shared" si="9"/>
        <v>15749999.999999998</v>
      </c>
      <c r="I15" s="41">
        <v>2012</v>
      </c>
      <c r="J15" s="91">
        <f>IF($F15&lt;&gt;"",H15*(Adjustment!$C$26/(VLOOKUP($I15,Adjustment!$B$2:$D$27,2,FALSE)))*Adjustment!$G$26/VLOOKUP(Performance!$C15,Adjustment!$F$2:$I$53,2,FALSE),"")</f>
        <v>27956595.212281961</v>
      </c>
      <c r="K15" s="92">
        <f t="shared" si="10"/>
        <v>1709733.6131403709</v>
      </c>
      <c r="L15" s="34"/>
      <c r="M15" s="149" t="str">
        <f>IF(F15&lt;&gt;"","",IF(Performance!F15="A/O or BNR 2-Stage Retrofit",T15,IF(Performance!F15="A/O or BNR 2-Stage Replace",Y15,IF(Performance!F15="A2O or BNR 3- to 5-Stage Retrofit",AD15,IF(Performance!F15="A2O or BNR 3- to 5-Stage Replace",AI15,"")))))</f>
        <v/>
      </c>
      <c r="N15" s="101" t="str">
        <f t="shared" si="11"/>
        <v/>
      </c>
      <c r="O15" s="91" t="str">
        <f>IF(M15&lt;&gt;"",M15*(Adjustment!$C$26/Adjustment!$C$25)*(Adjustment!$G$26/Adjustment!$G$38),"")</f>
        <v/>
      </c>
      <c r="P15" s="173" t="str">
        <f t="shared" si="0"/>
        <v/>
      </c>
      <c r="Q15" s="182" t="s">
        <v>240</v>
      </c>
      <c r="R15" s="170">
        <f t="shared" si="12"/>
        <v>1709733.6131403709</v>
      </c>
      <c r="S15">
        <f>Performance!H15</f>
        <v>8.5</v>
      </c>
      <c r="T15" s="117">
        <f t="shared" si="13"/>
        <v>2461268.6</v>
      </c>
      <c r="U15">
        <f t="shared" si="1"/>
        <v>7.5</v>
      </c>
      <c r="V15" cm="1">
        <f t="array" ref="V15">INDEX($S$39:$S$49,MATCH($S15,$S$39:$S$49)+1)</f>
        <v>10</v>
      </c>
      <c r="W15" s="12">
        <f t="shared" si="2"/>
        <v>2239233</v>
      </c>
      <c r="X15" s="12" cm="1">
        <f t="array" ref="X15">INDEX($T$39:$T$49,MATCH(W15,$T$39:$T$49)+1)</f>
        <v>2794322</v>
      </c>
      <c r="Y15" s="117">
        <f t="shared" si="14"/>
        <v>9845074</v>
      </c>
      <c r="Z15">
        <f t="shared" si="3"/>
        <v>7.5</v>
      </c>
      <c r="AA15" cm="1">
        <f t="array" ref="AA15">INDEX($S$39:$S$49,MATCH($S15,$S$39:$S$49)+1)</f>
        <v>10</v>
      </c>
      <c r="AB15" s="12">
        <f t="shared" si="4"/>
        <v>8956930</v>
      </c>
      <c r="AC15" s="12" cm="1">
        <f t="array" ref="AC15">INDEX($U$39:$U$49,MATCH(AB15,$U$39:$U$49)+1)</f>
        <v>11177290</v>
      </c>
      <c r="AD15" s="117">
        <f t="shared" si="15"/>
        <v>10882896.199999999</v>
      </c>
      <c r="AE15">
        <f t="shared" si="5"/>
        <v>7.5</v>
      </c>
      <c r="AF15" cm="1">
        <f t="array" ref="AF15">INDEX($S$39:$S$49,MATCH($S15,$S$39:$S$49)+1)</f>
        <v>10</v>
      </c>
      <c r="AG15" s="12">
        <f t="shared" si="6"/>
        <v>9685485</v>
      </c>
      <c r="AH15" s="12" cm="1">
        <f t="array" ref="AH15">INDEX($V$39:$V$49,MATCH(AG15,$V$39:$V$49)+1)</f>
        <v>12679013</v>
      </c>
      <c r="AI15" s="117">
        <f t="shared" si="16"/>
        <v>19876277.600000001</v>
      </c>
      <c r="AJ15">
        <f t="shared" si="7"/>
        <v>7.5</v>
      </c>
      <c r="AK15" cm="1">
        <f t="array" ref="AK15">INDEX($S$39:$S$49,MATCH($S15,$S$39:$S$49)+1)</f>
        <v>10</v>
      </c>
      <c r="AL15" s="12">
        <f t="shared" si="8"/>
        <v>17583050</v>
      </c>
      <c r="AM15" s="12" cm="1">
        <f t="array" ref="AM15">INDEX($W$39:$W$49,MATCH(AL15,$W$39:$W$49)+1)</f>
        <v>23316119</v>
      </c>
    </row>
    <row r="16" spans="1:39" ht="75" x14ac:dyDescent="0.25">
      <c r="A16" s="76" t="str">
        <f>IF(Performance!A16&lt;&gt;"",Performance!A16,"")</f>
        <v>MT0020435</v>
      </c>
      <c r="B16" s="77" t="str">
        <f>IF(Performance!B16&lt;&gt;"",Performance!B16,"")</f>
        <v>Livingston WRF</v>
      </c>
      <c r="C16" s="77" t="str">
        <f>IF(Performance!E16&lt;&gt;"",Performance!E16,"")</f>
        <v>Sequencing Batch Reactors [Phosphorus, Nitrogen]</v>
      </c>
      <c r="D16" s="77" t="str">
        <f>IF(Performance!F16&lt;&gt;"",Performance!F16,"")</f>
        <v>A2O or BNR 3- to 5-Stage Replace</v>
      </c>
      <c r="E16" s="34"/>
      <c r="F16" s="121">
        <v>20000000</v>
      </c>
      <c r="G16" s="123">
        <v>0.25</v>
      </c>
      <c r="H16" s="91">
        <f t="shared" si="9"/>
        <v>5000000</v>
      </c>
      <c r="I16" s="41">
        <v>2019</v>
      </c>
      <c r="J16" s="91">
        <f>IF($F16&lt;&gt;"",H16*(Adjustment!$C$26/(VLOOKUP($I16,Adjustment!$B$2:$D$27,2,FALSE)))*Adjustment!$G$26/VLOOKUP(Performance!$C16,Adjustment!$F$2:$I$53,2,FALSE),"")</f>
        <v>7882451.463333996</v>
      </c>
      <c r="K16" s="92">
        <f t="shared" si="10"/>
        <v>482064.8622794</v>
      </c>
      <c r="L16" s="34"/>
      <c r="M16" s="149" t="str">
        <f>IF(F16&lt;&gt;"","",IF(Performance!F16="A/O or BNR 2-Stage Retrofit",T16,IF(Performance!F16="A/O or BNR 2-Stage Replace",Y16,IF(Performance!F16="A2O or BNR 3- to 5-Stage Retrofit",AD16,IF(Performance!F16="A2O or BNR 3- to 5-Stage Replace",AI16,"")))))</f>
        <v/>
      </c>
      <c r="N16" s="101" t="str">
        <f t="shared" si="11"/>
        <v/>
      </c>
      <c r="O16" s="91" t="str">
        <f>IF(M16&lt;&gt;"",M16*(Adjustment!$C$26/Adjustment!$C$25)*(Adjustment!$G$26/Adjustment!$G$38),"")</f>
        <v/>
      </c>
      <c r="P16" s="173" t="str">
        <f t="shared" si="0"/>
        <v/>
      </c>
      <c r="Q16" s="182" t="s">
        <v>247</v>
      </c>
      <c r="R16" s="170">
        <f t="shared" si="12"/>
        <v>482064.8622794</v>
      </c>
      <c r="S16">
        <f>Performance!H16</f>
        <v>0.91300000000000003</v>
      </c>
      <c r="T16" s="117">
        <f t="shared" si="13"/>
        <v>333055.08359299821</v>
      </c>
      <c r="U16">
        <f t="shared" si="1"/>
        <v>0.75</v>
      </c>
      <c r="V16" cm="1">
        <f t="array" ref="V16">INDEX($S$39:$S$49,MATCH($S16,$S$39:$S$49)+1)</f>
        <v>1</v>
      </c>
      <c r="W16" s="12">
        <f t="shared" si="2"/>
        <v>285220.44016152946</v>
      </c>
      <c r="X16" s="12" cm="1">
        <f t="array" ref="X16">INDEX($T$39:$T$49,MATCH(W16,$T$39:$T$49)+1)</f>
        <v>358586.45769445703</v>
      </c>
      <c r="Y16" s="117">
        <f t="shared" si="14"/>
        <v>1332220.3343719929</v>
      </c>
      <c r="Z16">
        <f t="shared" si="3"/>
        <v>0.75</v>
      </c>
      <c r="AA16" cm="1">
        <f t="array" ref="AA16">INDEX($S$39:$S$49,MATCH($S16,$S$39:$S$49)+1)</f>
        <v>1</v>
      </c>
      <c r="AB16" s="12">
        <f t="shared" si="4"/>
        <v>1140881.7606461179</v>
      </c>
      <c r="AC16" s="12" cm="1">
        <f t="array" ref="AC16">INDEX($U$39:$U$49,MATCH(AB16,$U$39:$U$49)+1)</f>
        <v>1434345.8307778281</v>
      </c>
      <c r="AD16" s="117">
        <f t="shared" si="15"/>
        <v>1938861.2729440168</v>
      </c>
      <c r="AE16">
        <f t="shared" si="5"/>
        <v>0.75</v>
      </c>
      <c r="AF16" cm="1">
        <f t="array" ref="AF16">INDEX($S$39:$S$49,MATCH($S16,$S$39:$S$49)+1)</f>
        <v>1</v>
      </c>
      <c r="AG16" s="12">
        <f t="shared" si="6"/>
        <v>1732403.582268148</v>
      </c>
      <c r="AH16" s="12" cm="1">
        <f t="array" ref="AH16">INDEX($V$39:$V$49,MATCH(AG16,$V$39:$V$49)+1)</f>
        <v>2049056.482077763</v>
      </c>
      <c r="AI16" s="117">
        <f t="shared" si="16"/>
        <v>3299587.4495958025</v>
      </c>
      <c r="AJ16">
        <f t="shared" si="7"/>
        <v>0.75</v>
      </c>
      <c r="AK16" cm="1">
        <f t="array" ref="AK16">INDEX($S$39:$S$49,MATCH($S16,$S$39:$S$49)+1)</f>
        <v>1</v>
      </c>
      <c r="AL16" s="12">
        <f t="shared" si="8"/>
        <v>2946726.0729314061</v>
      </c>
      <c r="AM16" s="12" cm="1">
        <f t="array" ref="AM16">INDEX($W$39:$W$49,MATCH(AL16,$W$39:$W$49)+1)</f>
        <v>3487924.5033982713</v>
      </c>
    </row>
    <row r="17" spans="1:39" ht="75" x14ac:dyDescent="0.25">
      <c r="A17" s="76" t="str">
        <f>IF(Performance!A17&lt;&gt;"",Performance!A17,"")</f>
        <v>MT0020079</v>
      </c>
      <c r="B17" s="77" t="str">
        <f>IF(Performance!B17&lt;&gt;"",Performance!B17,"")</f>
        <v>Conrad WWTF</v>
      </c>
      <c r="C17" s="77" t="str">
        <f>IF(Performance!E17&lt;&gt;"",Performance!E17,"")</f>
        <v>Extended Aeration Activated Sludge [Phosphorus]</v>
      </c>
      <c r="D17" s="77" t="str">
        <f>IF(Performance!F17&lt;&gt;"",Performance!F17,"")</f>
        <v>A/O or BNR 2-Stage Replace</v>
      </c>
      <c r="E17" s="34"/>
      <c r="F17" s="121">
        <v>4193000</v>
      </c>
      <c r="G17" s="123">
        <v>0.25</v>
      </c>
      <c r="H17" s="91">
        <f t="shared" si="9"/>
        <v>1048250</v>
      </c>
      <c r="I17" s="41">
        <v>2010</v>
      </c>
      <c r="J17" s="91">
        <f>IF($F17&lt;&gt;"",H17*(Adjustment!$C$26/(VLOOKUP($I17,Adjustment!$B$2:$D$27,2,FALSE)))*Adjustment!$G$26/VLOOKUP(Performance!$C17,Adjustment!$F$2:$I$53,2,FALSE),"")</f>
        <v>1985864.1955525193</v>
      </c>
      <c r="K17" s="92">
        <f t="shared" si="10"/>
        <v>121448.93684251199</v>
      </c>
      <c r="L17" s="34"/>
      <c r="M17" s="149" t="str">
        <f>IF(F17&lt;&gt;"","",IF(Performance!F17="A/O or BNR 2-Stage Retrofit",T17,IF(Performance!F17="A/O or BNR 2-Stage Replace",Y17,IF(Performance!F17="A2O or BNR 3- to 5-Stage Retrofit",AD17,IF(Performance!F17="A2O or BNR 3- to 5-Stage Replace",AI17,"")))))</f>
        <v/>
      </c>
      <c r="N17" s="101" t="str">
        <f t="shared" si="11"/>
        <v/>
      </c>
      <c r="O17" s="91" t="str">
        <f>IF(M17&lt;&gt;"",M17*(Adjustment!$C$26/Adjustment!$C$25)*(Adjustment!$G$26/Adjustment!$G$38),"")</f>
        <v/>
      </c>
      <c r="P17" s="173" t="str">
        <f t="shared" si="0"/>
        <v/>
      </c>
      <c r="Q17" s="182" t="s">
        <v>256</v>
      </c>
      <c r="R17" s="170">
        <f t="shared" si="12"/>
        <v>121448.93684251199</v>
      </c>
      <c r="S17">
        <f>Performance!H17</f>
        <v>0.5</v>
      </c>
      <c r="T17" s="117">
        <f t="shared" si="13"/>
        <v>217720.88633088517</v>
      </c>
      <c r="U17">
        <f t="shared" si="1"/>
        <v>0.5</v>
      </c>
      <c r="V17" cm="1">
        <f t="array" ref="V17">INDEX($S$39:$S$49,MATCH($S17,$S$39:$S$49)+1)</f>
        <v>0.75</v>
      </c>
      <c r="W17" s="12">
        <f t="shared" si="2"/>
        <v>217720.88633088517</v>
      </c>
      <c r="X17" s="12" cm="1">
        <f t="array" ref="X17">INDEX($T$39:$T$49,MATCH(W17,$T$39:$T$49)+1)</f>
        <v>285220.44016152946</v>
      </c>
      <c r="Y17" s="117">
        <f t="shared" si="14"/>
        <v>870883.54532354069</v>
      </c>
      <c r="Z17">
        <f t="shared" si="3"/>
        <v>0.5</v>
      </c>
      <c r="AA17" cm="1">
        <f t="array" ref="AA17">INDEX($S$39:$S$49,MATCH($S17,$S$39:$S$49)+1)</f>
        <v>0.75</v>
      </c>
      <c r="AB17" s="12">
        <f t="shared" si="4"/>
        <v>870883.54532354069</v>
      </c>
      <c r="AC17" s="12" cm="1">
        <f t="array" ref="AC17">INDEX($U$39:$U$49,MATCH(AB17,$U$39:$U$49)+1)</f>
        <v>1140881.7606461179</v>
      </c>
      <c r="AD17" s="117">
        <f t="shared" si="15"/>
        <v>1430332.9330895599</v>
      </c>
      <c r="AE17">
        <f t="shared" si="5"/>
        <v>0.5</v>
      </c>
      <c r="AF17" cm="1">
        <f t="array" ref="AF17">INDEX($S$39:$S$49,MATCH($S17,$S$39:$S$49)+1)</f>
        <v>0.75</v>
      </c>
      <c r="AG17" s="12">
        <f t="shared" si="6"/>
        <v>1430332.9330895599</v>
      </c>
      <c r="AH17" s="12" cm="1">
        <f t="array" ref="AH17">INDEX($V$39:$V$49,MATCH(AG17,$V$39:$V$49)+1)</f>
        <v>1732403.582268148</v>
      </c>
      <c r="AI17" s="117">
        <f t="shared" si="16"/>
        <v>2429081.5134236766</v>
      </c>
      <c r="AJ17">
        <f t="shared" si="7"/>
        <v>0.5</v>
      </c>
      <c r="AK17" cm="1">
        <f t="array" ref="AK17">INDEX($S$39:$S$49,MATCH($S17,$S$39:$S$49)+1)</f>
        <v>0.75</v>
      </c>
      <c r="AL17" s="12">
        <f t="shared" si="8"/>
        <v>2429081.5134236766</v>
      </c>
      <c r="AM17" s="12" cm="1">
        <f t="array" ref="AM17">INDEX($W$39:$W$49,MATCH(AL17,$W$39:$W$49)+1)</f>
        <v>2946726.0729314061</v>
      </c>
    </row>
    <row r="18" spans="1:39" ht="75" x14ac:dyDescent="0.25">
      <c r="A18" s="76" t="str">
        <f>IF(Performance!A18&lt;&gt;"",Performance!A18,"")</f>
        <v>MN0050725</v>
      </c>
      <c r="B18" s="77" t="str">
        <f>IF(Performance!B18&lt;&gt;"",Performance!B18,"")</f>
        <v>Kasson WWTP</v>
      </c>
      <c r="C18" s="77" t="str">
        <f>IF(Performance!E18&lt;&gt;"",Performance!E18,"")</f>
        <v>Activated sludge with Biological Phosphorus Removal [Phosphorus]</v>
      </c>
      <c r="D18" s="77" t="str">
        <f>IF(Performance!F18&lt;&gt;"",Performance!F18,"")</f>
        <v>A/O or BNR 2-Stage Replace</v>
      </c>
      <c r="E18" s="34"/>
      <c r="F18" s="121"/>
      <c r="G18" s="123"/>
      <c r="H18" s="91" t="str">
        <f t="shared" si="9"/>
        <v/>
      </c>
      <c r="I18" s="41"/>
      <c r="J18" s="91" t="str">
        <f>IF($F18&lt;&gt;"",H18*(Adjustment!$C$26/(VLOOKUP($I18,Adjustment!$B$2:$D$27,2,FALSE)))*Adjustment!$G$26/VLOOKUP(Performance!$C18,Adjustment!$F$2:$I$53,2,FALSE),"")</f>
        <v/>
      </c>
      <c r="K18" s="92" t="str">
        <f t="shared" si="10"/>
        <v/>
      </c>
      <c r="L18" s="34"/>
      <c r="M18" s="149">
        <f>IF(F18&lt;&gt;"","",IF(Performance!F18="A/O or BNR 2-Stage Retrofit",T18,IF(Performance!F18="A/O or BNR 2-Stage Replace",Y18,IF(Performance!F18="A2O or BNR 3- to 5-Stage Retrofit",AD18,IF(Performance!F18="A2O or BNR 3- to 5-Stage Replace",AI18,"")))))</f>
        <v>2989501.0714896438</v>
      </c>
      <c r="N18" s="101">
        <f t="shared" si="11"/>
        <v>2022</v>
      </c>
      <c r="O18" s="91">
        <f>IF(M18&lt;&gt;"",M18*(Adjustment!$C$26/Adjustment!$C$25)*(Adjustment!$G$26/Adjustment!$G$38),"")</f>
        <v>3400919.4875203972</v>
      </c>
      <c r="P18" s="173">
        <f t="shared" si="0"/>
        <v>207989.07446509198</v>
      </c>
      <c r="Q18" s="182" t="s">
        <v>304</v>
      </c>
      <c r="R18" s="170">
        <f t="shared" si="12"/>
        <v>207989.07446509198</v>
      </c>
      <c r="S18">
        <f>Performance!H18</f>
        <v>2.0699999999999998</v>
      </c>
      <c r="T18" s="117">
        <f t="shared" si="13"/>
        <v>747374.91120574437</v>
      </c>
      <c r="U18">
        <f t="shared" si="1"/>
        <v>1</v>
      </c>
      <c r="V18" cm="1">
        <f t="array" ref="V18">INDEX($S$39:$S$49,MATCH($S18,$S$39:$S$49)+1)</f>
        <v>2.5</v>
      </c>
      <c r="W18" s="12">
        <f t="shared" si="2"/>
        <v>358586.45769445703</v>
      </c>
      <c r="X18" s="12" cm="1">
        <f t="array" ref="X18">INDEX($T$39:$T$49,MATCH(W18,$T$39:$T$49)+1)</f>
        <v>903617</v>
      </c>
      <c r="Y18" s="117">
        <f t="shared" si="14"/>
        <v>2989501.0714896438</v>
      </c>
      <c r="Z18">
        <f t="shared" si="3"/>
        <v>1</v>
      </c>
      <c r="AA18" cm="1">
        <f t="array" ref="AA18">INDEX($S$39:$S$49,MATCH($S18,$S$39:$S$49)+1)</f>
        <v>2.5</v>
      </c>
      <c r="AB18" s="12">
        <f t="shared" si="4"/>
        <v>1434345.8307778281</v>
      </c>
      <c r="AC18" s="12" cm="1">
        <f t="array" ref="AC18">INDEX($U$39:$U$49,MATCH(AB18,$U$39:$U$49)+1)</f>
        <v>3614470</v>
      </c>
      <c r="AD18" s="117">
        <f t="shared" si="15"/>
        <v>3586748.1448622919</v>
      </c>
      <c r="AE18">
        <f t="shared" si="5"/>
        <v>1</v>
      </c>
      <c r="AF18" cm="1">
        <f t="array" ref="AF18">INDEX($S$39:$S$49,MATCH($S18,$S$39:$S$49)+1)</f>
        <v>2.5</v>
      </c>
      <c r="AG18" s="12">
        <f t="shared" si="6"/>
        <v>2049056.482077763</v>
      </c>
      <c r="AH18" s="12" cm="1">
        <f t="array" ref="AH18">INDEX($V$39:$V$49,MATCH(AG18,$V$39:$V$49)+1)</f>
        <v>4204699</v>
      </c>
      <c r="AI18" s="117">
        <f t="shared" si="16"/>
        <v>6331800.8176408373</v>
      </c>
      <c r="AJ18">
        <f t="shared" si="7"/>
        <v>1</v>
      </c>
      <c r="AK18" cm="1">
        <f t="array" ref="AK18">INDEX($S$39:$S$49,MATCH($S18,$S$39:$S$49)+1)</f>
        <v>2.5</v>
      </c>
      <c r="AL18" s="12">
        <f t="shared" si="8"/>
        <v>3487924.5033982713</v>
      </c>
      <c r="AM18" s="12" cm="1">
        <f t="array" ref="AM18">INDEX($W$39:$W$49,MATCH(AL18,$W$39:$W$49)+1)</f>
        <v>7474667</v>
      </c>
    </row>
    <row r="19" spans="1:39" ht="75" x14ac:dyDescent="0.25">
      <c r="A19" s="76" t="str">
        <f>IF(Performance!A19&lt;&gt;"",Performance!A19,"")</f>
        <v>WI0020478</v>
      </c>
      <c r="B19" s="77" t="str">
        <f>IF(Performance!B19&lt;&gt;"",Performance!B19,"")</f>
        <v>City of Sun Prairie WWTP</v>
      </c>
      <c r="C19" s="77" t="str">
        <f>IF(Performance!E19&lt;&gt;"",Performance!E19,"")</f>
        <v>Activated sludge with Biological Phosphorus Removal [Phosphorus]</v>
      </c>
      <c r="D19" s="77" t="str">
        <f>IF(Performance!F19&lt;&gt;"",Performance!F19,"")</f>
        <v>A/O or BNR 2-Stage Retrofit</v>
      </c>
      <c r="E19" s="34"/>
      <c r="F19" s="121"/>
      <c r="G19" s="123"/>
      <c r="H19" s="91" t="str">
        <f t="shared" si="9"/>
        <v/>
      </c>
      <c r="I19" s="41"/>
      <c r="J19" s="91" t="str">
        <f>IF($F19&lt;&gt;"",H19*(Adjustment!$C$26/(VLOOKUP($I19,Adjustment!$B$2:$D$27,2,FALSE)))*Adjustment!$G$26/VLOOKUP(Performance!$C19,Adjustment!$F$2:$I$53,2,FALSE),"")</f>
        <v/>
      </c>
      <c r="K19" s="92" t="str">
        <f t="shared" si="10"/>
        <v/>
      </c>
      <c r="L19" s="34"/>
      <c r="M19" s="149">
        <f>IF(F19&lt;&gt;"","",IF(Performance!F19="A/O or BNR 2-Stage Retrofit",T19,IF(Performance!F19="A/O or BNR 2-Stage Replace",Y19,IF(Performance!F19="A2O or BNR 3- to 5-Stage Retrofit",AD19,IF(Performance!F19="A2O or BNR 3- to 5-Stage Replace",AI19,"")))))</f>
        <v>2245894.068</v>
      </c>
      <c r="N19" s="101">
        <f t="shared" si="11"/>
        <v>2022</v>
      </c>
      <c r="O19" s="91">
        <f>IF(M19&lt;&gt;"",M19*(Adjustment!$C$26/Adjustment!$C$25)*(Adjustment!$G$26/Adjustment!$G$38),"")</f>
        <v>2554976.4727000603</v>
      </c>
      <c r="P19" s="173">
        <f t="shared" si="0"/>
        <v>156253.97595766629</v>
      </c>
      <c r="Q19" s="182" t="s">
        <v>305</v>
      </c>
      <c r="R19" s="170">
        <f t="shared" si="12"/>
        <v>156253.97595766629</v>
      </c>
      <c r="S19">
        <f>Performance!H19</f>
        <v>7.53</v>
      </c>
      <c r="T19" s="117">
        <f t="shared" si="13"/>
        <v>2245894.068</v>
      </c>
      <c r="U19">
        <f t="shared" si="1"/>
        <v>7.5</v>
      </c>
      <c r="V19" cm="1">
        <f t="array" ref="V19">INDEX($S$39:$S$49,MATCH($S19,$S$39:$S$49)+1)</f>
        <v>10</v>
      </c>
      <c r="W19" s="12">
        <f t="shared" si="2"/>
        <v>2239233</v>
      </c>
      <c r="X19" s="12" cm="1">
        <f t="array" ref="X19">INDEX($T$39:$T$49,MATCH(W19,$T$39:$T$49)+1)</f>
        <v>2794322</v>
      </c>
      <c r="Y19" s="117">
        <f t="shared" si="14"/>
        <v>8983574.3200000003</v>
      </c>
      <c r="Z19">
        <f t="shared" si="3"/>
        <v>7.5</v>
      </c>
      <c r="AA19" cm="1">
        <f t="array" ref="AA19">INDEX($S$39:$S$49,MATCH($S19,$S$39:$S$49)+1)</f>
        <v>10</v>
      </c>
      <c r="AB19" s="12">
        <f t="shared" si="4"/>
        <v>8956930</v>
      </c>
      <c r="AC19" s="12" cm="1">
        <f t="array" ref="AC19">INDEX($U$39:$U$49,MATCH(AB19,$U$39:$U$49)+1)</f>
        <v>11177290</v>
      </c>
      <c r="AD19" s="117">
        <f t="shared" si="15"/>
        <v>9721407.3360000011</v>
      </c>
      <c r="AE19">
        <f t="shared" si="5"/>
        <v>7.5</v>
      </c>
      <c r="AF19" cm="1">
        <f t="array" ref="AF19">INDEX($S$39:$S$49,MATCH($S19,$S$39:$S$49)+1)</f>
        <v>10</v>
      </c>
      <c r="AG19" s="12">
        <f t="shared" si="6"/>
        <v>9685485</v>
      </c>
      <c r="AH19" s="12" cm="1">
        <f t="array" ref="AH19">INDEX($V$39:$V$49,MATCH(AG19,$V$39:$V$49)+1)</f>
        <v>12679013</v>
      </c>
      <c r="AI19" s="117">
        <f t="shared" si="16"/>
        <v>17651846.828000002</v>
      </c>
      <c r="AJ19">
        <f t="shared" si="7"/>
        <v>7.5</v>
      </c>
      <c r="AK19" cm="1">
        <f t="array" ref="AK19">INDEX($S$39:$S$49,MATCH($S19,$S$39:$S$49)+1)</f>
        <v>10</v>
      </c>
      <c r="AL19" s="12">
        <f t="shared" si="8"/>
        <v>17583050</v>
      </c>
      <c r="AM19" s="12" cm="1">
        <f t="array" ref="AM19">INDEX($W$39:$W$49,MATCH(AL19,$W$39:$W$49)+1)</f>
        <v>23316119</v>
      </c>
    </row>
    <row r="20" spans="1:39" ht="60" x14ac:dyDescent="0.25">
      <c r="A20" s="76" t="str">
        <f>IF(Performance!A20&lt;&gt;"",Performance!A20,"")</f>
        <v>MN0020117</v>
      </c>
      <c r="B20" s="77" t="str">
        <f>IF(Performance!B20&lt;&gt;"",Performance!B20,"")</f>
        <v>Central Iron Range Sanitary District WWTF</v>
      </c>
      <c r="C20" s="77" t="str">
        <f>IF(Performance!E20&lt;&gt;"",Performance!E20,"")</f>
        <v>Sequencing Batch Reactors [Phosphorus]</v>
      </c>
      <c r="D20" s="77" t="str">
        <f>IF(Performance!F20&lt;&gt;"",Performance!F20,"")</f>
        <v>A/O or BNR 2-Stage Replace</v>
      </c>
      <c r="E20" s="34"/>
      <c r="F20" s="121"/>
      <c r="G20" s="123"/>
      <c r="H20" s="91" t="str">
        <f t="shared" si="9"/>
        <v/>
      </c>
      <c r="I20" s="41"/>
      <c r="J20" s="91" t="str">
        <f>IF($F20&lt;&gt;"",H20*(Adjustment!$C$26/(VLOOKUP($I20,Adjustment!$B$2:$D$27,2,FALSE)))*Adjustment!$G$26/VLOOKUP(Performance!$C20,Adjustment!$F$2:$I$53,2,FALSE),"")</f>
        <v/>
      </c>
      <c r="K20" s="92" t="str">
        <f t="shared" si="10"/>
        <v/>
      </c>
      <c r="L20" s="34"/>
      <c r="M20" s="149">
        <f>IF(F20&lt;&gt;"","",IF(Performance!F20="A/O or BNR 2-Stage Retrofit",T20,IF(Performance!F20="A/O or BNR 2-Stage Replace",Y20,IF(Performance!F20="A2O or BNR 3- to 5-Stage Retrofit",AD20,IF(Performance!F20="A2O or BNR 3- to 5-Stage Replace",AI20,"")))))</f>
        <v>3614470</v>
      </c>
      <c r="N20" s="101">
        <f t="shared" si="11"/>
        <v>2022</v>
      </c>
      <c r="O20" s="91">
        <f>IF(M20&lt;&gt;"",M20*(Adjustment!$C$26/Adjustment!$C$25)*(Adjustment!$G$26/Adjustment!$G$38),"")</f>
        <v>4111897.3253729558</v>
      </c>
      <c r="P20" s="173">
        <f t="shared" si="0"/>
        <v>251470.14568796934</v>
      </c>
      <c r="Q20" s="182" t="s">
        <v>306</v>
      </c>
      <c r="R20" s="170">
        <f t="shared" si="12"/>
        <v>251470.14568796934</v>
      </c>
      <c r="S20">
        <f>Performance!H20</f>
        <v>2.5</v>
      </c>
      <c r="T20" s="117">
        <f t="shared" si="13"/>
        <v>903617</v>
      </c>
      <c r="U20">
        <f t="shared" si="1"/>
        <v>2.5</v>
      </c>
      <c r="V20" cm="1">
        <f t="array" ref="V20">INDEX($S$39:$S$49,MATCH($S20,$S$39:$S$49)+1)</f>
        <v>5</v>
      </c>
      <c r="W20" s="12">
        <f t="shared" si="2"/>
        <v>903617</v>
      </c>
      <c r="X20" s="12" cm="1">
        <f t="array" ref="X20">INDEX($T$39:$T$49,MATCH(W20,$T$39:$T$49)+1)</f>
        <v>1645895</v>
      </c>
      <c r="Y20" s="117">
        <f t="shared" si="14"/>
        <v>3614470</v>
      </c>
      <c r="Z20">
        <f t="shared" si="3"/>
        <v>2.5</v>
      </c>
      <c r="AA20" cm="1">
        <f t="array" ref="AA20">INDEX($S$39:$S$49,MATCH($S20,$S$39:$S$49)+1)</f>
        <v>5</v>
      </c>
      <c r="AB20" s="12">
        <f t="shared" si="4"/>
        <v>3614470</v>
      </c>
      <c r="AC20" s="12" cm="1">
        <f t="array" ref="AC20">INDEX($U$39:$U$49,MATCH(AB20,$U$39:$U$49)+1)</f>
        <v>6583580</v>
      </c>
      <c r="AD20" s="117">
        <f t="shared" si="15"/>
        <v>4204699</v>
      </c>
      <c r="AE20">
        <f t="shared" si="5"/>
        <v>2.5</v>
      </c>
      <c r="AF20" cm="1">
        <f t="array" ref="AF20">INDEX($S$39:$S$49,MATCH($S20,$S$39:$S$49)+1)</f>
        <v>5</v>
      </c>
      <c r="AG20" s="12">
        <f t="shared" si="6"/>
        <v>4204699</v>
      </c>
      <c r="AH20" s="12" cm="1">
        <f t="array" ref="AH20">INDEX($V$39:$V$49,MATCH(AG20,$V$39:$V$49)+1)</f>
        <v>7448159</v>
      </c>
      <c r="AI20" s="117">
        <f t="shared" si="16"/>
        <v>7474667</v>
      </c>
      <c r="AJ20">
        <f t="shared" si="7"/>
        <v>2.5</v>
      </c>
      <c r="AK20" cm="1">
        <f t="array" ref="AK20">INDEX($S$39:$S$49,MATCH($S20,$S$39:$S$49)+1)</f>
        <v>5</v>
      </c>
      <c r="AL20" s="12">
        <f t="shared" si="8"/>
        <v>7474667</v>
      </c>
      <c r="AM20" s="12" cm="1">
        <f t="array" ref="AM20">INDEX($W$39:$W$49,MATCH(AL20,$W$39:$W$49)+1)</f>
        <v>13481444</v>
      </c>
    </row>
    <row r="21" spans="1:39" ht="45" x14ac:dyDescent="0.25">
      <c r="A21" s="76" t="str">
        <f>IF(Performance!A21&lt;&gt;"",Performance!A21,"")</f>
        <v>PA0080314</v>
      </c>
      <c r="B21" s="77" t="str">
        <f>IF(Performance!B21&lt;&gt;"",Performance!B21,"")</f>
        <v>Hampden Township WWTP</v>
      </c>
      <c r="C21" s="77" t="str">
        <f>IF(Performance!E21&lt;&gt;"",Performance!E21,"")</f>
        <v>Added Process Control System [Nitrogen]</v>
      </c>
      <c r="D21" s="77" t="str">
        <f>IF(Performance!F21&lt;&gt;"",Performance!F21,"")</f>
        <v>NA</v>
      </c>
      <c r="E21" s="34"/>
      <c r="F21" s="121">
        <v>0</v>
      </c>
      <c r="G21" s="123">
        <v>1</v>
      </c>
      <c r="H21" s="91">
        <f t="shared" si="9"/>
        <v>0</v>
      </c>
      <c r="I21" s="41">
        <v>2010</v>
      </c>
      <c r="J21" s="91">
        <f>IF($F21&lt;&gt;"",H21*(Adjustment!$C$26/(VLOOKUP($I21,Adjustment!$B$2:$D$27,2,FALSE)))*Adjustment!$G$26/VLOOKUP(Performance!$C21,Adjustment!$F$2:$I$53,2,FALSE),"")</f>
        <v>0</v>
      </c>
      <c r="K21" s="92">
        <f t="shared" si="10"/>
        <v>0</v>
      </c>
      <c r="L21" s="34"/>
      <c r="M21" s="149" t="str">
        <f>IF(F21&lt;&gt;"","",IF(Performance!F21="A/O or BNR 2-Stage Retrofit",T21,IF(Performance!F21="A/O or BNR 2-Stage Replace",Y21,IF(Performance!F21="A2O or BNR 3- to 5-Stage Retrofit",AD21,IF(Performance!F21="A2O or BNR 3- to 5-Stage Replace",AI21,"")))))</f>
        <v/>
      </c>
      <c r="N21" s="101" t="str">
        <f t="shared" si="11"/>
        <v/>
      </c>
      <c r="O21" s="91" t="str">
        <f>IF(M21&lt;&gt;"",M21*(Adjustment!$C$26/Adjustment!$C$25)*(Adjustment!$G$26/Adjustment!$G$38),"")</f>
        <v/>
      </c>
      <c r="P21" s="173" t="str">
        <f t="shared" si="0"/>
        <v/>
      </c>
      <c r="Q21" s="182" t="s">
        <v>294</v>
      </c>
      <c r="R21" s="170">
        <f t="shared" si="12"/>
        <v>0</v>
      </c>
      <c r="S21">
        <f>Performance!H21</f>
        <v>5.69</v>
      </c>
      <c r="T21" s="117">
        <f t="shared" si="13"/>
        <v>1809656.2880000002</v>
      </c>
      <c r="U21">
        <f t="shared" si="1"/>
        <v>5</v>
      </c>
      <c r="V21" cm="1">
        <f t="array" ref="V21">INDEX($S$39:$S$49,MATCH($S21,$S$39:$S$49)+1)</f>
        <v>7.5</v>
      </c>
      <c r="W21" s="12">
        <f t="shared" si="2"/>
        <v>1645895</v>
      </c>
      <c r="X21" s="12" cm="1">
        <f t="array" ref="X21">INDEX($T$39:$T$49,MATCH(W21,$T$39:$T$49)+1)</f>
        <v>2239233</v>
      </c>
      <c r="Y21" s="117">
        <f t="shared" si="14"/>
        <v>7238624.6000000006</v>
      </c>
      <c r="Z21">
        <f t="shared" si="3"/>
        <v>5</v>
      </c>
      <c r="AA21" cm="1">
        <f t="array" ref="AA21">INDEX($S$39:$S$49,MATCH($S21,$S$39:$S$49)+1)</f>
        <v>7.5</v>
      </c>
      <c r="AB21" s="12">
        <f t="shared" si="4"/>
        <v>6583580</v>
      </c>
      <c r="AC21" s="12" cm="1">
        <f t="array" ref="AC21">INDEX($U$39:$U$49,MATCH(AB21,$U$39:$U$49)+1)</f>
        <v>8956930</v>
      </c>
      <c r="AD21" s="117">
        <f t="shared" si="15"/>
        <v>8065660.9760000007</v>
      </c>
      <c r="AE21">
        <f t="shared" si="5"/>
        <v>5</v>
      </c>
      <c r="AF21" cm="1">
        <f t="array" ref="AF21">INDEX($S$39:$S$49,MATCH($S21,$S$39:$S$49)+1)</f>
        <v>7.5</v>
      </c>
      <c r="AG21" s="12">
        <f t="shared" si="6"/>
        <v>7448159</v>
      </c>
      <c r="AH21" s="12" cm="1">
        <f t="array" ref="AH21">INDEX($V$39:$V$49,MATCH(AG21,$V$39:$V$49)+1)</f>
        <v>9685485</v>
      </c>
      <c r="AI21" s="117">
        <f t="shared" si="16"/>
        <v>14613487.256000001</v>
      </c>
      <c r="AJ21">
        <f t="shared" si="7"/>
        <v>5</v>
      </c>
      <c r="AK21" cm="1">
        <f t="array" ref="AK21">INDEX($S$39:$S$49,MATCH($S21,$S$39:$S$49)+1)</f>
        <v>7.5</v>
      </c>
      <c r="AL21" s="12">
        <f t="shared" si="8"/>
        <v>13481444</v>
      </c>
      <c r="AM21" s="12" cm="1">
        <f t="array" ref="AM21">INDEX($W$39:$W$49,MATCH(AL21,$W$39:$W$49)+1)</f>
        <v>17583050</v>
      </c>
    </row>
    <row r="22" spans="1:39" ht="75" x14ac:dyDescent="0.25">
      <c r="A22" s="76" t="str">
        <f>IF(Performance!A22&lt;&gt;"",Performance!A22,"")</f>
        <v>MA0100153</v>
      </c>
      <c r="B22" s="77" t="str">
        <f>IF(Performance!B22&lt;&gt;"",Performance!B22,"")</f>
        <v>Town of Lee WWTF</v>
      </c>
      <c r="C22" s="77" t="str">
        <f>IF(Performance!E22&lt;&gt;"",Performance!E22,"")</f>
        <v>Sequencing Batch Reactors [Phosphorus, Nitrogen]</v>
      </c>
      <c r="D22" s="77" t="str">
        <f>IF(Performance!F22&lt;&gt;"",Performance!F22,"")</f>
        <v>A2O or BNR 3- to 5-Stage Replace</v>
      </c>
      <c r="E22" s="34"/>
      <c r="F22" s="121">
        <v>12000000</v>
      </c>
      <c r="G22" s="123">
        <v>0.25</v>
      </c>
      <c r="H22" s="91">
        <f t="shared" si="9"/>
        <v>3000000</v>
      </c>
      <c r="I22" s="41">
        <v>2000</v>
      </c>
      <c r="J22" s="91">
        <f>IF($F22&lt;&gt;"",H22*(Adjustment!$C$26/(VLOOKUP($I22,Adjustment!$B$2:$D$27,2,FALSE)))*Adjustment!$G$26/VLOOKUP(Performance!$C22,Adjustment!$F$2:$I$53,2,FALSE),"")</f>
        <v>7154157.0716617992</v>
      </c>
      <c r="K22" s="92">
        <f t="shared" si="10"/>
        <v>437524.7674556736</v>
      </c>
      <c r="L22" s="34"/>
      <c r="M22" s="149" t="str">
        <f>IF(F22&lt;&gt;"","",IF(Performance!F22="A/O or BNR 2-Stage Retrofit",T22,IF(Performance!F22="A/O or BNR 2-Stage Replace",Y22,IF(Performance!F22="A2O or BNR 3- to 5-Stage Retrofit",AD22,IF(Performance!F22="A2O or BNR 3- to 5-Stage Replace",AI22,"")))))</f>
        <v/>
      </c>
      <c r="N22" s="101" t="str">
        <f t="shared" si="11"/>
        <v/>
      </c>
      <c r="O22" s="91" t="str">
        <f>IF(M22&lt;&gt;"",M22*(Adjustment!$C$26/Adjustment!$C$25)*(Adjustment!$G$26/Adjustment!$G$38),"")</f>
        <v/>
      </c>
      <c r="P22" s="173" t="str">
        <f t="shared" si="0"/>
        <v/>
      </c>
      <c r="Q22" s="182" t="s">
        <v>293</v>
      </c>
      <c r="R22" s="170">
        <f t="shared" si="12"/>
        <v>437524.7674556736</v>
      </c>
      <c r="S22">
        <f>Performance!H22</f>
        <v>1.5</v>
      </c>
      <c r="T22" s="117">
        <f t="shared" si="13"/>
        <v>540263.30512963806</v>
      </c>
      <c r="U22">
        <f t="shared" si="1"/>
        <v>1</v>
      </c>
      <c r="V22" cm="1">
        <f t="array" ref="V22">INDEX($S$39:$S$49,MATCH($S22,$S$39:$S$49)+1)</f>
        <v>2.5</v>
      </c>
      <c r="W22" s="12">
        <f t="shared" si="2"/>
        <v>358586.45769445703</v>
      </c>
      <c r="X22" s="12" cm="1">
        <f t="array" ref="X22">INDEX($T$39:$T$49,MATCH(W22,$T$39:$T$49)+1)</f>
        <v>903617</v>
      </c>
      <c r="Y22" s="117">
        <f t="shared" si="14"/>
        <v>2161053.8871852187</v>
      </c>
      <c r="Z22">
        <f t="shared" si="3"/>
        <v>1</v>
      </c>
      <c r="AA22" cm="1">
        <f t="array" ref="AA22">INDEX($S$39:$S$49,MATCH($S22,$S$39:$S$49)+1)</f>
        <v>2.5</v>
      </c>
      <c r="AB22" s="12">
        <f t="shared" si="4"/>
        <v>1434345.8307778281</v>
      </c>
      <c r="AC22" s="12" cm="1">
        <f t="array" ref="AC22">INDEX($U$39:$U$49,MATCH(AB22,$U$39:$U$49)+1)</f>
        <v>3614470</v>
      </c>
      <c r="AD22" s="117">
        <f t="shared" si="15"/>
        <v>2767603.988051842</v>
      </c>
      <c r="AE22">
        <f t="shared" si="5"/>
        <v>1</v>
      </c>
      <c r="AF22" cm="1">
        <f t="array" ref="AF22">INDEX($S$39:$S$49,MATCH($S22,$S$39:$S$49)+1)</f>
        <v>2.5</v>
      </c>
      <c r="AG22" s="12">
        <f t="shared" si="6"/>
        <v>2049056.482077763</v>
      </c>
      <c r="AH22" s="12" cm="1">
        <f t="array" ref="AH22">INDEX($V$39:$V$49,MATCH(AG22,$V$39:$V$49)+1)</f>
        <v>4204699</v>
      </c>
      <c r="AI22" s="117">
        <f t="shared" si="16"/>
        <v>4816838.6689321809</v>
      </c>
      <c r="AJ22">
        <f t="shared" si="7"/>
        <v>1</v>
      </c>
      <c r="AK22" cm="1">
        <f t="array" ref="AK22">INDEX($S$39:$S$49,MATCH($S22,$S$39:$S$49)+1)</f>
        <v>2.5</v>
      </c>
      <c r="AL22" s="12">
        <f t="shared" si="8"/>
        <v>3487924.5033982713</v>
      </c>
      <c r="AM22" s="12" cm="1">
        <f t="array" ref="AM22">INDEX($W$39:$W$49,MATCH(AL22,$W$39:$W$49)+1)</f>
        <v>7474667</v>
      </c>
    </row>
    <row r="23" spans="1:39" x14ac:dyDescent="0.25">
      <c r="A23" s="76" t="str">
        <f>IF(Performance!A23&lt;&gt;"",Performance!A23,"")</f>
        <v/>
      </c>
      <c r="B23" s="77" t="str">
        <f>IF(Performance!B23&lt;&gt;"",Performance!B23,"")</f>
        <v/>
      </c>
      <c r="C23" s="77" t="str">
        <f>IF(Performance!E23&lt;&gt;"",Performance!E23,"")</f>
        <v/>
      </c>
      <c r="D23" s="77" t="str">
        <f>IF(Performance!F23&lt;&gt;"",Performance!F23,"")</f>
        <v/>
      </c>
      <c r="E23" s="34"/>
      <c r="F23" s="121"/>
      <c r="G23" s="123"/>
      <c r="H23" s="91" t="str">
        <f t="shared" si="9"/>
        <v/>
      </c>
      <c r="I23" s="41"/>
      <c r="J23" s="91" t="str">
        <f>IF($F23&lt;&gt;"",H23*(Adjustment!$C$26/(VLOOKUP($I23,Adjustment!$B$2:$D$27,2,FALSE)))*Adjustment!$G$26/VLOOKUP(Performance!$C23,Adjustment!$F$2:$I$53,2,FALSE),"")</f>
        <v/>
      </c>
      <c r="K23" s="92" t="str">
        <f t="shared" si="10"/>
        <v/>
      </c>
      <c r="L23" s="34"/>
      <c r="M23" s="149" t="str">
        <f>IF(F23&lt;&gt;"","",IF(Performance!F23="A/O or BNR 2-Stage Retrofit",T23,IF(Performance!F23="A/O or BNR 2-Stage Replace",Y23,IF(Performance!F23="A2O or BNR 3- to 5-Stage Retrofit",AD23,IF(Performance!F23="A2O or BNR 3- to 5-Stage Replace",AI23,"")))))</f>
        <v/>
      </c>
      <c r="N23" s="101" t="str">
        <f t="shared" si="11"/>
        <v/>
      </c>
      <c r="O23" s="91" t="str">
        <f>IF(M23&lt;&gt;"",M23*(Adjustment!$C$26/Adjustment!$C$25)*(Adjustment!$G$26/Adjustment!$G$38),"")</f>
        <v/>
      </c>
      <c r="P23" s="173" t="str">
        <f t="shared" si="0"/>
        <v/>
      </c>
      <c r="Q23" s="182"/>
      <c r="R23" s="170" t="str">
        <f t="shared" si="12"/>
        <v/>
      </c>
      <c r="S23">
        <f>Performance!H23</f>
        <v>0</v>
      </c>
      <c r="T23" s="117" t="e">
        <f t="shared" si="13"/>
        <v>#N/A</v>
      </c>
      <c r="U23" t="e">
        <f t="shared" si="1"/>
        <v>#N/A</v>
      </c>
      <c r="V23" t="e" cm="1">
        <f t="array" ref="V23">INDEX($S$39:$S$49,MATCH($S23,$S$39:$S$49)+1)</f>
        <v>#N/A</v>
      </c>
      <c r="W23" s="12" t="e">
        <f t="shared" si="2"/>
        <v>#N/A</v>
      </c>
      <c r="X23" s="12" t="e" cm="1">
        <f t="array" ref="X23">INDEX($T$39:$T$49,MATCH(W23,$T$39:$T$49)+1)</f>
        <v>#N/A</v>
      </c>
      <c r="Y23" s="117" t="e">
        <f t="shared" si="14"/>
        <v>#N/A</v>
      </c>
      <c r="Z23" t="e">
        <f t="shared" si="3"/>
        <v>#N/A</v>
      </c>
      <c r="AA23" t="e" cm="1">
        <f t="array" ref="AA23">INDEX($S$39:$S$49,MATCH($S23,$S$39:$S$49)+1)</f>
        <v>#N/A</v>
      </c>
      <c r="AB23" s="12" t="e">
        <f t="shared" si="4"/>
        <v>#N/A</v>
      </c>
      <c r="AC23" s="12" t="e" cm="1">
        <f t="array" ref="AC23">INDEX($U$39:$U$49,MATCH(AB23,$U$39:$U$49)+1)</f>
        <v>#N/A</v>
      </c>
      <c r="AD23" s="117" t="e">
        <f t="shared" si="15"/>
        <v>#N/A</v>
      </c>
      <c r="AE23" t="e">
        <f t="shared" si="5"/>
        <v>#N/A</v>
      </c>
      <c r="AF23" t="e" cm="1">
        <f t="array" ref="AF23">INDEX($S$39:$S$49,MATCH($S23,$S$39:$S$49)+1)</f>
        <v>#N/A</v>
      </c>
      <c r="AG23" s="12" t="e">
        <f t="shared" si="6"/>
        <v>#N/A</v>
      </c>
      <c r="AH23" s="12" t="e" cm="1">
        <f t="array" ref="AH23">INDEX($V$39:$V$49,MATCH(AG23,$V$39:$V$49)+1)</f>
        <v>#N/A</v>
      </c>
      <c r="AI23" s="117" t="e">
        <f t="shared" si="16"/>
        <v>#N/A</v>
      </c>
      <c r="AJ23" t="e">
        <f t="shared" si="7"/>
        <v>#N/A</v>
      </c>
      <c r="AK23" t="e" cm="1">
        <f t="array" ref="AK23">INDEX($S$39:$S$49,MATCH($S23,$S$39:$S$49)+1)</f>
        <v>#N/A</v>
      </c>
      <c r="AL23" s="12" t="e">
        <f t="shared" si="8"/>
        <v>#N/A</v>
      </c>
      <c r="AM23" s="12" t="e" cm="1">
        <f t="array" ref="AM23">INDEX($W$39:$W$49,MATCH(AL23,$W$39:$W$49)+1)</f>
        <v>#N/A</v>
      </c>
    </row>
    <row r="24" spans="1:39" x14ac:dyDescent="0.25">
      <c r="A24" s="76" t="str">
        <f>IF(Performance!A24&lt;&gt;"",Performance!A24,"")</f>
        <v/>
      </c>
      <c r="B24" s="77" t="str">
        <f>IF(Performance!B24&lt;&gt;"",Performance!B24,"")</f>
        <v/>
      </c>
      <c r="C24" s="77" t="str">
        <f>IF(Performance!E24&lt;&gt;"",Performance!E24,"")</f>
        <v/>
      </c>
      <c r="D24" s="77" t="str">
        <f>IF(Performance!F24&lt;&gt;"",Performance!F24,"")</f>
        <v/>
      </c>
      <c r="E24" s="34"/>
      <c r="F24" s="121"/>
      <c r="G24" s="123"/>
      <c r="H24" s="91" t="str">
        <f t="shared" si="9"/>
        <v/>
      </c>
      <c r="I24" s="41"/>
      <c r="J24" s="91" t="str">
        <f>IF($F24&lt;&gt;"",H24*(Adjustment!$C$26/(VLOOKUP($I24,Adjustment!$B$2:$D$27,2,FALSE)))*Adjustment!$G$26/VLOOKUP(Performance!$C24,Adjustment!$F$2:$I$53,2,FALSE),"")</f>
        <v/>
      </c>
      <c r="K24" s="92" t="str">
        <f t="shared" si="10"/>
        <v/>
      </c>
      <c r="L24" s="34"/>
      <c r="M24" s="149" t="str">
        <f>IF(F24&lt;&gt;"","",IF(Performance!F24="A/O or BNR 2-Stage Retrofit",T24,IF(Performance!F24="A/O or BNR 2-Stage Replace",Y24,IF(Performance!F24="A2O or BNR 3- to 5-Stage Retrofit",AD24,IF(Performance!F24="A2O or BNR 3- to 5-Stage Replace",AI24,"")))))</f>
        <v/>
      </c>
      <c r="N24" s="101" t="str">
        <f t="shared" si="11"/>
        <v/>
      </c>
      <c r="O24" s="91" t="str">
        <f>IF(M24&lt;&gt;"",M24*(Adjustment!$C$26/Adjustment!$C$25)*(Adjustment!$G$26/Adjustment!$G$38),"")</f>
        <v/>
      </c>
      <c r="P24" s="173" t="str">
        <f t="shared" si="0"/>
        <v/>
      </c>
      <c r="Q24" s="182"/>
      <c r="R24" s="170" t="str">
        <f t="shared" si="12"/>
        <v/>
      </c>
      <c r="S24">
        <f>Performance!H24</f>
        <v>0</v>
      </c>
      <c r="T24" s="117" t="e">
        <f t="shared" si="13"/>
        <v>#N/A</v>
      </c>
      <c r="U24" t="e">
        <f t="shared" si="1"/>
        <v>#N/A</v>
      </c>
      <c r="V24" t="e" cm="1">
        <f t="array" ref="V24">INDEX($S$39:$S$49,MATCH($S24,$S$39:$S$49)+1)</f>
        <v>#N/A</v>
      </c>
      <c r="W24" s="12" t="e">
        <f t="shared" si="2"/>
        <v>#N/A</v>
      </c>
      <c r="X24" s="12" t="e" cm="1">
        <f t="array" ref="X24">INDEX($T$39:$T$49,MATCH(W24,$T$39:$T$49)+1)</f>
        <v>#N/A</v>
      </c>
      <c r="Y24" s="117" t="e">
        <f t="shared" si="14"/>
        <v>#N/A</v>
      </c>
      <c r="Z24" t="e">
        <f t="shared" si="3"/>
        <v>#N/A</v>
      </c>
      <c r="AA24" t="e" cm="1">
        <f t="array" ref="AA24">INDEX($S$39:$S$49,MATCH($S24,$S$39:$S$49)+1)</f>
        <v>#N/A</v>
      </c>
      <c r="AB24" s="12" t="e">
        <f t="shared" si="4"/>
        <v>#N/A</v>
      </c>
      <c r="AC24" s="12" t="e" cm="1">
        <f t="array" ref="AC24">INDEX($U$39:$U$49,MATCH(AB24,$U$39:$U$49)+1)</f>
        <v>#N/A</v>
      </c>
      <c r="AD24" s="117" t="e">
        <f t="shared" si="15"/>
        <v>#N/A</v>
      </c>
      <c r="AE24" t="e">
        <f t="shared" si="5"/>
        <v>#N/A</v>
      </c>
      <c r="AF24" t="e" cm="1">
        <f t="array" ref="AF24">INDEX($S$39:$S$49,MATCH($S24,$S$39:$S$49)+1)</f>
        <v>#N/A</v>
      </c>
      <c r="AG24" s="12" t="e">
        <f t="shared" si="6"/>
        <v>#N/A</v>
      </c>
      <c r="AH24" s="12" t="e" cm="1">
        <f t="array" ref="AH24">INDEX($V$39:$V$49,MATCH(AG24,$V$39:$V$49)+1)</f>
        <v>#N/A</v>
      </c>
      <c r="AI24" s="117" t="e">
        <f t="shared" si="16"/>
        <v>#N/A</v>
      </c>
      <c r="AJ24" t="e">
        <f t="shared" si="7"/>
        <v>#N/A</v>
      </c>
      <c r="AK24" t="e" cm="1">
        <f t="array" ref="AK24">INDEX($S$39:$S$49,MATCH($S24,$S$39:$S$49)+1)</f>
        <v>#N/A</v>
      </c>
      <c r="AL24" s="12" t="e">
        <f t="shared" si="8"/>
        <v>#N/A</v>
      </c>
      <c r="AM24" s="12" t="e" cm="1">
        <f t="array" ref="AM24">INDEX($W$39:$W$49,MATCH(AL24,$W$39:$W$49)+1)</f>
        <v>#N/A</v>
      </c>
    </row>
    <row r="25" spans="1:39" x14ac:dyDescent="0.25">
      <c r="A25" s="76" t="str">
        <f>IF(Performance!A25&lt;&gt;"",Performance!A25,"")</f>
        <v/>
      </c>
      <c r="B25" s="77" t="str">
        <f>IF(Performance!B25&lt;&gt;"",Performance!B25,"")</f>
        <v/>
      </c>
      <c r="C25" s="77" t="str">
        <f>IF(Performance!E25&lt;&gt;"",Performance!E25,"")</f>
        <v/>
      </c>
      <c r="D25" s="77" t="str">
        <f>IF(Performance!F25&lt;&gt;"",Performance!F25,"")</f>
        <v/>
      </c>
      <c r="E25" s="34"/>
      <c r="F25" s="121"/>
      <c r="G25" s="123"/>
      <c r="H25" s="91" t="str">
        <f t="shared" si="9"/>
        <v/>
      </c>
      <c r="I25" s="41"/>
      <c r="J25" s="91" t="str">
        <f>IF($F25&lt;&gt;"",H25*(Adjustment!$C$26/(VLOOKUP($I25,Adjustment!$B$2:$D$27,2,FALSE)))*Adjustment!$G$26/VLOOKUP(Performance!$C25,Adjustment!$F$2:$I$53,2,FALSE),"")</f>
        <v/>
      </c>
      <c r="K25" s="92" t="str">
        <f t="shared" si="10"/>
        <v/>
      </c>
      <c r="L25" s="34"/>
      <c r="M25" s="149" t="str">
        <f>IF(F25&lt;&gt;"","",IF(Performance!F25="A/O or BNR 2-Stage Retrofit",T25,IF(Performance!F25="A/O or BNR 2-Stage Replace",Y25,IF(Performance!F25="A2O or BNR 3- to 5-Stage Retrofit",AD25,IF(Performance!F25="A2O or BNR 3- to 5-Stage Replace",AI25,"")))))</f>
        <v/>
      </c>
      <c r="N25" s="101" t="str">
        <f t="shared" si="11"/>
        <v/>
      </c>
      <c r="O25" s="91" t="str">
        <f>IF(M25&lt;&gt;"",M25*(Adjustment!$C$26/Adjustment!$C$25)*(Adjustment!$G$26/Adjustment!$G$38),"")</f>
        <v/>
      </c>
      <c r="P25" s="173" t="str">
        <f t="shared" si="0"/>
        <v/>
      </c>
      <c r="Q25" s="182"/>
      <c r="R25" s="170" t="str">
        <f t="shared" si="12"/>
        <v/>
      </c>
      <c r="S25">
        <f>Performance!H25</f>
        <v>0</v>
      </c>
      <c r="T25" s="117" t="e">
        <f t="shared" si="13"/>
        <v>#N/A</v>
      </c>
      <c r="U25" t="e">
        <f t="shared" si="1"/>
        <v>#N/A</v>
      </c>
      <c r="V25" t="e" cm="1">
        <f t="array" ref="V25">INDEX($S$39:$S$49,MATCH($S25,$S$39:$S$49)+1)</f>
        <v>#N/A</v>
      </c>
      <c r="W25" s="12" t="e">
        <f t="shared" si="2"/>
        <v>#N/A</v>
      </c>
      <c r="X25" s="12" t="e" cm="1">
        <f t="array" ref="X25">INDEX($T$39:$T$49,MATCH(W25,$T$39:$T$49)+1)</f>
        <v>#N/A</v>
      </c>
      <c r="Y25" s="117" t="e">
        <f t="shared" si="14"/>
        <v>#N/A</v>
      </c>
      <c r="Z25" t="e">
        <f t="shared" si="3"/>
        <v>#N/A</v>
      </c>
      <c r="AA25" t="e" cm="1">
        <f t="array" ref="AA25">INDEX($S$39:$S$49,MATCH($S25,$S$39:$S$49)+1)</f>
        <v>#N/A</v>
      </c>
      <c r="AB25" s="12" t="e">
        <f t="shared" si="4"/>
        <v>#N/A</v>
      </c>
      <c r="AC25" s="12" t="e" cm="1">
        <f t="array" ref="AC25">INDEX($U$39:$U$49,MATCH(AB25,$U$39:$U$49)+1)</f>
        <v>#N/A</v>
      </c>
      <c r="AD25" s="117" t="e">
        <f t="shared" si="15"/>
        <v>#N/A</v>
      </c>
      <c r="AE25" t="e">
        <f t="shared" si="5"/>
        <v>#N/A</v>
      </c>
      <c r="AF25" t="e" cm="1">
        <f t="array" ref="AF25">INDEX($S$39:$S$49,MATCH($S25,$S$39:$S$49)+1)</f>
        <v>#N/A</v>
      </c>
      <c r="AG25" s="12" t="e">
        <f t="shared" si="6"/>
        <v>#N/A</v>
      </c>
      <c r="AH25" s="12" t="e" cm="1">
        <f t="array" ref="AH25">INDEX($V$39:$V$49,MATCH(AG25,$V$39:$V$49)+1)</f>
        <v>#N/A</v>
      </c>
      <c r="AI25" s="117" t="e">
        <f t="shared" si="16"/>
        <v>#N/A</v>
      </c>
      <c r="AJ25" t="e">
        <f t="shared" si="7"/>
        <v>#N/A</v>
      </c>
      <c r="AK25" t="e" cm="1">
        <f t="array" ref="AK25">INDEX($S$39:$S$49,MATCH($S25,$S$39:$S$49)+1)</f>
        <v>#N/A</v>
      </c>
      <c r="AL25" s="12" t="e">
        <f t="shared" si="8"/>
        <v>#N/A</v>
      </c>
      <c r="AM25" s="12" t="e" cm="1">
        <f t="array" ref="AM25">INDEX($W$39:$W$49,MATCH(AL25,$W$39:$W$49)+1)</f>
        <v>#N/A</v>
      </c>
    </row>
    <row r="26" spans="1:39" x14ac:dyDescent="0.25">
      <c r="A26" s="76" t="str">
        <f>IF(Performance!A26&lt;&gt;"",Performance!A26,"")</f>
        <v/>
      </c>
      <c r="B26" s="77" t="str">
        <f>IF(Performance!B26&lt;&gt;"",Performance!B26,"")</f>
        <v/>
      </c>
      <c r="C26" s="77" t="str">
        <f>IF(Performance!E26&lt;&gt;"",Performance!E26,"")</f>
        <v/>
      </c>
      <c r="D26" s="77" t="str">
        <f>IF(Performance!F26&lt;&gt;"",Performance!F26,"")</f>
        <v/>
      </c>
      <c r="E26" s="34"/>
      <c r="F26" s="121"/>
      <c r="G26" s="123"/>
      <c r="H26" s="91" t="str">
        <f t="shared" si="9"/>
        <v/>
      </c>
      <c r="I26" s="41"/>
      <c r="J26" s="91" t="str">
        <f>IF($F26&lt;&gt;"",H26*(Adjustment!$C$26/(VLOOKUP($I26,Adjustment!$B$2:$D$27,2,FALSE)))*Adjustment!$G$26/VLOOKUP(Performance!$C26,Adjustment!$F$2:$I$53,2,FALSE),"")</f>
        <v/>
      </c>
      <c r="K26" s="92" t="str">
        <f t="shared" si="10"/>
        <v/>
      </c>
      <c r="L26" s="34"/>
      <c r="M26" s="149" t="str">
        <f>IF(F26&lt;&gt;"","",IF(Performance!F26="A/O or BNR 2-Stage Retrofit",T26,IF(Performance!F26="A/O or BNR 2-Stage Replace",Y26,IF(Performance!F26="A2O or BNR 3- to 5-Stage Retrofit",AD26,IF(Performance!F26="A2O or BNR 3- to 5-Stage Replace",AI26,"")))))</f>
        <v/>
      </c>
      <c r="N26" s="101" t="str">
        <f t="shared" si="11"/>
        <v/>
      </c>
      <c r="O26" s="91" t="str">
        <f>IF(M26&lt;&gt;"",M26*(Adjustment!$C$26/Adjustment!$C$25)*(Adjustment!$G$26/Adjustment!$G$38),"")</f>
        <v/>
      </c>
      <c r="P26" s="173" t="str">
        <f t="shared" si="0"/>
        <v/>
      </c>
      <c r="Q26" s="182"/>
      <c r="R26" s="170" t="str">
        <f t="shared" si="12"/>
        <v/>
      </c>
      <c r="S26">
        <f>Performance!H26</f>
        <v>0</v>
      </c>
      <c r="T26" s="117" t="e">
        <f t="shared" si="13"/>
        <v>#N/A</v>
      </c>
      <c r="U26" t="e">
        <f t="shared" si="1"/>
        <v>#N/A</v>
      </c>
      <c r="V26" t="e" cm="1">
        <f t="array" ref="V26">INDEX($S$39:$S$49,MATCH($S26,$S$39:$S$49)+1)</f>
        <v>#N/A</v>
      </c>
      <c r="W26" s="12" t="e">
        <f t="shared" si="2"/>
        <v>#N/A</v>
      </c>
      <c r="X26" s="12" t="e" cm="1">
        <f t="array" ref="X26">INDEX($T$39:$T$49,MATCH(W26,$T$39:$T$49)+1)</f>
        <v>#N/A</v>
      </c>
      <c r="Y26" s="117" t="e">
        <f t="shared" si="14"/>
        <v>#N/A</v>
      </c>
      <c r="Z26" t="e">
        <f t="shared" si="3"/>
        <v>#N/A</v>
      </c>
      <c r="AA26" t="e" cm="1">
        <f t="array" ref="AA26">INDEX($S$39:$S$49,MATCH($S26,$S$39:$S$49)+1)</f>
        <v>#N/A</v>
      </c>
      <c r="AB26" s="12" t="e">
        <f t="shared" si="4"/>
        <v>#N/A</v>
      </c>
      <c r="AC26" s="12" t="e" cm="1">
        <f t="array" ref="AC26">INDEX($U$39:$U$49,MATCH(AB26,$U$39:$U$49)+1)</f>
        <v>#N/A</v>
      </c>
      <c r="AD26" s="117" t="e">
        <f t="shared" si="15"/>
        <v>#N/A</v>
      </c>
      <c r="AE26" t="e">
        <f t="shared" si="5"/>
        <v>#N/A</v>
      </c>
      <c r="AF26" t="e" cm="1">
        <f t="array" ref="AF26">INDEX($S$39:$S$49,MATCH($S26,$S$39:$S$49)+1)</f>
        <v>#N/A</v>
      </c>
      <c r="AG26" s="12" t="e">
        <f t="shared" si="6"/>
        <v>#N/A</v>
      </c>
      <c r="AH26" s="12" t="e" cm="1">
        <f t="array" ref="AH26">INDEX($V$39:$V$49,MATCH(AG26,$V$39:$V$49)+1)</f>
        <v>#N/A</v>
      </c>
      <c r="AI26" s="117" t="e">
        <f t="shared" si="16"/>
        <v>#N/A</v>
      </c>
      <c r="AJ26" t="e">
        <f t="shared" si="7"/>
        <v>#N/A</v>
      </c>
      <c r="AK26" t="e" cm="1">
        <f t="array" ref="AK26">INDEX($S$39:$S$49,MATCH($S26,$S$39:$S$49)+1)</f>
        <v>#N/A</v>
      </c>
      <c r="AL26" s="12" t="e">
        <f t="shared" si="8"/>
        <v>#N/A</v>
      </c>
      <c r="AM26" s="12" t="e" cm="1">
        <f t="array" ref="AM26">INDEX($W$39:$W$49,MATCH(AL26,$W$39:$W$49)+1)</f>
        <v>#N/A</v>
      </c>
    </row>
    <row r="27" spans="1:39" x14ac:dyDescent="0.25">
      <c r="A27" s="76" t="str">
        <f>IF(Performance!A27&lt;&gt;"",Performance!A27,"")</f>
        <v/>
      </c>
      <c r="B27" s="77" t="str">
        <f>IF(Performance!B27&lt;&gt;"",Performance!B27,"")</f>
        <v/>
      </c>
      <c r="C27" s="77" t="str">
        <f>IF(Performance!E27&lt;&gt;"",Performance!E27,"")</f>
        <v/>
      </c>
      <c r="D27" s="77" t="str">
        <f>IF(Performance!F27&lt;&gt;"",Performance!F27,"")</f>
        <v/>
      </c>
      <c r="E27" s="34"/>
      <c r="F27" s="121"/>
      <c r="G27" s="123"/>
      <c r="H27" s="91" t="str">
        <f t="shared" si="9"/>
        <v/>
      </c>
      <c r="I27" s="41"/>
      <c r="J27" s="91" t="str">
        <f>IF($F27&lt;&gt;"",H27*(Adjustment!$C$26/(VLOOKUP($I27,Adjustment!$B$2:$D$27,2,FALSE)))*Adjustment!$G$26/VLOOKUP(Performance!$C27,Adjustment!$F$2:$I$53,2,FALSE),"")</f>
        <v/>
      </c>
      <c r="K27" s="92" t="str">
        <f t="shared" si="10"/>
        <v/>
      </c>
      <c r="L27" s="34"/>
      <c r="M27" s="149" t="str">
        <f>IF(F27&lt;&gt;"","",IF(Performance!F27="A/O or BNR 2-Stage Retrofit",T27,IF(Performance!F27="A/O or BNR 2-Stage Replace",Y27,IF(Performance!F27="A2O or BNR 3- to 5-Stage Retrofit",AD27,IF(Performance!F27="A2O or BNR 3- to 5-Stage Replace",AI27,"")))))</f>
        <v/>
      </c>
      <c r="N27" s="101" t="str">
        <f t="shared" si="11"/>
        <v/>
      </c>
      <c r="O27" s="91" t="str">
        <f>IF(M27&lt;&gt;"",M27*(Adjustment!$C$26/Adjustment!$C$25)*(Adjustment!$G$26/Adjustment!$G$38),"")</f>
        <v/>
      </c>
      <c r="P27" s="173" t="str">
        <f t="shared" si="0"/>
        <v/>
      </c>
      <c r="Q27" s="182"/>
      <c r="R27" s="170" t="str">
        <f t="shared" si="12"/>
        <v/>
      </c>
      <c r="S27">
        <f>Performance!H27</f>
        <v>0</v>
      </c>
      <c r="T27" s="117" t="e">
        <f>W27+($S27-U27)*((X27-W27)/(V27-U27))</f>
        <v>#N/A</v>
      </c>
      <c r="U27" t="e">
        <f t="shared" si="1"/>
        <v>#N/A</v>
      </c>
      <c r="V27" t="e" cm="1">
        <f t="array" ref="V27">INDEX($S$39:$S$49,MATCH($S27,$S$39:$S$49)+1)</f>
        <v>#N/A</v>
      </c>
      <c r="W27" s="12" t="e">
        <f t="shared" si="2"/>
        <v>#N/A</v>
      </c>
      <c r="X27" s="12" t="e" cm="1">
        <f t="array" ref="X27">INDEX($T$39:$T$49,MATCH(W27,$T$39:$T$49)+1)</f>
        <v>#N/A</v>
      </c>
      <c r="Y27" s="117" t="e">
        <f>AB27+($S27-Z27)*((AC27-AB27)/(AA27-Z27))</f>
        <v>#N/A</v>
      </c>
      <c r="Z27" t="e">
        <f t="shared" si="3"/>
        <v>#N/A</v>
      </c>
      <c r="AA27" t="e" cm="1">
        <f t="array" ref="AA27">INDEX($S$39:$S$49,MATCH($S27,$S$39:$S$49)+1)</f>
        <v>#N/A</v>
      </c>
      <c r="AB27" s="12" t="e">
        <f t="shared" si="4"/>
        <v>#N/A</v>
      </c>
      <c r="AC27" s="12" t="e" cm="1">
        <f t="array" ref="AC27">INDEX($U$39:$U$49,MATCH(AB27,$U$39:$U$49)+1)</f>
        <v>#N/A</v>
      </c>
      <c r="AD27" s="117" t="e">
        <f>AG27+($S27-AE27)*((AH27-AG27)/(AF27-AE27))</f>
        <v>#N/A</v>
      </c>
      <c r="AE27" t="e">
        <f t="shared" si="5"/>
        <v>#N/A</v>
      </c>
      <c r="AF27" t="e" cm="1">
        <f t="array" ref="AF27">INDEX($S$39:$S$49,MATCH($S27,$S$39:$S$49)+1)</f>
        <v>#N/A</v>
      </c>
      <c r="AG27" s="12" t="e">
        <f t="shared" si="6"/>
        <v>#N/A</v>
      </c>
      <c r="AH27" s="12" t="e" cm="1">
        <f t="array" ref="AH27">INDEX($V$39:$V$49,MATCH(AG27,$V$39:$V$49)+1)</f>
        <v>#N/A</v>
      </c>
      <c r="AI27" s="117" t="e">
        <f>AL27+($S27-AJ27)*((AM27-AL27)/(AK27-AJ27))</f>
        <v>#N/A</v>
      </c>
      <c r="AJ27" t="e">
        <f t="shared" si="7"/>
        <v>#N/A</v>
      </c>
      <c r="AK27" t="e" cm="1">
        <f t="array" ref="AK27">INDEX($S$39:$S$49,MATCH($S27,$S$39:$S$49)+1)</f>
        <v>#N/A</v>
      </c>
      <c r="AL27" s="12" t="e">
        <f t="shared" si="8"/>
        <v>#N/A</v>
      </c>
      <c r="AM27" s="12" t="e" cm="1">
        <f t="array" ref="AM27">INDEX($W$39:$W$49,MATCH(AL27,$W$39:$W$49)+1)</f>
        <v>#N/A</v>
      </c>
    </row>
    <row r="28" spans="1:39" x14ac:dyDescent="0.25">
      <c r="A28" s="76" t="str">
        <f>IF(Performance!A28&lt;&gt;"",Performance!A28,"")</f>
        <v/>
      </c>
      <c r="B28" s="77" t="str">
        <f>IF(Performance!B28&lt;&gt;"",Performance!B28,"")</f>
        <v/>
      </c>
      <c r="C28" s="77" t="str">
        <f>IF(Performance!E28&lt;&gt;"",Performance!E28,"")</f>
        <v/>
      </c>
      <c r="D28" s="77" t="str">
        <f>IF(Performance!F28&lt;&gt;"",Performance!F28,"")</f>
        <v/>
      </c>
      <c r="E28" s="34"/>
      <c r="F28" s="121"/>
      <c r="G28" s="123"/>
      <c r="H28" s="91" t="str">
        <f t="shared" si="9"/>
        <v/>
      </c>
      <c r="I28" s="41"/>
      <c r="J28" s="91" t="str">
        <f>IF($F28&lt;&gt;"",H28*(Adjustment!$C$26/(VLOOKUP($I28,Adjustment!$B$2:$D$27,2,FALSE)))*Adjustment!$G$26/VLOOKUP(Performance!$C28,Adjustment!$F$2:$I$53,2,FALSE),"")</f>
        <v/>
      </c>
      <c r="K28" s="92" t="str">
        <f t="shared" si="10"/>
        <v/>
      </c>
      <c r="L28" s="34"/>
      <c r="M28" s="149" t="str">
        <f>IF(F28&lt;&gt;"","",IF(Performance!F28="A/O or BNR 2-Stage Retrofit",T28,IF(Performance!F28="A/O or BNR 2-Stage Replace",Y28,IF(Performance!F28="A2O or BNR 3- to 5-Stage Retrofit",AD28,IF(Performance!F28="A2O or BNR 3- to 5-Stage Replace",AI28,"")))))</f>
        <v/>
      </c>
      <c r="N28" s="101" t="str">
        <f t="shared" si="11"/>
        <v/>
      </c>
      <c r="O28" s="91" t="str">
        <f>IF(M28&lt;&gt;"",M28*(Adjustment!$C$26/Adjustment!$C$25)*(Adjustment!$G$26/Adjustment!$G$38),"")</f>
        <v/>
      </c>
      <c r="P28" s="173" t="str">
        <f t="shared" si="0"/>
        <v/>
      </c>
      <c r="Q28" s="182"/>
      <c r="R28" s="170" t="str">
        <f t="shared" si="12"/>
        <v/>
      </c>
      <c r="S28">
        <f>Performance!H28</f>
        <v>0</v>
      </c>
      <c r="T28" s="117" t="e">
        <f t="shared" ref="T28:T33" si="17">W28+($S28-U28)*((X28-W28)/(V28-U28))</f>
        <v>#N/A</v>
      </c>
      <c r="U28" t="e">
        <f t="shared" si="1"/>
        <v>#N/A</v>
      </c>
      <c r="V28" t="e" cm="1">
        <f t="array" ref="V28">INDEX($S$39:$S$49,MATCH($S28,$S$39:$S$49)+1)</f>
        <v>#N/A</v>
      </c>
      <c r="W28" s="12" t="e">
        <f t="shared" si="2"/>
        <v>#N/A</v>
      </c>
      <c r="X28" s="12" t="e" cm="1">
        <f t="array" ref="X28">INDEX($T$39:$T$49,MATCH(W28,$T$39:$T$49)+1)</f>
        <v>#N/A</v>
      </c>
      <c r="Y28" s="117" t="e">
        <f t="shared" ref="Y28:Y33" si="18">AB28+($S28-Z28)*((AC28-AB28)/(AA28-Z28))</f>
        <v>#N/A</v>
      </c>
      <c r="Z28" t="e">
        <f t="shared" si="3"/>
        <v>#N/A</v>
      </c>
      <c r="AA28" t="e" cm="1">
        <f t="array" ref="AA28">INDEX($S$39:$S$49,MATCH($S28,$S$39:$S$49)+1)</f>
        <v>#N/A</v>
      </c>
      <c r="AB28" s="12" t="e">
        <f t="shared" si="4"/>
        <v>#N/A</v>
      </c>
      <c r="AC28" s="12" t="e" cm="1">
        <f t="array" ref="AC28">INDEX($U$39:$U$49,MATCH(AB28,$U$39:$U$49)+1)</f>
        <v>#N/A</v>
      </c>
      <c r="AD28" s="117" t="e">
        <f t="shared" ref="AD28:AD33" si="19">AG28+($S28-AE28)*((AH28-AG28)/(AF28-AE28))</f>
        <v>#N/A</v>
      </c>
      <c r="AE28" t="e">
        <f t="shared" si="5"/>
        <v>#N/A</v>
      </c>
      <c r="AF28" t="e" cm="1">
        <f t="array" ref="AF28">INDEX($S$39:$S$49,MATCH($S28,$S$39:$S$49)+1)</f>
        <v>#N/A</v>
      </c>
      <c r="AG28" s="12" t="e">
        <f t="shared" si="6"/>
        <v>#N/A</v>
      </c>
      <c r="AH28" s="12" t="e" cm="1">
        <f t="array" ref="AH28">INDEX($V$39:$V$49,MATCH(AG28,$V$39:$V$49)+1)</f>
        <v>#N/A</v>
      </c>
      <c r="AI28" s="117" t="e">
        <f t="shared" ref="AI28:AI33" si="20">AL28+($S28-AJ28)*((AM28-AL28)/(AK28-AJ28))</f>
        <v>#N/A</v>
      </c>
      <c r="AJ28" t="e">
        <f t="shared" si="7"/>
        <v>#N/A</v>
      </c>
      <c r="AK28" t="e" cm="1">
        <f t="array" ref="AK28">INDEX($S$39:$S$49,MATCH($S28,$S$39:$S$49)+1)</f>
        <v>#N/A</v>
      </c>
      <c r="AL28" s="12" t="e">
        <f t="shared" si="8"/>
        <v>#N/A</v>
      </c>
      <c r="AM28" s="12" t="e" cm="1">
        <f t="array" ref="AM28">INDEX($W$39:$W$49,MATCH(AL28,$W$39:$W$49)+1)</f>
        <v>#N/A</v>
      </c>
    </row>
    <row r="29" spans="1:39" x14ac:dyDescent="0.25">
      <c r="A29" s="76" t="str">
        <f>IF(Performance!A29&lt;&gt;"",Performance!A29,"")</f>
        <v/>
      </c>
      <c r="B29" s="77" t="str">
        <f>IF(Performance!B29&lt;&gt;"",Performance!B29,"")</f>
        <v/>
      </c>
      <c r="C29" s="77" t="str">
        <f>IF(Performance!E29&lt;&gt;"",Performance!E29,"")</f>
        <v/>
      </c>
      <c r="D29" s="77" t="str">
        <f>IF(Performance!F29&lt;&gt;"",Performance!F29,"")</f>
        <v/>
      </c>
      <c r="E29" s="34"/>
      <c r="F29" s="121"/>
      <c r="G29" s="123"/>
      <c r="H29" s="91" t="str">
        <f t="shared" si="9"/>
        <v/>
      </c>
      <c r="I29" s="41"/>
      <c r="J29" s="91" t="str">
        <f>IF($F29&lt;&gt;"",H29*(Adjustment!$C$26/(VLOOKUP($I29,Adjustment!$B$2:$D$27,2,FALSE)))*Adjustment!$G$26/VLOOKUP(Performance!$C29,Adjustment!$F$2:$I$53,2,FALSE),"")</f>
        <v/>
      </c>
      <c r="K29" s="92" t="str">
        <f t="shared" si="10"/>
        <v/>
      </c>
      <c r="L29" s="34"/>
      <c r="M29" s="149" t="str">
        <f>IF(F29&lt;&gt;"","",IF(Performance!F29="A/O or BNR 2-Stage Retrofit",T29,IF(Performance!F29="A/O or BNR 2-Stage Replace",Y29,IF(Performance!F29="A2O or BNR 3- to 5-Stage Retrofit",AD29,IF(Performance!F29="A2O or BNR 3- to 5-Stage Replace",AI29,"")))))</f>
        <v/>
      </c>
      <c r="N29" s="101" t="str">
        <f t="shared" si="11"/>
        <v/>
      </c>
      <c r="O29" s="91" t="str">
        <f>IF(M29&lt;&gt;"",M29*(Adjustment!$C$26/Adjustment!$C$25)*(Adjustment!$G$26/Adjustment!$G$38),"")</f>
        <v/>
      </c>
      <c r="P29" s="173" t="str">
        <f t="shared" si="0"/>
        <v/>
      </c>
      <c r="Q29" s="182"/>
      <c r="R29" s="170" t="str">
        <f t="shared" si="12"/>
        <v/>
      </c>
      <c r="S29">
        <f>Performance!H29</f>
        <v>0</v>
      </c>
      <c r="T29" s="117" t="e">
        <f t="shared" si="17"/>
        <v>#N/A</v>
      </c>
      <c r="U29" t="e">
        <f t="shared" si="1"/>
        <v>#N/A</v>
      </c>
      <c r="V29" t="e" cm="1">
        <f t="array" ref="V29">INDEX($S$39:$S$49,MATCH($S29,$S$39:$S$49)+1)</f>
        <v>#N/A</v>
      </c>
      <c r="W29" s="12" t="e">
        <f t="shared" si="2"/>
        <v>#N/A</v>
      </c>
      <c r="X29" s="12" t="e" cm="1">
        <f t="array" ref="X29">INDEX($T$39:$T$49,MATCH(W29,$T$39:$T$49)+1)</f>
        <v>#N/A</v>
      </c>
      <c r="Y29" s="117" t="e">
        <f t="shared" si="18"/>
        <v>#N/A</v>
      </c>
      <c r="Z29" t="e">
        <f t="shared" si="3"/>
        <v>#N/A</v>
      </c>
      <c r="AA29" t="e" cm="1">
        <f t="array" ref="AA29">INDEX($S$39:$S$49,MATCH($S29,$S$39:$S$49)+1)</f>
        <v>#N/A</v>
      </c>
      <c r="AB29" s="12" t="e">
        <f t="shared" si="4"/>
        <v>#N/A</v>
      </c>
      <c r="AC29" s="12" t="e" cm="1">
        <f t="array" ref="AC29">INDEX($U$39:$U$49,MATCH(AB29,$U$39:$U$49)+1)</f>
        <v>#N/A</v>
      </c>
      <c r="AD29" s="117" t="e">
        <f t="shared" si="19"/>
        <v>#N/A</v>
      </c>
      <c r="AE29" t="e">
        <f t="shared" si="5"/>
        <v>#N/A</v>
      </c>
      <c r="AF29" t="e" cm="1">
        <f t="array" ref="AF29">INDEX($S$39:$S$49,MATCH($S29,$S$39:$S$49)+1)</f>
        <v>#N/A</v>
      </c>
      <c r="AG29" s="12" t="e">
        <f t="shared" si="6"/>
        <v>#N/A</v>
      </c>
      <c r="AH29" s="12" t="e" cm="1">
        <f t="array" ref="AH29">INDEX($V$39:$V$49,MATCH(AG29,$V$39:$V$49)+1)</f>
        <v>#N/A</v>
      </c>
      <c r="AI29" s="117" t="e">
        <f t="shared" si="20"/>
        <v>#N/A</v>
      </c>
      <c r="AJ29" t="e">
        <f t="shared" si="7"/>
        <v>#N/A</v>
      </c>
      <c r="AK29" t="e" cm="1">
        <f t="array" ref="AK29">INDEX($S$39:$S$49,MATCH($S29,$S$39:$S$49)+1)</f>
        <v>#N/A</v>
      </c>
      <c r="AL29" s="12" t="e">
        <f t="shared" si="8"/>
        <v>#N/A</v>
      </c>
      <c r="AM29" s="12" t="e" cm="1">
        <f t="array" ref="AM29">INDEX($W$39:$W$49,MATCH(AL29,$W$39:$W$49)+1)</f>
        <v>#N/A</v>
      </c>
    </row>
    <row r="30" spans="1:39" x14ac:dyDescent="0.25">
      <c r="A30" s="76" t="str">
        <f>IF(Performance!A30&lt;&gt;"",Performance!A30,"")</f>
        <v/>
      </c>
      <c r="B30" s="77" t="str">
        <f>IF(Performance!B30&lt;&gt;"",Performance!B30,"")</f>
        <v/>
      </c>
      <c r="C30" s="77" t="str">
        <f>IF(Performance!E30&lt;&gt;"",Performance!E30,"")</f>
        <v/>
      </c>
      <c r="D30" s="77" t="str">
        <f>IF(Performance!F30&lt;&gt;"",Performance!F30,"")</f>
        <v/>
      </c>
      <c r="E30" s="34"/>
      <c r="F30" s="121"/>
      <c r="G30" s="123"/>
      <c r="H30" s="91" t="str">
        <f t="shared" si="9"/>
        <v/>
      </c>
      <c r="I30" s="41"/>
      <c r="J30" s="91" t="str">
        <f>IF($F30&lt;&gt;"",H30*(Adjustment!$C$26/(VLOOKUP($I30,Adjustment!$B$2:$D$27,2,FALSE)))*Adjustment!$G$26/VLOOKUP(Performance!$C30,Adjustment!$F$2:$I$53,2,FALSE),"")</f>
        <v/>
      </c>
      <c r="K30" s="92" t="str">
        <f t="shared" si="10"/>
        <v/>
      </c>
      <c r="L30" s="34"/>
      <c r="M30" s="149" t="str">
        <f>IF(F30&lt;&gt;"","",IF(Performance!F30="A/O or BNR 2-Stage Retrofit",T30,IF(Performance!F30="A/O or BNR 2-Stage Replace",Y30,IF(Performance!F30="A2O or BNR 3- to 5-Stage Retrofit",AD30,IF(Performance!F30="A2O or BNR 3- to 5-Stage Replace",AI30,"")))))</f>
        <v/>
      </c>
      <c r="N30" s="101" t="str">
        <f t="shared" si="11"/>
        <v/>
      </c>
      <c r="O30" s="91" t="str">
        <f>IF(M30&lt;&gt;"",M30*(Adjustment!$C$26/Adjustment!$C$25)*(Adjustment!$G$26/Adjustment!$G$38),"")</f>
        <v/>
      </c>
      <c r="P30" s="173" t="str">
        <f t="shared" si="0"/>
        <v/>
      </c>
      <c r="Q30" s="182"/>
      <c r="R30" s="170" t="str">
        <f t="shared" si="12"/>
        <v/>
      </c>
      <c r="S30">
        <f>Performance!H30</f>
        <v>0</v>
      </c>
      <c r="T30" s="117" t="e">
        <f t="shared" si="17"/>
        <v>#N/A</v>
      </c>
      <c r="U30" t="e">
        <f t="shared" si="1"/>
        <v>#N/A</v>
      </c>
      <c r="V30" t="e" cm="1">
        <f t="array" ref="V30">INDEX($S$39:$S$49,MATCH($S30,$S$39:$S$49)+1)</f>
        <v>#N/A</v>
      </c>
      <c r="W30" s="12" t="e">
        <f t="shared" si="2"/>
        <v>#N/A</v>
      </c>
      <c r="X30" s="12" t="e" cm="1">
        <f t="array" ref="X30">INDEX($T$39:$T$49,MATCH(W30,$T$39:$T$49)+1)</f>
        <v>#N/A</v>
      </c>
      <c r="Y30" s="117" t="e">
        <f t="shared" si="18"/>
        <v>#N/A</v>
      </c>
      <c r="Z30" t="e">
        <f t="shared" si="3"/>
        <v>#N/A</v>
      </c>
      <c r="AA30" t="e" cm="1">
        <f t="array" ref="AA30">INDEX($S$39:$S$49,MATCH($S30,$S$39:$S$49)+1)</f>
        <v>#N/A</v>
      </c>
      <c r="AB30" s="12" t="e">
        <f t="shared" si="4"/>
        <v>#N/A</v>
      </c>
      <c r="AC30" s="12" t="e" cm="1">
        <f t="array" ref="AC30">INDEX($U$39:$U$49,MATCH(AB30,$U$39:$U$49)+1)</f>
        <v>#N/A</v>
      </c>
      <c r="AD30" s="117" t="e">
        <f t="shared" si="19"/>
        <v>#N/A</v>
      </c>
      <c r="AE30" t="e">
        <f t="shared" si="5"/>
        <v>#N/A</v>
      </c>
      <c r="AF30" t="e" cm="1">
        <f t="array" ref="AF30">INDEX($S$39:$S$49,MATCH($S30,$S$39:$S$49)+1)</f>
        <v>#N/A</v>
      </c>
      <c r="AG30" s="12" t="e">
        <f t="shared" si="6"/>
        <v>#N/A</v>
      </c>
      <c r="AH30" s="12" t="e" cm="1">
        <f t="array" ref="AH30">INDEX($V$39:$V$49,MATCH(AG30,$V$39:$V$49)+1)</f>
        <v>#N/A</v>
      </c>
      <c r="AI30" s="117" t="e">
        <f t="shared" si="20"/>
        <v>#N/A</v>
      </c>
      <c r="AJ30" t="e">
        <f t="shared" si="7"/>
        <v>#N/A</v>
      </c>
      <c r="AK30" t="e" cm="1">
        <f t="array" ref="AK30">INDEX($S$39:$S$49,MATCH($S30,$S$39:$S$49)+1)</f>
        <v>#N/A</v>
      </c>
      <c r="AL30" s="12" t="e">
        <f t="shared" si="8"/>
        <v>#N/A</v>
      </c>
      <c r="AM30" s="12" t="e" cm="1">
        <f t="array" ref="AM30">INDEX($W$39:$W$49,MATCH(AL30,$W$39:$W$49)+1)</f>
        <v>#N/A</v>
      </c>
    </row>
    <row r="31" spans="1:39" x14ac:dyDescent="0.25">
      <c r="A31" s="76" t="str">
        <f>IF(Performance!A31&lt;&gt;"",Performance!A31,"")</f>
        <v/>
      </c>
      <c r="B31" s="77" t="str">
        <f>IF(Performance!B31&lt;&gt;"",Performance!B31,"")</f>
        <v/>
      </c>
      <c r="C31" s="77" t="str">
        <f>IF(Performance!E31&lt;&gt;"",Performance!E31,"")</f>
        <v/>
      </c>
      <c r="D31" s="77" t="str">
        <f>IF(Performance!F31&lt;&gt;"",Performance!F31,"")</f>
        <v/>
      </c>
      <c r="E31" s="34"/>
      <c r="F31" s="121"/>
      <c r="G31" s="123"/>
      <c r="H31" s="91" t="str">
        <f t="shared" si="9"/>
        <v/>
      </c>
      <c r="I31" s="41"/>
      <c r="J31" s="91" t="str">
        <f>IF($F31&lt;&gt;"",H31*(Adjustment!$C$26/(VLOOKUP($I31,Adjustment!$B$2:$D$27,2,FALSE)))*Adjustment!$G$26/VLOOKUP(Performance!$C31,Adjustment!$F$2:$I$53,2,FALSE),"")</f>
        <v/>
      </c>
      <c r="K31" s="92" t="str">
        <f t="shared" si="10"/>
        <v/>
      </c>
      <c r="L31" s="34"/>
      <c r="M31" s="149" t="str">
        <f>IF(F31&lt;&gt;"","",IF(Performance!F31="A/O or BNR 2-Stage Retrofit",T31,IF(Performance!F31="A/O or BNR 2-Stage Replace",Y31,IF(Performance!F31="A2O or BNR 3- to 5-Stage Retrofit",AD31,IF(Performance!F31="A2O or BNR 3- to 5-Stage Replace",AI31,"")))))</f>
        <v/>
      </c>
      <c r="N31" s="101" t="str">
        <f t="shared" si="11"/>
        <v/>
      </c>
      <c r="O31" s="91" t="str">
        <f>IF(M31&lt;&gt;"",M31*(Adjustment!$C$26/Adjustment!$C$25)*(Adjustment!$G$26/Adjustment!$G$38),"")</f>
        <v/>
      </c>
      <c r="P31" s="173" t="str">
        <f t="shared" si="0"/>
        <v/>
      </c>
      <c r="Q31" s="182"/>
      <c r="R31" s="170" t="str">
        <f t="shared" si="12"/>
        <v/>
      </c>
      <c r="S31">
        <f>Performance!H31</f>
        <v>0</v>
      </c>
      <c r="T31" s="117" t="e">
        <f t="shared" si="17"/>
        <v>#N/A</v>
      </c>
      <c r="U31" t="e">
        <f t="shared" si="1"/>
        <v>#N/A</v>
      </c>
      <c r="V31" t="e" cm="1">
        <f t="array" ref="V31">INDEX($S$39:$S$49,MATCH($S31,$S$39:$S$49)+1)</f>
        <v>#N/A</v>
      </c>
      <c r="W31" s="12" t="e">
        <f t="shared" si="2"/>
        <v>#N/A</v>
      </c>
      <c r="X31" s="12" t="e" cm="1">
        <f t="array" ref="X31">INDEX($T$39:$T$49,MATCH(W31,$T$39:$T$49)+1)</f>
        <v>#N/A</v>
      </c>
      <c r="Y31" s="117" t="e">
        <f t="shared" si="18"/>
        <v>#N/A</v>
      </c>
      <c r="Z31" t="e">
        <f t="shared" si="3"/>
        <v>#N/A</v>
      </c>
      <c r="AA31" t="e" cm="1">
        <f t="array" ref="AA31">INDEX($S$39:$S$49,MATCH($S31,$S$39:$S$49)+1)</f>
        <v>#N/A</v>
      </c>
      <c r="AB31" s="12" t="e">
        <f t="shared" si="4"/>
        <v>#N/A</v>
      </c>
      <c r="AC31" s="12" t="e" cm="1">
        <f t="array" ref="AC31">INDEX($U$39:$U$49,MATCH(AB31,$U$39:$U$49)+1)</f>
        <v>#N/A</v>
      </c>
      <c r="AD31" s="117" t="e">
        <f t="shared" si="19"/>
        <v>#N/A</v>
      </c>
      <c r="AE31" t="e">
        <f t="shared" si="5"/>
        <v>#N/A</v>
      </c>
      <c r="AF31" t="e" cm="1">
        <f t="array" ref="AF31">INDEX($S$39:$S$49,MATCH($S31,$S$39:$S$49)+1)</f>
        <v>#N/A</v>
      </c>
      <c r="AG31" s="12" t="e">
        <f t="shared" si="6"/>
        <v>#N/A</v>
      </c>
      <c r="AH31" s="12" t="e" cm="1">
        <f t="array" ref="AH31">INDEX($V$39:$V$49,MATCH(AG31,$V$39:$V$49)+1)</f>
        <v>#N/A</v>
      </c>
      <c r="AI31" s="117" t="e">
        <f t="shared" si="20"/>
        <v>#N/A</v>
      </c>
      <c r="AJ31" t="e">
        <f t="shared" si="7"/>
        <v>#N/A</v>
      </c>
      <c r="AK31" t="e" cm="1">
        <f t="array" ref="AK31">INDEX($S$39:$S$49,MATCH($S31,$S$39:$S$49)+1)</f>
        <v>#N/A</v>
      </c>
      <c r="AL31" s="12" t="e">
        <f t="shared" si="8"/>
        <v>#N/A</v>
      </c>
      <c r="AM31" s="12" t="e" cm="1">
        <f t="array" ref="AM31">INDEX($W$39:$W$49,MATCH(AL31,$W$39:$W$49)+1)</f>
        <v>#N/A</v>
      </c>
    </row>
    <row r="32" spans="1:39" x14ac:dyDescent="0.25">
      <c r="A32" s="76" t="str">
        <f>IF(Performance!A32&lt;&gt;"",Performance!A32,"")</f>
        <v/>
      </c>
      <c r="B32" s="77" t="str">
        <f>IF(Performance!B32&lt;&gt;"",Performance!B32,"")</f>
        <v/>
      </c>
      <c r="C32" s="77" t="str">
        <f>IF(Performance!E32&lt;&gt;"",Performance!E32,"")</f>
        <v/>
      </c>
      <c r="D32" s="77" t="str">
        <f>IF(Performance!F32&lt;&gt;"",Performance!F32,"")</f>
        <v/>
      </c>
      <c r="E32" s="34"/>
      <c r="F32" s="121"/>
      <c r="G32" s="123"/>
      <c r="H32" s="91" t="str">
        <f t="shared" si="9"/>
        <v/>
      </c>
      <c r="I32" s="41"/>
      <c r="J32" s="91" t="str">
        <f>IF($F32&lt;&gt;"",H32*(Adjustment!$C$26/(VLOOKUP($I32,Adjustment!$B$2:$D$27,2,FALSE)))*Adjustment!$G$26/VLOOKUP(Performance!$C32,Adjustment!$F$2:$I$53,2,FALSE),"")</f>
        <v/>
      </c>
      <c r="K32" s="92" t="str">
        <f t="shared" si="10"/>
        <v/>
      </c>
      <c r="L32" s="34"/>
      <c r="M32" s="149" t="str">
        <f>IF(F32&lt;&gt;"","",IF(Performance!F32="A/O or BNR 2-Stage Retrofit",T32,IF(Performance!F32="A/O or BNR 2-Stage Replace",Y32,IF(Performance!F32="A2O or BNR 3- to 5-Stage Retrofit",AD32,IF(Performance!F32="A2O or BNR 3- to 5-Stage Replace",AI32,"")))))</f>
        <v/>
      </c>
      <c r="N32" s="101" t="str">
        <f t="shared" si="11"/>
        <v/>
      </c>
      <c r="O32" s="91" t="str">
        <f>IF(M32&lt;&gt;"",M32*(Adjustment!$C$26/Adjustment!$C$25)*(Adjustment!$G$26/Adjustment!$G$38),"")</f>
        <v/>
      </c>
      <c r="P32" s="173" t="str">
        <f t="shared" si="0"/>
        <v/>
      </c>
      <c r="Q32" s="182"/>
      <c r="R32" s="170" t="str">
        <f t="shared" si="12"/>
        <v/>
      </c>
      <c r="S32">
        <f>Performance!H32</f>
        <v>0</v>
      </c>
      <c r="T32" s="117" t="e">
        <f t="shared" si="17"/>
        <v>#N/A</v>
      </c>
      <c r="U32" t="e">
        <f t="shared" si="1"/>
        <v>#N/A</v>
      </c>
      <c r="V32" t="e" cm="1">
        <f t="array" ref="V32">INDEX($S$39:$S$49,MATCH($S32,$S$39:$S$49)+1)</f>
        <v>#N/A</v>
      </c>
      <c r="W32" s="12" t="e">
        <f t="shared" si="2"/>
        <v>#N/A</v>
      </c>
      <c r="X32" s="12" t="e" cm="1">
        <f t="array" ref="X32">INDEX($T$39:$T$49,MATCH(W32,$T$39:$T$49)+1)</f>
        <v>#N/A</v>
      </c>
      <c r="Y32" s="117" t="e">
        <f t="shared" si="18"/>
        <v>#N/A</v>
      </c>
      <c r="Z32" t="e">
        <f t="shared" si="3"/>
        <v>#N/A</v>
      </c>
      <c r="AA32" t="e" cm="1">
        <f t="array" ref="AA32">INDEX($S$39:$S$49,MATCH($S32,$S$39:$S$49)+1)</f>
        <v>#N/A</v>
      </c>
      <c r="AB32" s="12" t="e">
        <f t="shared" si="4"/>
        <v>#N/A</v>
      </c>
      <c r="AC32" s="12" t="e" cm="1">
        <f t="array" ref="AC32">INDEX($U$39:$U$49,MATCH(AB32,$U$39:$U$49)+1)</f>
        <v>#N/A</v>
      </c>
      <c r="AD32" s="117" t="e">
        <f t="shared" si="19"/>
        <v>#N/A</v>
      </c>
      <c r="AE32" t="e">
        <f t="shared" si="5"/>
        <v>#N/A</v>
      </c>
      <c r="AF32" t="e" cm="1">
        <f t="array" ref="AF32">INDEX($S$39:$S$49,MATCH($S32,$S$39:$S$49)+1)</f>
        <v>#N/A</v>
      </c>
      <c r="AG32" s="12" t="e">
        <f t="shared" si="6"/>
        <v>#N/A</v>
      </c>
      <c r="AH32" s="12" t="e" cm="1">
        <f t="array" ref="AH32">INDEX($V$39:$V$49,MATCH(AG32,$V$39:$V$49)+1)</f>
        <v>#N/A</v>
      </c>
      <c r="AI32" s="117" t="e">
        <f t="shared" si="20"/>
        <v>#N/A</v>
      </c>
      <c r="AJ32" t="e">
        <f t="shared" si="7"/>
        <v>#N/A</v>
      </c>
      <c r="AK32" t="e" cm="1">
        <f t="array" ref="AK32">INDEX($S$39:$S$49,MATCH($S32,$S$39:$S$49)+1)</f>
        <v>#N/A</v>
      </c>
      <c r="AL32" s="12" t="e">
        <f t="shared" si="8"/>
        <v>#N/A</v>
      </c>
      <c r="AM32" s="12" t="e" cm="1">
        <f t="array" ref="AM32">INDEX($W$39:$W$49,MATCH(AL32,$W$39:$W$49)+1)</f>
        <v>#N/A</v>
      </c>
    </row>
    <row r="33" spans="1:39" ht="15.75" thickBot="1" x14ac:dyDescent="0.3">
      <c r="A33" s="78" t="str">
        <f>IF(Performance!A33&lt;&gt;"",Performance!A33,"")</f>
        <v/>
      </c>
      <c r="B33" s="79" t="str">
        <f>IF(Performance!B33&lt;&gt;"",Performance!B33,"")</f>
        <v/>
      </c>
      <c r="C33" s="79" t="str">
        <f>IF(Performance!E33&lt;&gt;"",Performance!E33,"")</f>
        <v/>
      </c>
      <c r="D33" s="79" t="str">
        <f>IF(Performance!F33&lt;&gt;"",Performance!F33,"")</f>
        <v/>
      </c>
      <c r="E33" s="35"/>
      <c r="F33" s="125"/>
      <c r="G33" s="124"/>
      <c r="H33" s="91" t="str">
        <f t="shared" si="9"/>
        <v/>
      </c>
      <c r="I33" s="42"/>
      <c r="J33" s="93" t="str">
        <f>IF($F33&lt;&gt;"",H33*(Adjustment!$C$26/(VLOOKUP($I33,Adjustment!$B$2:$D$27,2,FALSE)))*Adjustment!$G$26/VLOOKUP(Performance!$C33,Adjustment!$F$2:$I$53,2,FALSE),"")</f>
        <v/>
      </c>
      <c r="K33" s="94" t="str">
        <f t="shared" si="10"/>
        <v/>
      </c>
      <c r="L33" s="35"/>
      <c r="M33" s="150" t="str">
        <f>IF(F33&lt;&gt;"","",IF(Performance!F33="A/O or BNR 2-Stage Retrofit",T33,IF(Performance!F33="A/O or BNR 2-Stage Replace",Y33,IF(Performance!F33="A2O or BNR 3- to 5-Stage Retrofit",AD33,IF(Performance!F33="A2O or BNR 3- to 5-Stage Replace",AI33,"")))))</f>
        <v/>
      </c>
      <c r="N33" s="106" t="str">
        <f t="shared" si="11"/>
        <v/>
      </c>
      <c r="O33" s="93" t="str">
        <f>IF(M33&lt;&gt;"",M33*(Adjustment!$C$26/Adjustment!$C$25)*(Adjustment!$G$26/Adjustment!$G$38),"")</f>
        <v/>
      </c>
      <c r="P33" s="174" t="str">
        <f t="shared" si="0"/>
        <v/>
      </c>
      <c r="Q33" s="183"/>
      <c r="R33" s="170" t="str">
        <f t="shared" si="12"/>
        <v/>
      </c>
      <c r="S33">
        <f>Performance!H33</f>
        <v>0</v>
      </c>
      <c r="T33" s="117" t="e">
        <f t="shared" si="17"/>
        <v>#N/A</v>
      </c>
      <c r="U33" t="e">
        <f t="shared" si="1"/>
        <v>#N/A</v>
      </c>
      <c r="V33" t="e" cm="1">
        <f t="array" ref="V33">INDEX($S$39:$S$49,MATCH($S33,$S$39:$S$49)+1)</f>
        <v>#N/A</v>
      </c>
      <c r="W33" s="12" t="e">
        <f t="shared" si="2"/>
        <v>#N/A</v>
      </c>
      <c r="X33" s="12" t="e" cm="1">
        <f t="array" ref="X33">INDEX($T$39:$T$49,MATCH(W33,$T$39:$T$49)+1)</f>
        <v>#N/A</v>
      </c>
      <c r="Y33" s="117" t="e">
        <f t="shared" si="18"/>
        <v>#N/A</v>
      </c>
      <c r="Z33" t="e">
        <f t="shared" si="3"/>
        <v>#N/A</v>
      </c>
      <c r="AA33" t="e" cm="1">
        <f t="array" ref="AA33">INDEX($S$39:$S$49,MATCH($S33,$S$39:$S$49)+1)</f>
        <v>#N/A</v>
      </c>
      <c r="AB33" s="12" t="e">
        <f t="shared" si="4"/>
        <v>#N/A</v>
      </c>
      <c r="AC33" s="12" t="e" cm="1">
        <f t="array" ref="AC33">INDEX($U$39:$U$49,MATCH(AB33,$U$39:$U$49)+1)</f>
        <v>#N/A</v>
      </c>
      <c r="AD33" s="117" t="e">
        <f t="shared" si="19"/>
        <v>#N/A</v>
      </c>
      <c r="AE33" t="e">
        <f t="shared" si="5"/>
        <v>#N/A</v>
      </c>
      <c r="AF33" t="e" cm="1">
        <f t="array" ref="AF33">INDEX($S$39:$S$49,MATCH($S33,$S$39:$S$49)+1)</f>
        <v>#N/A</v>
      </c>
      <c r="AG33" s="12" t="e">
        <f t="shared" si="6"/>
        <v>#N/A</v>
      </c>
      <c r="AH33" s="12" t="e" cm="1">
        <f t="array" ref="AH33">INDEX($V$39:$V$49,MATCH(AG33,$V$39:$V$49)+1)</f>
        <v>#N/A</v>
      </c>
      <c r="AI33" s="117" t="e">
        <f t="shared" si="20"/>
        <v>#N/A</v>
      </c>
      <c r="AJ33" t="e">
        <f t="shared" si="7"/>
        <v>#N/A</v>
      </c>
      <c r="AK33" t="e" cm="1">
        <f t="array" ref="AK33">INDEX($S$39:$S$49,MATCH($S33,$S$39:$S$49)+1)</f>
        <v>#N/A</v>
      </c>
      <c r="AL33" s="12" t="e">
        <f t="shared" si="8"/>
        <v>#N/A</v>
      </c>
      <c r="AM33" s="12" t="e" cm="1">
        <f t="array" ref="AM33">INDEX($W$39:$W$49,MATCH(AL33,$W$39:$W$49)+1)</f>
        <v>#N/A</v>
      </c>
    </row>
    <row r="34" spans="1:39" ht="15.75" thickTop="1" x14ac:dyDescent="0.25"/>
    <row r="36" spans="1:39" x14ac:dyDescent="0.25">
      <c r="T36" s="2" t="s">
        <v>183</v>
      </c>
      <c r="Y36" s="2" t="s">
        <v>160</v>
      </c>
    </row>
    <row r="37" spans="1:39" x14ac:dyDescent="0.25">
      <c r="T37" s="2"/>
      <c r="Y37" s="2"/>
    </row>
    <row r="38" spans="1:39" x14ac:dyDescent="0.25">
      <c r="T38" s="2" t="s">
        <v>151</v>
      </c>
      <c r="U38" s="2" t="s">
        <v>150</v>
      </c>
      <c r="V38" s="2" t="s">
        <v>153</v>
      </c>
      <c r="W38" s="2" t="s">
        <v>152</v>
      </c>
    </row>
    <row r="39" spans="1:39" x14ac:dyDescent="0.25">
      <c r="S39" s="2">
        <v>0.5</v>
      </c>
      <c r="T39" s="146">
        <v>217720.88633088517</v>
      </c>
      <c r="U39" s="146">
        <v>870883.54532354069</v>
      </c>
      <c r="V39" s="146">
        <v>1430332.9330895599</v>
      </c>
      <c r="W39" s="146">
        <v>2429081.5134236766</v>
      </c>
      <c r="AA39" s="2" t="s">
        <v>151</v>
      </c>
      <c r="AB39" s="2" t="s">
        <v>150</v>
      </c>
      <c r="AC39" s="2" t="s">
        <v>153</v>
      </c>
      <c r="AD39" s="2" t="s">
        <v>152</v>
      </c>
    </row>
    <row r="40" spans="1:39" x14ac:dyDescent="0.25">
      <c r="S40" s="2">
        <v>0.75</v>
      </c>
      <c r="T40" s="146">
        <v>285220.44016152946</v>
      </c>
      <c r="U40" s="146">
        <v>1140881.7606461179</v>
      </c>
      <c r="V40" s="146">
        <v>1732403.582268148</v>
      </c>
      <c r="W40" s="146">
        <v>2946726.0729314061</v>
      </c>
      <c r="Y40" s="118" t="s">
        <v>126</v>
      </c>
      <c r="Z40" s="118" t="s">
        <v>118</v>
      </c>
      <c r="AA40" s="118">
        <v>7.7</v>
      </c>
      <c r="AB40" s="118">
        <v>7.7</v>
      </c>
      <c r="AC40" s="118">
        <v>7.7</v>
      </c>
      <c r="AD40" s="118">
        <v>7.7</v>
      </c>
    </row>
    <row r="41" spans="1:39" x14ac:dyDescent="0.25">
      <c r="S41" s="2">
        <v>1</v>
      </c>
      <c r="T41" s="146">
        <v>358586.45769445703</v>
      </c>
      <c r="U41" s="146">
        <v>1434345.8307778281</v>
      </c>
      <c r="V41" s="146">
        <v>2049056.482077763</v>
      </c>
      <c r="W41" s="146">
        <v>3487924.5033982713</v>
      </c>
      <c r="Y41" s="116" t="s">
        <v>182</v>
      </c>
      <c r="Z41" s="116" t="s">
        <v>119</v>
      </c>
      <c r="AA41" s="117">
        <f>AA44+(AA40-AA42)*((AA45-AA44)/(AA43-AA42))</f>
        <v>2283640.12</v>
      </c>
      <c r="AB41" s="117">
        <f>AB44+(AB40-AB42)*((AB45-AB44)/(AB43-AB42))</f>
        <v>9134558.8000000007</v>
      </c>
      <c r="AC41" s="117">
        <f t="shared" ref="AC41:AD41" si="21">AC44+(AC40-AC42)*((AC45-AC44)/(AC43-AC42))</f>
        <v>9924967.2400000002</v>
      </c>
      <c r="AD41" s="117">
        <f t="shared" si="21"/>
        <v>18041695.52</v>
      </c>
    </row>
    <row r="42" spans="1:39" x14ac:dyDescent="0.25">
      <c r="S42" s="2">
        <v>2.5</v>
      </c>
      <c r="T42" s="146">
        <v>903617</v>
      </c>
      <c r="U42" s="146">
        <v>3614470</v>
      </c>
      <c r="V42" s="146">
        <v>4204699</v>
      </c>
      <c r="W42" s="146">
        <v>7474667</v>
      </c>
      <c r="Z42" t="s">
        <v>120</v>
      </c>
      <c r="AA42">
        <f>VLOOKUP(AA40,$S$39:$S$49,1,TRUE)</f>
        <v>7.5</v>
      </c>
      <c r="AB42">
        <f t="shared" ref="AB42:AD42" si="22">VLOOKUP(AB40,$S$39:$S$49,1,TRUE)</f>
        <v>7.5</v>
      </c>
      <c r="AC42">
        <f t="shared" si="22"/>
        <v>7.5</v>
      </c>
      <c r="AD42">
        <f t="shared" si="22"/>
        <v>7.5</v>
      </c>
    </row>
    <row r="43" spans="1:39" x14ac:dyDescent="0.25">
      <c r="S43" s="2">
        <v>5</v>
      </c>
      <c r="T43" s="12">
        <v>1645895</v>
      </c>
      <c r="U43" s="146">
        <v>6583580</v>
      </c>
      <c r="V43" s="12">
        <v>7448159</v>
      </c>
      <c r="W43" s="146">
        <v>13481444</v>
      </c>
      <c r="Z43" t="s">
        <v>122</v>
      </c>
      <c r="AA43" cm="1">
        <f t="array" ref="AA43">INDEX($S$39:$S$49,MATCH(AA40,$S$39:$S$49)+1)</f>
        <v>10</v>
      </c>
      <c r="AB43" cm="1">
        <f t="array" ref="AB43">INDEX($S$39:$S$49,MATCH(AB40,$S$39:$S$49)+1)</f>
        <v>10</v>
      </c>
      <c r="AC43" cm="1">
        <f t="array" ref="AC43">INDEX($S$39:$S$49,MATCH(AC40,$S$39:$S$49)+1)</f>
        <v>10</v>
      </c>
      <c r="AD43" cm="1">
        <f t="array" ref="AD43">INDEX($S$39:$S$49,MATCH(AD40,$S$39:$S$49)+1)</f>
        <v>10</v>
      </c>
    </row>
    <row r="44" spans="1:39" x14ac:dyDescent="0.25">
      <c r="S44" s="2">
        <v>7.5</v>
      </c>
      <c r="T44" s="12">
        <v>2239233</v>
      </c>
      <c r="U44" s="12">
        <v>8956930</v>
      </c>
      <c r="V44" s="12">
        <v>9685485</v>
      </c>
      <c r="W44" s="12">
        <v>17583050</v>
      </c>
      <c r="Z44" t="s">
        <v>121</v>
      </c>
      <c r="AA44" s="12">
        <f>VLOOKUP(AA40,S39:T49,2,TRUE)</f>
        <v>2239233</v>
      </c>
      <c r="AB44" s="12">
        <f>VLOOKUP(AB40,S39:U49,3,TRUE)</f>
        <v>8956930</v>
      </c>
      <c r="AC44" s="12">
        <f>VLOOKUP(AC40,S39:V49,4,TRUE)</f>
        <v>9685485</v>
      </c>
      <c r="AD44" s="12">
        <f>VLOOKUP(AD40,S39:W49,5,TRUE)</f>
        <v>17583050</v>
      </c>
    </row>
    <row r="45" spans="1:39" x14ac:dyDescent="0.25">
      <c r="S45" s="2">
        <v>10</v>
      </c>
      <c r="T45" s="12">
        <v>2794322</v>
      </c>
      <c r="U45" s="12">
        <v>11177290</v>
      </c>
      <c r="V45" s="12">
        <v>12679013</v>
      </c>
      <c r="W45" s="12">
        <v>23316119</v>
      </c>
      <c r="Z45" t="s">
        <v>123</v>
      </c>
      <c r="AA45" s="12" cm="1">
        <f t="array" ref="AA45">INDEX(T39:T49,MATCH(AA44,T39:T49)+1)</f>
        <v>2794322</v>
      </c>
      <c r="AB45" s="12" cm="1">
        <f t="array" ref="AB45">INDEX(U39:U49,MATCH(AB44,U39:U49)+1)</f>
        <v>11177290</v>
      </c>
      <c r="AC45" s="12" cm="1">
        <f t="array" ref="AC45">INDEX(V39:V49,MATCH(AC44,V39:V49)+1)</f>
        <v>12679013</v>
      </c>
      <c r="AD45" s="12" cm="1">
        <f t="array" ref="AD45">INDEX(W39:W49,MATCH(AD44,W39:W49)+1)</f>
        <v>23316119</v>
      </c>
    </row>
    <row r="46" spans="1:39" x14ac:dyDescent="0.25">
      <c r="S46" s="2">
        <v>20</v>
      </c>
      <c r="T46" s="12">
        <v>4853226</v>
      </c>
      <c r="U46" s="12">
        <v>19412904</v>
      </c>
      <c r="V46" s="12">
        <v>21749248</v>
      </c>
      <c r="W46" s="12">
        <v>39836576</v>
      </c>
    </row>
    <row r="47" spans="1:39" x14ac:dyDescent="0.25">
      <c r="S47" s="2">
        <v>30</v>
      </c>
      <c r="T47" s="12">
        <v>6793384</v>
      </c>
      <c r="U47" s="12">
        <v>27173537</v>
      </c>
      <c r="V47" s="12">
        <v>31141519</v>
      </c>
      <c r="W47" s="12">
        <v>56582936</v>
      </c>
    </row>
    <row r="48" spans="1:39" x14ac:dyDescent="0.25">
      <c r="S48" s="2">
        <v>40</v>
      </c>
      <c r="T48" s="12">
        <v>8634434</v>
      </c>
      <c r="U48" s="12">
        <v>34537735</v>
      </c>
      <c r="V48" s="12">
        <v>39888668</v>
      </c>
      <c r="W48" s="12">
        <v>72705999</v>
      </c>
    </row>
    <row r="49" spans="19:23" x14ac:dyDescent="0.25">
      <c r="S49" s="2">
        <v>50</v>
      </c>
      <c r="T49" s="12">
        <v>10334334</v>
      </c>
      <c r="U49" s="12">
        <v>41337335</v>
      </c>
      <c r="V49" s="12">
        <v>47608053</v>
      </c>
      <c r="W49" s="12">
        <v>87008214</v>
      </c>
    </row>
  </sheetData>
  <autoFilter ref="A1:Q49" xr:uid="{A8132E2C-20EC-45A3-B76A-05B7E8680B86}"/>
  <conditionalFormatting sqref="F2:F33">
    <cfRule type="containsBlanks" dxfId="5" priority="2">
      <formula>LEN(TRIM(F2))=0</formula>
    </cfRule>
  </conditionalFormatting>
  <conditionalFormatting sqref="G2:K33">
    <cfRule type="expression" dxfId="4" priority="3">
      <formula>$F2=""</formula>
    </cfRule>
  </conditionalFormatting>
  <conditionalFormatting sqref="N2:P33">
    <cfRule type="expression" dxfId="3" priority="1">
      <formula>$M2=""</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956AF9A7-E18B-438D-B005-899E71DD50C1}">
          <x14:formula1>
            <xm:f>Adjustment!$B$2:$B$27</xm:f>
          </x14:formula1>
          <xm:sqref>L2:L33 I2:I33 E2:E33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5B6BA-D6AD-418D-95F3-F4A28F59A6EB}">
  <dimension ref="A1:AN49"/>
  <sheetViews>
    <sheetView workbookViewId="0">
      <pane xSplit="2" ySplit="1" topLeftCell="P2" activePane="bottomRight" state="frozen"/>
      <selection pane="topRight" activeCell="C1" sqref="C1"/>
      <selection pane="bottomLeft" activeCell="A2" sqref="A2"/>
      <selection pane="bottomRight" sqref="A1:V1048576"/>
    </sheetView>
  </sheetViews>
  <sheetFormatPr defaultRowHeight="15" x14ac:dyDescent="0.25"/>
  <cols>
    <col min="1" max="1" width="11.5703125" customWidth="1"/>
    <col min="2" max="2" width="23.5703125" customWidth="1"/>
    <col min="3" max="3" width="18.5703125" style="1" customWidth="1"/>
    <col min="4" max="4" width="30.5703125" style="1" customWidth="1"/>
    <col min="5" max="5" width="1.7109375" customWidth="1"/>
    <col min="6" max="6" width="16.28515625" customWidth="1"/>
    <col min="7" max="7" width="10.5703125" customWidth="1"/>
    <col min="8" max="8" width="15.5703125" customWidth="1"/>
    <col min="9" max="9" width="1.7109375" customWidth="1"/>
    <col min="10" max="10" width="16.28515625" customWidth="1"/>
    <col min="11" max="11" width="11.28515625" customWidth="1"/>
    <col min="12" max="12" width="16.42578125" customWidth="1"/>
    <col min="13" max="13" width="12.42578125" customWidth="1"/>
    <col min="14" max="17" width="15.5703125" customWidth="1"/>
    <col min="18" max="18" width="1.7109375" customWidth="1"/>
    <col min="19" max="19" width="17.5703125" customWidth="1"/>
    <col min="20" max="20" width="11.28515625" customWidth="1"/>
    <col min="21" max="21" width="15.140625" bestFit="1" customWidth="1"/>
    <col min="22" max="22" width="29.85546875" style="1" customWidth="1"/>
    <col min="23" max="23" width="6.7109375" hidden="1" customWidth="1"/>
    <col min="24" max="24" width="4.7109375" hidden="1" customWidth="1"/>
    <col min="25" max="25" width="5" hidden="1" customWidth="1"/>
    <col min="26" max="26" width="10" hidden="1" customWidth="1"/>
    <col min="27" max="27" width="18.28515625" hidden="1" customWidth="1"/>
    <col min="28" max="28" width="4.85546875" hidden="1" customWidth="1"/>
    <col min="29" max="29" width="9.7109375" hidden="1" customWidth="1"/>
    <col min="30" max="30" width="5.140625" hidden="1" customWidth="1"/>
    <col min="31" max="31" width="17.5703125" hidden="1" customWidth="1"/>
    <col min="32" max="32" width="9.7109375" hidden="1" customWidth="1"/>
    <col min="33" max="33" width="15.42578125" hidden="1" customWidth="1"/>
    <col min="34" max="34" width="2.140625" hidden="1" customWidth="1"/>
    <col min="35" max="35" width="9.7109375" hidden="1" customWidth="1"/>
    <col min="36" max="36" width="20.5703125" hidden="1" customWidth="1"/>
    <col min="37" max="37" width="5.140625" hidden="1" customWidth="1"/>
    <col min="38" max="38" width="10.85546875" hidden="1" customWidth="1"/>
    <col min="39" max="39" width="9.7109375" hidden="1" customWidth="1"/>
    <col min="40" max="40" width="15.42578125" bestFit="1" customWidth="1"/>
  </cols>
  <sheetData>
    <row r="1" spans="1:39" ht="121.5" thickTop="1" thickBot="1" x14ac:dyDescent="0.3">
      <c r="A1" s="85" t="s">
        <v>0</v>
      </c>
      <c r="B1" s="86" t="s">
        <v>1</v>
      </c>
      <c r="C1" s="70" t="s">
        <v>11</v>
      </c>
      <c r="D1" s="46" t="s">
        <v>243</v>
      </c>
      <c r="E1" s="136"/>
      <c r="F1" s="87" t="s">
        <v>171</v>
      </c>
      <c r="G1" s="87" t="s">
        <v>173</v>
      </c>
      <c r="H1" s="140" t="s">
        <v>172</v>
      </c>
      <c r="I1" s="32"/>
      <c r="J1" s="87" t="s">
        <v>174</v>
      </c>
      <c r="K1" s="87" t="s">
        <v>176</v>
      </c>
      <c r="L1" s="87" t="s">
        <v>175</v>
      </c>
      <c r="M1" s="87" t="s">
        <v>177</v>
      </c>
      <c r="N1" s="140" t="s">
        <v>161</v>
      </c>
      <c r="O1" s="140" t="s">
        <v>162</v>
      </c>
      <c r="P1" s="87" t="s">
        <v>178</v>
      </c>
      <c r="Q1" s="140" t="s">
        <v>172</v>
      </c>
      <c r="R1" s="32"/>
      <c r="S1" s="88" t="s">
        <v>179</v>
      </c>
      <c r="T1" s="88" t="s">
        <v>312</v>
      </c>
      <c r="U1" s="171" t="s">
        <v>180</v>
      </c>
      <c r="V1" s="176" t="s">
        <v>154</v>
      </c>
      <c r="W1" t="s">
        <v>93</v>
      </c>
      <c r="X1" t="s">
        <v>94</v>
      </c>
      <c r="Y1" t="s">
        <v>95</v>
      </c>
      <c r="Z1" t="s">
        <v>96</v>
      </c>
      <c r="AA1" t="s">
        <v>184</v>
      </c>
      <c r="AH1" s="142"/>
    </row>
    <row r="2" spans="1:39" ht="30.75" thickTop="1" x14ac:dyDescent="0.25">
      <c r="A2" s="74" t="str">
        <f>IF(Performance!A2&lt;&gt;"",Performance!A2,"")</f>
        <v>IA0029025</v>
      </c>
      <c r="B2" s="75" t="str">
        <f>IF(Performance!B2&lt;&gt;"",Performance!B2,"")</f>
        <v>City of Atlantic WWTP</v>
      </c>
      <c r="C2" s="75" t="str">
        <f>IF(Performance!E2&lt;&gt;"",Performance!E2,"")</f>
        <v>BNR [Total Nitrogen]</v>
      </c>
      <c r="D2" s="75" t="str">
        <f>IF(Performance!F2&lt;&gt;"",Performance!F2,"")</f>
        <v>A2O or BNR 3- to 5-Stage Replace</v>
      </c>
      <c r="E2" s="137"/>
      <c r="F2" s="154"/>
      <c r="G2" s="155"/>
      <c r="H2" s="156" t="str">
        <f>IF($F2&lt;&gt;"",$F2*Adjustment!$D$26/(VLOOKUP($G2,Adjustment!$B$2:$D$27,3,FALSE))*((0.6*Adjustment!$H$26/(VLOOKUP(Performance!$C2,Adjustment!$F$2:$I$53,3,FALSE)))+(0.4*Adjustment!$I$26/(VLOOKUP(Performance!$C2,Adjustment!$F$2:$I$53,4,FALSE)))),"")</f>
        <v/>
      </c>
      <c r="I2" s="157"/>
      <c r="J2" s="154"/>
      <c r="K2" s="155"/>
      <c r="L2" s="154"/>
      <c r="M2" s="155"/>
      <c r="N2" s="156" t="str">
        <f>IF($J2&lt;&gt;"",$J2*Adjustment!$D$26/(VLOOKUP($K2,Adjustment!$B$2:$D$27,3,FALSE))*((0.6*Adjustment!$H$26/(VLOOKUP(Performance!$C2,Adjustment!$F$2:$I$53,3,FALSE)))+(0.4*Adjustment!$I$26/(VLOOKUP(Performance!$C2,Adjustment!$F$2:$I$53,4,FALSE)))),"")</f>
        <v/>
      </c>
      <c r="O2" s="156" t="str">
        <f>IF($L2&lt;&gt;"",$L2*Adjustment!$D$26/(VLOOKUP(M2,Adjustment!$B$2:$D$27,3,FALSE))*((0.6*Adjustment!$H$26/(VLOOKUP(Performance!$C2,Adjustment!$F$2:$I$53,3,FALSE)))+(0.4*Adjustment!$I$26/(VLOOKUP(Performance!$C2,Adjustment!$F$2:$I$53,4,FALSE)))),"")</f>
        <v/>
      </c>
      <c r="P2" s="158"/>
      <c r="Q2" s="156" t="str">
        <f>IF(AND(O2&lt;&gt;"",N2&lt;&gt;""),(O2-N2)*P2,"")</f>
        <v/>
      </c>
      <c r="R2" s="33"/>
      <c r="S2" s="151">
        <f>IF(A2="","",(IF(OR(F2&lt;&gt;"",J2&lt;&gt;""),"",Z2*(IF(Performance!F2="A/O or BNR 2-Stage Retrofit",'Estimated O&amp;M Cost'!AC2,IF(Performance!F2="A/O or BNR 2-Stage Replace",'Estimated O&amp;M Cost'!AC2,IF(Performance!F2="A2O or BNR 3- to 5-Stage Retrofit",'Estimated O&amp;M Cost'!AI2,IF(Performance!F2="A2O or BNR 3- to 5-Stage Replace",'Estimated O&amp;M Cost'!AI2,""))))))))</f>
        <v>401694.79072117194</v>
      </c>
      <c r="T2" s="141">
        <f>IF(S2&lt;&gt;"",2022,"")</f>
        <v>2022</v>
      </c>
      <c r="U2" s="177">
        <f>IF(S2&lt;&gt;"",S2*(Adjustment!$D$26/Adjustment!$D$25)*((0.6*Adjustment!$H$26/Adjustment!$H$38)+(0.4*Adjustment!$I$26/Adjustment!$I$38)),"")</f>
        <v>494890.5597892534</v>
      </c>
      <c r="V2" s="180" t="s">
        <v>212</v>
      </c>
      <c r="W2">
        <f>IF(Performance!F2="",0,IF(Performance!F2="A/O or BNR 2-Stage Retrofit",1,IF(Performance!F2="A/O or BNR 2-Stage Replace",1,3)))</f>
        <v>3</v>
      </c>
      <c r="X2">
        <f>IF(Performance!G2="",0,IF(Performance!G2&lt;=10,10,IF(Performance!G2&gt;10,30)))</f>
        <v>10</v>
      </c>
      <c r="Y2">
        <f t="shared" ref="Y2" si="0">SUM(W2:X2)</f>
        <v>13</v>
      </c>
      <c r="Z2" s="28">
        <f>IF(Y2=11,'Incremental O&amp;M OH 2022'!$N$52,IF(Y2=13,'Incremental O&amp;M OH 2022'!$N$53,IF(Y2=31,'Incremental O&amp;M OH 2022'!$N$55,IF(Y2=33,'Incremental O&amp;M OH 2022'!$N$56,""))))</f>
        <v>0.13682407306574235</v>
      </c>
      <c r="AA2" s="12">
        <f>IF(H2&lt;&gt;"",H2,IF(Q2&lt;&gt;"",Q2,IF(U2&lt;&gt;"",U2,"")))</f>
        <v>494890.5597892534</v>
      </c>
      <c r="AB2" s="118">
        <f>IF(Performance!G2&lt;0.5,0.5,Performance!G2)</f>
        <v>7.7</v>
      </c>
      <c r="AC2" s="117">
        <f t="shared" ref="AC2" si="1">AF2+(AB2-AD2)*((AG2-AF2)/(AE2-AD2))</f>
        <v>2706750.36</v>
      </c>
      <c r="AD2">
        <f t="shared" ref="AD2:AD33" si="2">VLOOKUP(AB2,$AB$39:$AB$49,1,TRUE)</f>
        <v>7.5</v>
      </c>
      <c r="AE2" cm="1">
        <f t="array" ref="AE2">INDEX($AB$39:$AB$49,MATCH(AB2,$AB$39:$AB$49)+1)</f>
        <v>10</v>
      </c>
      <c r="AF2" s="12">
        <f t="shared" ref="AF2:AF33" si="3">VLOOKUP(AB2,$AB$39:$AE$49,4,TRUE)</f>
        <v>2665819</v>
      </c>
      <c r="AG2" s="12" cm="1">
        <f t="array" ref="AG2">INDEX($AE$39:$AE$49,MATCH(AF2,$AE$39:$AE$49)+1)</f>
        <v>3177461</v>
      </c>
      <c r="AH2" s="142"/>
      <c r="AI2" s="117">
        <f>AL2+(AB2-AJ2)*((AM2-AL2)/(AK2-AJ2))</f>
        <v>2935848.8</v>
      </c>
      <c r="AJ2">
        <f t="shared" ref="AJ2:AJ33" si="4">VLOOKUP(AB2,$AB$39:$AB$49,1,TRUE)</f>
        <v>7.5</v>
      </c>
      <c r="AK2" cm="1">
        <f t="array" ref="AK2">INDEX($AB$39:$AB$49,MATCH(AB2,$AB$39:$AB$49)+1)</f>
        <v>10</v>
      </c>
      <c r="AL2" s="12">
        <f t="shared" ref="AL2:AL33" si="5">VLOOKUP(AB2,$AB$39:$AG$49,6,TRUE)</f>
        <v>2892140</v>
      </c>
      <c r="AM2" s="12" cm="1">
        <f t="array" ref="AM2">INDEX($AG$39:$AG$49,MATCH(AL2,$AG$39:$AG$49)+1)</f>
        <v>3438500</v>
      </c>
    </row>
    <row r="3" spans="1:39" ht="105" x14ac:dyDescent="0.25">
      <c r="A3" s="76" t="str">
        <f>IF(Performance!A3&lt;&gt;"",Performance!A3,"")</f>
        <v>MN0020192</v>
      </c>
      <c r="B3" s="77" t="str">
        <f>IF(Performance!B3&lt;&gt;"",Performance!B3,"")</f>
        <v>Detroit Lakes WRF</v>
      </c>
      <c r="C3" s="77" t="str">
        <f>IF(Performance!E3&lt;&gt;"",Performance!E3,"")</f>
        <v>Membrane Bioreactor with Bio-P [Phosphorus]</v>
      </c>
      <c r="D3" s="77" t="str">
        <f>IF(Performance!F3&lt;&gt;"",Performance!F3,"")</f>
        <v>NA</v>
      </c>
      <c r="E3" s="138"/>
      <c r="F3" s="159"/>
      <c r="G3" s="160"/>
      <c r="H3" s="161" t="str">
        <f>IF($F3&lt;&gt;"",$F3*Adjustment!$D$26/(VLOOKUP($G3,Adjustment!$B$2:$D$27,3,FALSE))*((0.6*Adjustment!$H$26/(VLOOKUP(Performance!$C3,Adjustment!$F$2:$I$53,3,FALSE)))+(0.4*Adjustment!$I$26/(VLOOKUP(Performance!$C3,Adjustment!$F$2:$I$53,4,FALSE)))),"")</f>
        <v/>
      </c>
      <c r="I3" s="162"/>
      <c r="J3" s="159">
        <v>650000</v>
      </c>
      <c r="K3" s="160">
        <v>2023</v>
      </c>
      <c r="L3" s="159">
        <v>1000000</v>
      </c>
      <c r="M3" s="160">
        <v>2024</v>
      </c>
      <c r="N3" s="161">
        <f>IF($J3&lt;&gt;"",$J3*Adjustment!$D$26/(VLOOKUP($K3,Adjustment!$B$2:$D$27,3,FALSE))*((0.6*Adjustment!$H$26/(VLOOKUP(Performance!$C3,Adjustment!$F$2:$I$53,3,FALSE)))+(0.4*Adjustment!$I$26/(VLOOKUP(Performance!$C3,Adjustment!$F$2:$I$53,4,FALSE)))),"")</f>
        <v>650000</v>
      </c>
      <c r="O3" s="161">
        <f>IF(L3&lt;&gt;"",L3*Adjustment!$D$26/(VLOOKUP(M3,Adjustment!$B$2:$D$27,3,FALSE))*((0.6*Adjustment!$H$26/(VLOOKUP(Performance!$C3,Adjustment!$F$2:$I$53,3,FALSE)))+(0.4*Adjustment!$I$26/(VLOOKUP(Performance!$C3,Adjustment!$F$2:$I$53,4,FALSE)))),"")</f>
        <v>978841.78167728719</v>
      </c>
      <c r="P3" s="163">
        <v>0.4</v>
      </c>
      <c r="Q3" s="161">
        <f t="shared" ref="Q3:Q33" si="6">IF(AND(O3&lt;&gt;"",N3&lt;&gt;""),(O3-N3)*P3,"")</f>
        <v>131536.71267091489</v>
      </c>
      <c r="R3" s="34"/>
      <c r="S3" s="152" t="str">
        <f>IF(A3="","",(IF(OR(F3&lt;&gt;"",J3&lt;&gt;""),"",Z3*(IF(Performance!F3="A/O or BNR 2-Stage Retrofit",'Estimated O&amp;M Cost'!AC3,IF(Performance!F3="A/O or BNR 2-Stage Replace",'Estimated O&amp;M Cost'!AC3,IF(Performance!F3="A2O or BNR 3- to 5-Stage Retrofit",'Estimated O&amp;M Cost'!AI3,IF(Performance!F3="A2O or BNR 3- to 5-Stage Replace",'Estimated O&amp;M Cost'!AI3,""))))))))</f>
        <v/>
      </c>
      <c r="T3" s="101" t="str">
        <f t="shared" ref="T3:T33" si="7">IF(S3&lt;&gt;"",2022,"")</f>
        <v/>
      </c>
      <c r="U3" s="178" t="str">
        <f>IF(S3&lt;&gt;"",S3*(Adjustment!$D$26/Adjustment!$D$25)*((0.6*Adjustment!$H$26/Adjustment!$H$38)+(0.4*Adjustment!$I$26/Adjustment!$I$38)),"")</f>
        <v/>
      </c>
      <c r="V3" s="180" t="s">
        <v>193</v>
      </c>
      <c r="W3">
        <f>IF(Performance!F3="",0,IF(Performance!F3="A/O or BNR 2-Stage Retrofit",1,IF(Performance!F3="A/O or BNR 2-Stage Replace",1,3)))</f>
        <v>3</v>
      </c>
      <c r="X3">
        <f>IF(Performance!G3="",0,IF(Performance!G3&lt;=10,10,IF(Performance!G3&gt;10,30)))</f>
        <v>10</v>
      </c>
      <c r="Y3">
        <f t="shared" ref="Y3:Y33" si="8">SUM(W3:X3)</f>
        <v>13</v>
      </c>
      <c r="Z3" s="28">
        <f>IF(Y3=11,'Incremental O&amp;M OH 2022'!$N$52,IF(Y3=13,'Incremental O&amp;M OH 2022'!$N$53,IF(Y3=31,'Incremental O&amp;M OH 2022'!$N$55,IF(Y3=33,'Incremental O&amp;M OH 2022'!$N$56,""))))</f>
        <v>0.13682407306574235</v>
      </c>
      <c r="AA3" s="12">
        <f t="shared" ref="AA3:AA33" si="9">IF(H3&lt;&gt;"",H3,IF(Q3&lt;&gt;"",Q3,IF(U3&lt;&gt;"",U3,"")))</f>
        <v>131536.71267091489</v>
      </c>
      <c r="AB3" s="118">
        <f>IF(Performance!G3&lt;0.5,0.5,Performance!G3)</f>
        <v>1.08</v>
      </c>
      <c r="AC3" s="117">
        <f t="shared" ref="AC3:AC33" si="10">AF3+(AB3-AD3)*((AG3-AF3)/(AE3-AD3))</f>
        <v>997600.8666666667</v>
      </c>
      <c r="AD3">
        <f t="shared" si="2"/>
        <v>1</v>
      </c>
      <c r="AE3" cm="1">
        <f t="array" ref="AE3">INDEX($AB$39:$AB$49,MATCH(AB3,$AB$39:$AB$49)+1)</f>
        <v>2.5</v>
      </c>
      <c r="AF3" s="12">
        <f t="shared" si="3"/>
        <v>972687</v>
      </c>
      <c r="AG3" s="12" cm="1">
        <f t="array" ref="AG3">INDEX($AE$39:$AE$49,MATCH(AF3,$AE$39:$AE$49)+1)</f>
        <v>1439822</v>
      </c>
      <c r="AH3" s="142"/>
      <c r="AI3" s="117">
        <f t="shared" ref="AI3:AI33" si="11">AL3+(AB3-AJ3)*((AM3-AL3)/(AK3-AJ3))</f>
        <v>1097930.2666666666</v>
      </c>
      <c r="AJ3">
        <f t="shared" si="4"/>
        <v>1</v>
      </c>
      <c r="AK3" cm="1">
        <f t="array" ref="AK3">INDEX($AB$39:$AB$49,MATCH(AB3,$AB$39:$AB$49)+1)</f>
        <v>2.5</v>
      </c>
      <c r="AL3" s="12">
        <f t="shared" si="5"/>
        <v>1073354</v>
      </c>
      <c r="AM3" s="12" cm="1">
        <f t="array" ref="AM3">INDEX($AG$39:$AG$49,MATCH(AL3,$AG$39:$AG$49)+1)</f>
        <v>1534159</v>
      </c>
    </row>
    <row r="4" spans="1:39" ht="60" x14ac:dyDescent="0.25">
      <c r="A4" s="76" t="str">
        <f>IF(Performance!A4&lt;&gt;"",Performance!A4,"")</f>
        <v>MN0030066</v>
      </c>
      <c r="B4" s="77" t="str">
        <f>IF(Performance!B4&lt;&gt;"",Performance!B4,"")</f>
        <v>New Ulm WWTP</v>
      </c>
      <c r="C4" s="77" t="str">
        <f>IF(Performance!E4&lt;&gt;"",Performance!E4,"")</f>
        <v>Biological Phosphorus Removal [Phosphorus]</v>
      </c>
      <c r="D4" s="77" t="str">
        <f>IF(Performance!F4&lt;&gt;"",Performance!F4,"")</f>
        <v>A/O or BNR 2-Stage Replace</v>
      </c>
      <c r="E4" s="138"/>
      <c r="F4" s="159"/>
      <c r="G4" s="160"/>
      <c r="H4" s="161" t="str">
        <f>IF($F4&lt;&gt;"",$F4*Adjustment!$D$26/(VLOOKUP($G4,Adjustment!$B$2:$D$27,3,FALSE))*((0.6*Adjustment!$H$26/(VLOOKUP(Performance!$C4,Adjustment!$F$2:$I$53,3,FALSE)))+(0.4*Adjustment!$I$26/(VLOOKUP(Performance!$C4,Adjustment!$F$2:$I$53,4,FALSE)))),"")</f>
        <v/>
      </c>
      <c r="I4" s="162"/>
      <c r="J4" s="159"/>
      <c r="K4" s="160"/>
      <c r="L4" s="159"/>
      <c r="M4" s="160"/>
      <c r="N4" s="161" t="str">
        <f>IF($J4&lt;&gt;"",$J4*Adjustment!$D$26/(VLOOKUP($K4,Adjustment!$B$2:$D$27,3,FALSE))*((0.6*Adjustment!$H$26/(VLOOKUP(Performance!$C4,Adjustment!$F$2:$I$53,3,FALSE)))+(0.4*Adjustment!$I$26/(VLOOKUP(Performance!$C4,Adjustment!$F$2:$I$53,4,FALSE)))),"")</f>
        <v/>
      </c>
      <c r="O4" s="161" t="str">
        <f>IF(L4&lt;&gt;"",L4*Adjustment!$D$26/(VLOOKUP(M4,Adjustment!$B$2:$D$27,3,FALSE))*((0.6*Adjustment!$H$26/(VLOOKUP(Performance!$C4,Adjustment!$F$2:$I$53,3,FALSE)))+(0.4*Adjustment!$I$26/(VLOOKUP(Performance!$C4,Adjustment!$F$2:$I$53,4,FALSE)))),"")</f>
        <v/>
      </c>
      <c r="P4" s="163"/>
      <c r="Q4" s="161" t="str">
        <f t="shared" si="6"/>
        <v/>
      </c>
      <c r="R4" s="34"/>
      <c r="S4" s="152">
        <f>IF(A4="","",(IF(OR(F4&lt;&gt;"",J4&lt;&gt;""),"",Z4*(IF(Performance!F4="A/O or BNR 2-Stage Retrofit",'Estimated O&amp;M Cost'!AC4,IF(Performance!F4="A/O or BNR 2-Stage Replace",'Estimated O&amp;M Cost'!AC4,IF(Performance!F4="A2O or BNR 3- to 5-Stage Retrofit",'Estimated O&amp;M Cost'!AI4,IF(Performance!F4="A2O or BNR 3- to 5-Stage Replace",'Estimated O&amp;M Cost'!AI4,""))))))))</f>
        <v>51601.869761757131</v>
      </c>
      <c r="T4" s="101">
        <f t="shared" si="7"/>
        <v>2022</v>
      </c>
      <c r="U4" s="178">
        <f>IF(S4&lt;&gt;"",S4*(Adjustment!$D$26/Adjustment!$D$25)*((0.6*Adjustment!$H$26/Adjustment!$H$38)+(0.4*Adjustment!$I$26/Adjustment!$I$38)),"")</f>
        <v>63573.834668655945</v>
      </c>
      <c r="V4" s="180" t="s">
        <v>212</v>
      </c>
      <c r="W4">
        <f>IF(Performance!F4="",0,IF(Performance!F4="A/O or BNR 2-Stage Retrofit",1,IF(Performance!F4="A/O or BNR 2-Stage Replace",1,3)))</f>
        <v>1</v>
      </c>
      <c r="X4">
        <f>IF(Performance!G4="",0,IF(Performance!G4&lt;=10,10,IF(Performance!G4&gt;10,30)))</f>
        <v>10</v>
      </c>
      <c r="Y4">
        <f t="shared" si="8"/>
        <v>11</v>
      </c>
      <c r="Z4" s="28">
        <f>IF(Y4=11,'Incremental O&amp;M OH 2022'!$N$52,IF(Y4=13,'Incremental O&amp;M OH 2022'!$N$53,IF(Y4=31,'Incremental O&amp;M OH 2022'!$N$55,IF(Y4=33,'Incremental O&amp;M OH 2022'!$N$56,""))))</f>
        <v>3.7459507276577479E-2</v>
      </c>
      <c r="AA4" s="12">
        <f t="shared" si="9"/>
        <v>63573.834668655945</v>
      </c>
      <c r="AB4" s="118">
        <f>IF(Performance!G4&lt;0.5,0.5,Performance!G4)</f>
        <v>2.2999999999999998</v>
      </c>
      <c r="AC4" s="117">
        <f t="shared" si="10"/>
        <v>1377537.3333333333</v>
      </c>
      <c r="AD4">
        <f t="shared" si="2"/>
        <v>1</v>
      </c>
      <c r="AE4" cm="1">
        <f t="array" ref="AE4">INDEX($AB$39:$AB$49,MATCH(AB4,$AB$39:$AB$49)+1)</f>
        <v>2.5</v>
      </c>
      <c r="AF4" s="12">
        <f t="shared" si="3"/>
        <v>972687</v>
      </c>
      <c r="AG4" s="12" cm="1">
        <f t="array" ref="AG4">INDEX($AE$39:$AE$49,MATCH(AF4,$AE$39:$AE$49)+1)</f>
        <v>1439822</v>
      </c>
      <c r="AH4" s="142"/>
      <c r="AI4" s="117">
        <f t="shared" si="11"/>
        <v>1472718.3333333333</v>
      </c>
      <c r="AJ4">
        <f t="shared" si="4"/>
        <v>1</v>
      </c>
      <c r="AK4" cm="1">
        <f t="array" ref="AK4">INDEX($AB$39:$AB$49,MATCH(AB4,$AB$39:$AB$49)+1)</f>
        <v>2.5</v>
      </c>
      <c r="AL4" s="12">
        <f t="shared" si="5"/>
        <v>1073354</v>
      </c>
      <c r="AM4" s="12" cm="1">
        <f t="array" ref="AM4">INDEX($AG$39:$AG$49,MATCH(AL4,$AG$39:$AG$49)+1)</f>
        <v>1534159</v>
      </c>
    </row>
    <row r="5" spans="1:39" ht="60" x14ac:dyDescent="0.25">
      <c r="A5" s="76" t="str">
        <f>IF(Performance!A5&lt;&gt;"",Performance!A5,"")</f>
        <v>MN0040878</v>
      </c>
      <c r="B5" s="77" t="str">
        <f>IF(Performance!B5&lt;&gt;"",Performance!B5,"")</f>
        <v>St. Cloud NEW RF</v>
      </c>
      <c r="C5" s="77" t="str">
        <f>IF(Performance!E5&lt;&gt;"",Performance!E5,"")</f>
        <v>Full Nitrification and BNR [Phosphorus, Nitrogen]</v>
      </c>
      <c r="D5" s="77" t="str">
        <f>IF(Performance!F5&lt;&gt;"",Performance!F5,"")</f>
        <v>A2O or BNR 3- to 5-Stage Retrofit</v>
      </c>
      <c r="E5" s="138"/>
      <c r="F5" s="159"/>
      <c r="G5" s="160"/>
      <c r="H5" s="161" t="str">
        <f>IF($F5&lt;&gt;"",$F5*Adjustment!$D$26/(VLOOKUP($G5,Adjustment!$B$2:$D$27,3,FALSE))*((0.6*Adjustment!$H$26/(VLOOKUP(Performance!$C5,Adjustment!$F$2:$I$53,3,FALSE)))+(0.4*Adjustment!$I$26/(VLOOKUP(Performance!$C5,Adjustment!$F$2:$I$53,4,FALSE)))),"")</f>
        <v/>
      </c>
      <c r="I5" s="162"/>
      <c r="J5" s="159"/>
      <c r="K5" s="160"/>
      <c r="L5" s="159"/>
      <c r="M5" s="160"/>
      <c r="N5" s="161" t="str">
        <f>IF($J5&lt;&gt;"",$J5*Adjustment!$D$26/(VLOOKUP($K5,Adjustment!$B$2:$D$27,3,FALSE))*((0.6*Adjustment!$H$26/(VLOOKUP(Performance!$C5,Adjustment!$F$2:$I$53,3,FALSE)))+(0.4*Adjustment!$I$26/(VLOOKUP(Performance!$C5,Adjustment!$F$2:$I$53,4,FALSE)))),"")</f>
        <v/>
      </c>
      <c r="O5" s="161" t="str">
        <f>IF(L5&lt;&gt;"",L5*Adjustment!$D$26/(VLOOKUP(M5,Adjustment!$B$2:$D$27,3,FALSE))*((0.6*Adjustment!$H$26/(VLOOKUP(Performance!$C5,Adjustment!$F$2:$I$53,3,FALSE)))+(0.4*Adjustment!$I$26/(VLOOKUP(Performance!$C5,Adjustment!$F$2:$I$53,4,FALSE)))),"")</f>
        <v/>
      </c>
      <c r="P5" s="163"/>
      <c r="Q5" s="161" t="str">
        <f t="shared" si="6"/>
        <v/>
      </c>
      <c r="R5" s="34"/>
      <c r="S5" s="152">
        <f>IF(A5="","",(IF(OR(F5&lt;&gt;"",J5&lt;&gt;""),"",Z5*(IF(Performance!F5="A/O or BNR 2-Stage Retrofit",'Estimated O&amp;M Cost'!AC5,IF(Performance!F5="A/O or BNR 2-Stage Replace",'Estimated O&amp;M Cost'!AC5,IF(Performance!F5="A2O or BNR 3- to 5-Stage Retrofit",'Estimated O&amp;M Cost'!AI5,IF(Performance!F5="A2O or BNR 3- to 5-Stage Replace",'Estimated O&amp;M Cost'!AI5,""))))))))</f>
        <v>466881.32560966554</v>
      </c>
      <c r="T5" s="101">
        <f t="shared" si="7"/>
        <v>2022</v>
      </c>
      <c r="U5" s="178">
        <f>IF(S5&lt;&gt;"",S5*(Adjustment!$D$26/Adjustment!$D$25)*((0.6*Adjustment!$H$26/Adjustment!$H$38)+(0.4*Adjustment!$I$26/Adjustment!$I$38)),"")</f>
        <v>575200.78906499478</v>
      </c>
      <c r="V5" s="180" t="s">
        <v>212</v>
      </c>
      <c r="W5">
        <f>IF(Performance!F5="",0,IF(Performance!F5="A/O or BNR 2-Stage Retrofit",1,IF(Performance!F5="A/O or BNR 2-Stage Replace",1,3)))</f>
        <v>3</v>
      </c>
      <c r="X5">
        <f>IF(Performance!G5="",0,IF(Performance!G5&lt;=10,10,IF(Performance!G5&gt;10,30)))</f>
        <v>10</v>
      </c>
      <c r="Y5">
        <f t="shared" si="8"/>
        <v>13</v>
      </c>
      <c r="Z5" s="28">
        <f>IF(Y5=11,'Incremental O&amp;M OH 2022'!$N$52,IF(Y5=13,'Incremental O&amp;M OH 2022'!$N$53,IF(Y5=31,'Incremental O&amp;M OH 2022'!$N$55,IF(Y5=33,'Incremental O&amp;M OH 2022'!$N$56,""))))</f>
        <v>0.13682407306574235</v>
      </c>
      <c r="AA5" s="12">
        <f t="shared" si="9"/>
        <v>575200.78906499478</v>
      </c>
      <c r="AB5" s="118">
        <f>IF(Performance!G5&lt;0.5,0.5,Performance!G5)</f>
        <v>9.8800000000000008</v>
      </c>
      <c r="AC5" s="117">
        <f t="shared" si="10"/>
        <v>3152902.1840000004</v>
      </c>
      <c r="AD5">
        <f t="shared" si="2"/>
        <v>7.5</v>
      </c>
      <c r="AE5" cm="1">
        <f t="array" ref="AE5">INDEX($AB$39:$AB$49,MATCH(AB5,$AB$39:$AB$49)+1)</f>
        <v>10</v>
      </c>
      <c r="AF5" s="12">
        <f t="shared" si="3"/>
        <v>2665819</v>
      </c>
      <c r="AG5" s="12" cm="1">
        <f t="array" ref="AG5">INDEX($AE$39:$AE$49,MATCH(AF5,$AE$39:$AE$49)+1)</f>
        <v>3177461</v>
      </c>
      <c r="AH5" s="142"/>
      <c r="AI5" s="117">
        <f t="shared" si="11"/>
        <v>3412274.72</v>
      </c>
      <c r="AJ5">
        <f t="shared" si="4"/>
        <v>7.5</v>
      </c>
      <c r="AK5" cm="1">
        <f t="array" ref="AK5">INDEX($AB$39:$AB$49,MATCH(AB5,$AB$39:$AB$49)+1)</f>
        <v>10</v>
      </c>
      <c r="AL5" s="12">
        <f t="shared" si="5"/>
        <v>2892140</v>
      </c>
      <c r="AM5" s="12" cm="1">
        <f t="array" ref="AM5">INDEX($AG$39:$AG$49,MATCH(AL5,$AG$39:$AG$49)+1)</f>
        <v>3438500</v>
      </c>
    </row>
    <row r="6" spans="1:39" ht="60" x14ac:dyDescent="0.25">
      <c r="A6" s="76" t="str">
        <f>IF(Performance!A6&lt;&gt;"",Performance!A6,"")</f>
        <v>MN0066079</v>
      </c>
      <c r="B6" s="77" t="str">
        <f>IF(Performance!B6&lt;&gt;"",Performance!B6,"")</f>
        <v>City of Long Prairie WWTF</v>
      </c>
      <c r="C6" s="77" t="str">
        <f>IF(Performance!E6&lt;&gt;"",Performance!E6,"")</f>
        <v>Extended Aeration Activated Sludge/BNR [Phosphorus]</v>
      </c>
      <c r="D6" s="77" t="str">
        <f>IF(Performance!F6&lt;&gt;"",Performance!F6,"")</f>
        <v>A/O or BNR 2-Stage Replace</v>
      </c>
      <c r="E6" s="138"/>
      <c r="F6" s="159"/>
      <c r="G6" s="160"/>
      <c r="H6" s="161" t="str">
        <f>IF($F6&lt;&gt;"",$F6*Adjustment!$D$26/(VLOOKUP($G6,Adjustment!$B$2:$D$27,3,FALSE))*((0.6*Adjustment!$H$26/(VLOOKUP(Performance!$C6,Adjustment!$F$2:$I$53,3,FALSE)))+(0.4*Adjustment!$I$26/(VLOOKUP(Performance!$C6,Adjustment!$F$2:$I$53,4,FALSE)))),"")</f>
        <v/>
      </c>
      <c r="I6" s="162"/>
      <c r="J6" s="159"/>
      <c r="K6" s="160"/>
      <c r="L6" s="159"/>
      <c r="M6" s="160"/>
      <c r="N6" s="161" t="str">
        <f>IF($J6&lt;&gt;"",$J6*Adjustment!$D$26/(VLOOKUP($K6,Adjustment!$B$2:$D$27,3,FALSE))*((0.6*Adjustment!$H$26/(VLOOKUP(Performance!$C6,Adjustment!$F$2:$I$53,3,FALSE)))+(0.4*Adjustment!$I$26/(VLOOKUP(Performance!$C6,Adjustment!$F$2:$I$53,4,FALSE)))),"")</f>
        <v/>
      </c>
      <c r="O6" s="161" t="str">
        <f>IF(L6&lt;&gt;"",L6*Adjustment!$D$26/(VLOOKUP(M6,Adjustment!$B$2:$D$27,3,FALSE))*((0.6*Adjustment!$H$26/(VLOOKUP(Performance!$C6,Adjustment!$F$2:$I$53,3,FALSE)))+(0.4*Adjustment!$I$26/(VLOOKUP(Performance!$C6,Adjustment!$F$2:$I$53,4,FALSE)))),"")</f>
        <v/>
      </c>
      <c r="P6" s="163"/>
      <c r="Q6" s="161" t="str">
        <f t="shared" si="6"/>
        <v/>
      </c>
      <c r="R6" s="34"/>
      <c r="S6" s="152">
        <f>IF(A6="","",(IF(OR(F6&lt;&gt;"",J6&lt;&gt;""),"",Z6*(IF(Performance!F6="A/O or BNR 2-Stage Retrofit",'Estimated O&amp;M Cost'!AC6,IF(Performance!F6="A/O or BNR 2-Stage Replace",'Estimated O&amp;M Cost'!AC6,IF(Performance!F6="A2O or BNR 3- to 5-Stage Retrofit",'Estimated O&amp;M Cost'!AI6,IF(Performance!F6="A2O or BNR 3- to 5-Stage Replace",'Estimated O&amp;M Cost'!AI6,""))))))))</f>
        <v>39469.47455581728</v>
      </c>
      <c r="T6" s="101">
        <f t="shared" si="7"/>
        <v>2022</v>
      </c>
      <c r="U6" s="178">
        <f>IF(S6&lt;&gt;"",S6*(Adjustment!$D$26/Adjustment!$D$25)*((0.6*Adjustment!$H$26/Adjustment!$H$38)+(0.4*Adjustment!$I$26/Adjustment!$I$38)),"")</f>
        <v>48626.645923010183</v>
      </c>
      <c r="V6" s="180" t="s">
        <v>212</v>
      </c>
      <c r="W6">
        <f>IF(Performance!F6="",0,IF(Performance!F6="A/O or BNR 2-Stage Retrofit",1,IF(Performance!F6="A/O or BNR 2-Stage Replace",1,3)))</f>
        <v>1</v>
      </c>
      <c r="X6">
        <f>IF(Performance!G6="",0,IF(Performance!G6&lt;=10,10,IF(Performance!G6&gt;10,30)))</f>
        <v>10</v>
      </c>
      <c r="Y6">
        <f t="shared" si="8"/>
        <v>11</v>
      </c>
      <c r="Z6" s="28">
        <f>IF(Y6=11,'Incremental O&amp;M OH 2022'!$N$52,IF(Y6=13,'Incremental O&amp;M OH 2022'!$N$53,IF(Y6=31,'Incremental O&amp;M OH 2022'!$N$55,IF(Y6=33,'Incremental O&amp;M OH 2022'!$N$56,""))))</f>
        <v>3.7459507276577479E-2</v>
      </c>
      <c r="AA6" s="12">
        <f t="shared" si="9"/>
        <v>48626.645923010183</v>
      </c>
      <c r="AB6" s="118">
        <f>IF(Performance!G6&lt;0.5,0.5,Performance!G6)</f>
        <v>1.26</v>
      </c>
      <c r="AC6" s="117">
        <f t="shared" si="10"/>
        <v>1053657.0666666667</v>
      </c>
      <c r="AD6">
        <f t="shared" si="2"/>
        <v>1</v>
      </c>
      <c r="AE6" cm="1">
        <f t="array" ref="AE6">INDEX($AB$39:$AB$49,MATCH(AB6,$AB$39:$AB$49)+1)</f>
        <v>2.5</v>
      </c>
      <c r="AF6" s="12">
        <f t="shared" si="3"/>
        <v>972687</v>
      </c>
      <c r="AG6" s="12" cm="1">
        <f t="array" ref="AG6">INDEX($AE$39:$AE$49,MATCH(AF6,$AE$39:$AE$49)+1)</f>
        <v>1439822</v>
      </c>
      <c r="AH6" s="142"/>
      <c r="AI6" s="117">
        <f t="shared" si="11"/>
        <v>1153226.8666666667</v>
      </c>
      <c r="AJ6">
        <f t="shared" si="4"/>
        <v>1</v>
      </c>
      <c r="AK6" cm="1">
        <f t="array" ref="AK6">INDEX($AB$39:$AB$49,MATCH(AB6,$AB$39:$AB$49)+1)</f>
        <v>2.5</v>
      </c>
      <c r="AL6" s="12">
        <f t="shared" si="5"/>
        <v>1073354</v>
      </c>
      <c r="AM6" s="12" cm="1">
        <f t="array" ref="AM6">INDEX($AG$39:$AG$49,MATCH(AL6,$AG$39:$AG$49)+1)</f>
        <v>1534159</v>
      </c>
    </row>
    <row r="7" spans="1:39" ht="90" x14ac:dyDescent="0.25">
      <c r="A7" s="76" t="str">
        <f>IF(Performance!A7&lt;&gt;"",Performance!A7,"")</f>
        <v>MT0020125</v>
      </c>
      <c r="B7" s="77" t="str">
        <f>IF(Performance!B7&lt;&gt;"",Performance!B7,"")</f>
        <v>Chinook WWTF</v>
      </c>
      <c r="C7" s="77" t="str">
        <f>IF(Performance!E7&lt;&gt;"",Performance!E7,"")</f>
        <v>Activated Sludge-Oxidation Ditch; Optimized through mixers, DO probe, and SCADA [Nitrogen]</v>
      </c>
      <c r="D7" s="77" t="str">
        <f>IF(Performance!F7&lt;&gt;"",Performance!F7,"")</f>
        <v>NA</v>
      </c>
      <c r="E7" s="138"/>
      <c r="F7" s="159"/>
      <c r="G7" s="160"/>
      <c r="H7" s="161" t="str">
        <f>IF($F7&lt;&gt;"",$F7*Adjustment!$D$26/(VLOOKUP($G7,Adjustment!$B$2:$D$27,3,FALSE))*((0.6*Adjustment!$H$26/(VLOOKUP(Performance!$C7,Adjustment!$F$2:$I$53,3,FALSE)))+(0.4*Adjustment!$I$26/(VLOOKUP(Performance!$C7,Adjustment!$F$2:$I$53,4,FALSE)))),"")</f>
        <v/>
      </c>
      <c r="I7" s="162"/>
      <c r="J7" s="159">
        <v>18000</v>
      </c>
      <c r="K7" s="160">
        <v>2016</v>
      </c>
      <c r="L7" s="159">
        <v>0</v>
      </c>
      <c r="M7" s="160">
        <v>2016</v>
      </c>
      <c r="N7" s="161">
        <f>IF($J7&lt;&gt;"",$J7*Adjustment!$D$26/(VLOOKUP($K7,Adjustment!$B$2:$D$27,3,FALSE))*((0.6*Adjustment!$H$26/(VLOOKUP(Performance!$C7,Adjustment!$F$2:$I$53,3,FALSE)))+(0.4*Adjustment!$I$26/(VLOOKUP(Performance!$C7,Adjustment!$F$2:$I$53,4,FALSE)))),"")</f>
        <v>24726.681165503756</v>
      </c>
      <c r="O7" s="161">
        <f>IF(L7&lt;&gt;"",L7*Adjustment!$D$26/(VLOOKUP(M7,Adjustment!$B$2:$D$27,3,FALSE))*((0.6*Adjustment!$H$26/(VLOOKUP(Performance!$C7,Adjustment!$F$2:$I$53,3,FALSE)))+(0.4*Adjustment!$I$26/(VLOOKUP(Performance!$C7,Adjustment!$F$2:$I$53,4,FALSE)))),"")</f>
        <v>0</v>
      </c>
      <c r="P7" s="163">
        <v>1</v>
      </c>
      <c r="Q7" s="161">
        <f t="shared" si="6"/>
        <v>-24726.681165503756</v>
      </c>
      <c r="R7" s="34"/>
      <c r="S7" s="152" t="str">
        <f>IF(A7="","",(IF(OR(F7&lt;&gt;"",J7&lt;&gt;""),"",Z7*(IF(Performance!F7="A/O or BNR 2-Stage Retrofit",'Estimated O&amp;M Cost'!AC7,IF(Performance!F7="A/O or BNR 2-Stage Replace",'Estimated O&amp;M Cost'!AC7,IF(Performance!F7="A2O or BNR 3- to 5-Stage Retrofit",'Estimated O&amp;M Cost'!AI7,IF(Performance!F7="A2O or BNR 3- to 5-Stage Replace",'Estimated O&amp;M Cost'!AI7,""))))))))</f>
        <v/>
      </c>
      <c r="T7" s="101" t="str">
        <f t="shared" si="7"/>
        <v/>
      </c>
      <c r="U7" s="178" t="str">
        <f>IF(S7&lt;&gt;"",S7*(Adjustment!$D$26/Adjustment!$D$25)*((0.6*Adjustment!$H$26/Adjustment!$H$38)+(0.4*Adjustment!$I$26/Adjustment!$I$38)),"")</f>
        <v/>
      </c>
      <c r="V7" s="180" t="s">
        <v>210</v>
      </c>
      <c r="W7">
        <f>IF(Performance!F7="",0,IF(Performance!F7="A/O or BNR 2-Stage Retrofit",1,IF(Performance!F7="A/O or BNR 2-Stage Replace",1,3)))</f>
        <v>3</v>
      </c>
      <c r="X7">
        <f>IF(Performance!G7="",0,IF(Performance!G7&lt;=10,10,IF(Performance!G7&gt;10,30)))</f>
        <v>10</v>
      </c>
      <c r="Y7">
        <f t="shared" si="8"/>
        <v>13</v>
      </c>
      <c r="Z7" s="28">
        <f>IF(Y7=11,'Incremental O&amp;M OH 2022'!$N$52,IF(Y7=13,'Incremental O&amp;M OH 2022'!$N$53,IF(Y7=31,'Incremental O&amp;M OH 2022'!$N$55,IF(Y7=33,'Incremental O&amp;M OH 2022'!$N$56,""))))</f>
        <v>0.13682407306574235</v>
      </c>
      <c r="AA7" s="12">
        <f t="shared" si="9"/>
        <v>-24726.681165503756</v>
      </c>
      <c r="AB7" s="118">
        <f>IF(Performance!G7&lt;0.5,0.5,Performance!G7)</f>
        <v>0.5</v>
      </c>
      <c r="AC7" s="117">
        <f t="shared" si="10"/>
        <v>777994</v>
      </c>
      <c r="AD7">
        <f t="shared" si="2"/>
        <v>0.5</v>
      </c>
      <c r="AE7" cm="1">
        <f t="array" ref="AE7">INDEX($AB$39:$AB$49,MATCH(AB7,$AB$39:$AB$49)+1)</f>
        <v>0.75</v>
      </c>
      <c r="AF7" s="12">
        <f t="shared" si="3"/>
        <v>777994</v>
      </c>
      <c r="AG7" s="12" cm="1">
        <f t="array" ref="AG7">INDEX($AE$39:$AE$49,MATCH(AF7,$AE$39:$AE$49)+1)</f>
        <v>872861</v>
      </c>
      <c r="AH7" s="142"/>
      <c r="AI7" s="117">
        <f t="shared" si="11"/>
        <v>864078</v>
      </c>
      <c r="AJ7">
        <f t="shared" si="4"/>
        <v>0.5</v>
      </c>
      <c r="AK7" cm="1">
        <f t="array" ref="AK7">INDEX($AB$39:$AB$49,MATCH(AB7,$AB$39:$AB$49)+1)</f>
        <v>0.75</v>
      </c>
      <c r="AL7" s="12">
        <f t="shared" si="5"/>
        <v>864078</v>
      </c>
      <c r="AM7" s="12" cm="1">
        <f t="array" ref="AM7">INDEX($AG$39:$AG$49,MATCH(AL7,$AG$39:$AG$49)+1)</f>
        <v>977121</v>
      </c>
    </row>
    <row r="8" spans="1:39" ht="75" x14ac:dyDescent="0.25">
      <c r="A8" s="76" t="str">
        <f>IF(Performance!A8&lt;&gt;"",Performance!A8,"")</f>
        <v>MT0021938</v>
      </c>
      <c r="B8" s="77" t="str">
        <f>IF(Performance!B8&lt;&gt;"",Performance!B8,"")</f>
        <v>City of Kalispell Advanced Wastewater Treatment and Biological Nutrient Removal Facility</v>
      </c>
      <c r="C8" s="77" t="str">
        <f>IF(Performance!E8&lt;&gt;"",Performance!E8,"")</f>
        <v>Modified Johannesburg BNR [Phosphorus, Nitrogen]</v>
      </c>
      <c r="D8" s="77" t="str">
        <f>IF(Performance!F8&lt;&gt;"",Performance!F8,"")</f>
        <v>A2O or BNR 3- to 5-Stage Retrofit</v>
      </c>
      <c r="E8" s="138"/>
      <c r="F8" s="159">
        <v>0</v>
      </c>
      <c r="G8" s="160">
        <v>2009</v>
      </c>
      <c r="H8" s="161">
        <f>IF($F8&lt;&gt;"",$F8*Adjustment!$D$26/(VLOOKUP($G8,Adjustment!$B$2:$D$27,3,FALSE))*((0.6*Adjustment!$H$26/(VLOOKUP(Performance!$C8,Adjustment!$F$2:$I$53,3,FALSE)))+(0.4*Adjustment!$I$26/(VLOOKUP(Performance!$C8,Adjustment!$F$2:$I$53,4,FALSE)))),"")</f>
        <v>0</v>
      </c>
      <c r="I8" s="162"/>
      <c r="J8" s="159"/>
      <c r="K8" s="160"/>
      <c r="L8" s="159"/>
      <c r="M8" s="160"/>
      <c r="N8" s="161"/>
      <c r="O8" s="161" t="str">
        <f>IF(L8&lt;&gt;"",L8*Adjustment!$D$26/(VLOOKUP(M8,Adjustment!$B$2:$D$27,3,FALSE))*((0.6*Adjustment!$H$26/(VLOOKUP(Performance!$C8,Adjustment!$F$2:$I$53,3,FALSE)))+(0.4*Adjustment!$I$26/(VLOOKUP(Performance!$C8,Adjustment!$F$2:$I$53,4,FALSE)))),"")</f>
        <v/>
      </c>
      <c r="P8" s="163"/>
      <c r="Q8" s="161" t="str">
        <f t="shared" si="6"/>
        <v/>
      </c>
      <c r="R8" s="34"/>
      <c r="S8" s="152" t="str">
        <f>IF(A8="","",(IF(OR(F8&lt;&gt;"",J8&lt;&gt;""),"",Z8*(IF(Performance!F8="A/O or BNR 2-Stage Retrofit",'Estimated O&amp;M Cost'!AC8,IF(Performance!F8="A/O or BNR 2-Stage Replace",'Estimated O&amp;M Cost'!AC8,IF(Performance!F8="A2O or BNR 3- to 5-Stage Retrofit",'Estimated O&amp;M Cost'!AI8,IF(Performance!F8="A2O or BNR 3- to 5-Stage Replace",'Estimated O&amp;M Cost'!AI8,""))))))))</f>
        <v/>
      </c>
      <c r="T8" s="101" t="str">
        <f t="shared" si="7"/>
        <v/>
      </c>
      <c r="U8" s="178" t="str">
        <f>IF(S8&lt;&gt;"",S8*(Adjustment!$D$26/Adjustment!$D$25)*((0.6*Adjustment!$H$26/Adjustment!$H$38)+(0.4*Adjustment!$I$26/Adjustment!$I$38)),"")</f>
        <v/>
      </c>
      <c r="V8" s="180" t="s">
        <v>308</v>
      </c>
      <c r="W8">
        <f>IF(Performance!F8="",0,IF(Performance!F8="A/O or BNR 2-Stage Retrofit",1,IF(Performance!F8="A/O or BNR 2-Stage Replace",1,3)))</f>
        <v>3</v>
      </c>
      <c r="X8">
        <f>IF(Performance!G8="",0,IF(Performance!G8&lt;=10,10,IF(Performance!G8&gt;10,30)))</f>
        <v>10</v>
      </c>
      <c r="Y8">
        <f t="shared" si="8"/>
        <v>13</v>
      </c>
      <c r="Z8" s="28">
        <f>IF(Y8=11,'Incremental O&amp;M OH 2022'!$N$52,IF(Y8=13,'Incremental O&amp;M OH 2022'!$N$53,IF(Y8=31,'Incremental O&amp;M OH 2022'!$N$55,IF(Y8=33,'Incremental O&amp;M OH 2022'!$N$56,""))))</f>
        <v>0.13682407306574235</v>
      </c>
      <c r="AA8" s="12">
        <f t="shared" si="9"/>
        <v>0</v>
      </c>
      <c r="AB8" s="118">
        <f>IF(Performance!G8&lt;0.5,0.5,Performance!G8)</f>
        <v>2.85</v>
      </c>
      <c r="AC8" s="117">
        <f t="shared" si="10"/>
        <v>1530536.68</v>
      </c>
      <c r="AD8">
        <f t="shared" si="2"/>
        <v>2.5</v>
      </c>
      <c r="AE8" cm="1">
        <f t="array" ref="AE8">INDEX($AB$39:$AB$49,MATCH(AB8,$AB$39:$AB$49)+1)</f>
        <v>5</v>
      </c>
      <c r="AF8" s="12">
        <f t="shared" si="3"/>
        <v>1439822</v>
      </c>
      <c r="AG8" s="12" cm="1">
        <f t="array" ref="AG8">INDEX($AE$39:$AE$49,MATCH(AF8,$AE$39:$AE$49)+1)</f>
        <v>2087784</v>
      </c>
      <c r="AH8" s="142"/>
      <c r="AI8" s="117">
        <f t="shared" si="11"/>
        <v>1639959.52</v>
      </c>
      <c r="AJ8">
        <f t="shared" si="4"/>
        <v>2.5</v>
      </c>
      <c r="AK8" cm="1">
        <f t="array" ref="AK8">INDEX($AB$39:$AB$49,MATCH(AB8,$AB$39:$AB$49)+1)</f>
        <v>5</v>
      </c>
      <c r="AL8" s="12">
        <f t="shared" si="5"/>
        <v>1534159</v>
      </c>
      <c r="AM8" s="12" cm="1">
        <f t="array" ref="AM8">INDEX($AG$39:$AG$49,MATCH(AL8,$AG$39:$AG$49)+1)</f>
        <v>2289877</v>
      </c>
    </row>
    <row r="9" spans="1:39" ht="30" x14ac:dyDescent="0.25">
      <c r="A9" s="76" t="str">
        <f>IF(Performance!A9&lt;&gt;"",Performance!A9,"")</f>
        <v>MT0022594</v>
      </c>
      <c r="B9" s="77" t="str">
        <f>IF(Performance!B9&lt;&gt;"",Performance!B9,"")</f>
        <v>Missoula WWTP</v>
      </c>
      <c r="C9" s="77" t="str">
        <f>IF(Performance!E9&lt;&gt;"",Performance!E9,"")</f>
        <v>BNR [Phosphorus, Nitrogen]</v>
      </c>
      <c r="D9" s="77" t="str">
        <f>IF(Performance!F9&lt;&gt;"",Performance!F9,"")</f>
        <v>A2O or BNR 3- to 5-Stage Replace</v>
      </c>
      <c r="E9" s="138"/>
      <c r="F9" s="159"/>
      <c r="G9" s="160"/>
      <c r="H9" s="161" t="str">
        <f>IF($F9&lt;&gt;"",$F9*Adjustment!$D$26/(VLOOKUP($G9,Adjustment!$B$2:$D$27,3,FALSE))*((0.6*Adjustment!$H$26/(VLOOKUP(Performance!$C9,Adjustment!$F$2:$I$53,3,FALSE)))+(0.4*Adjustment!$I$26/(VLOOKUP(Performance!$C9,Adjustment!$F$2:$I$53,4,FALSE)))),"")</f>
        <v/>
      </c>
      <c r="I9" s="162"/>
      <c r="J9" s="159"/>
      <c r="K9" s="160"/>
      <c r="L9" s="159"/>
      <c r="M9" s="160"/>
      <c r="N9" s="161" t="str">
        <f>IF($J9&lt;&gt;"",$J9*Adjustment!$D$26/(VLOOKUP($K9,Adjustment!$B$2:$D$27,3,FALSE))*((0.6*Adjustment!$H$26/(VLOOKUP(Performance!$C9,Adjustment!$F$2:$I$53,3,FALSE)))+(0.4*Adjustment!$I$26/(VLOOKUP(Performance!$C9,Adjustment!$F$2:$I$53,4,FALSE)))),"")</f>
        <v/>
      </c>
      <c r="O9" s="161" t="str">
        <f>IF(L9&lt;&gt;"",L9*Adjustment!$D$26/(VLOOKUP(M9,Adjustment!$B$2:$D$27,3,FALSE))*((0.6*Adjustment!$H$26/(VLOOKUP(Performance!$C9,Adjustment!$F$2:$I$53,3,FALSE)))+(0.4*Adjustment!$I$26/(VLOOKUP(Performance!$C9,Adjustment!$F$2:$I$53,4,FALSE)))),"")</f>
        <v/>
      </c>
      <c r="P9" s="163"/>
      <c r="Q9" s="161" t="str">
        <f t="shared" si="6"/>
        <v/>
      </c>
      <c r="R9" s="34"/>
      <c r="S9" s="152">
        <f>IF(A9="","",(IF(OR(F9&lt;&gt;"",J9&lt;&gt;""),"",Z9*(IF(Performance!F9="A/O or BNR 2-Stage Retrofit",'Estimated O&amp;M Cost'!AC9,IF(Performance!F9="A/O or BNR 2-Stage Replace",'Estimated O&amp;M Cost'!AC9,IF(Performance!F9="A2O or BNR 3- to 5-Stage Retrofit",'Estimated O&amp;M Cost'!AI9,IF(Performance!F9="A2O or BNR 3- to 5-Stage Replace",'Estimated O&amp;M Cost'!AI9,""))))))))</f>
        <v>375937.39626432571</v>
      </c>
      <c r="T9" s="101">
        <f t="shared" si="7"/>
        <v>2022</v>
      </c>
      <c r="U9" s="178">
        <f>IF(S9&lt;&gt;"",S9*(Adjustment!$D$26/Adjustment!$D$25)*((0.6*Adjustment!$H$26/Adjustment!$H$38)+(0.4*Adjustment!$I$26/Adjustment!$I$38)),"")</f>
        <v>463157.28453672619</v>
      </c>
      <c r="V9" s="180" t="s">
        <v>212</v>
      </c>
      <c r="W9">
        <f>IF(Performance!F9="",0,IF(Performance!F9="A/O or BNR 2-Stage Retrofit",1,IF(Performance!F9="A/O or BNR 2-Stage Replace",1,3)))</f>
        <v>3</v>
      </c>
      <c r="X9">
        <f>IF(Performance!G9="",0,IF(Performance!G9&lt;=10,10,IF(Performance!G9&gt;10,30)))</f>
        <v>10</v>
      </c>
      <c r="Y9">
        <f t="shared" si="8"/>
        <v>13</v>
      </c>
      <c r="Z9" s="28">
        <f>IF(Y9=11,'Incremental O&amp;M OH 2022'!$N$52,IF(Y9=13,'Incremental O&amp;M OH 2022'!$N$53,IF(Y9=31,'Incremental O&amp;M OH 2022'!$N$55,IF(Y9=33,'Incremental O&amp;M OH 2022'!$N$56,""))))</f>
        <v>0.13682407306574235</v>
      </c>
      <c r="AA9" s="12">
        <f t="shared" si="9"/>
        <v>463157.28453672619</v>
      </c>
      <c r="AB9" s="118">
        <f>IF(Performance!G9&lt;0.5,0.5,Performance!G9)</f>
        <v>6.9</v>
      </c>
      <c r="AC9" s="117">
        <f t="shared" si="10"/>
        <v>2527090.6</v>
      </c>
      <c r="AD9">
        <f t="shared" si="2"/>
        <v>5</v>
      </c>
      <c r="AE9" cm="1">
        <f t="array" ref="AE9">INDEX($AB$39:$AB$49,MATCH(AB9,$AB$39:$AB$49)+1)</f>
        <v>7.5</v>
      </c>
      <c r="AF9" s="12">
        <f t="shared" si="3"/>
        <v>2087784</v>
      </c>
      <c r="AG9" s="12" cm="1">
        <f t="array" ref="AG9">INDEX($AE$39:$AE$49,MATCH(AF9,$AE$39:$AE$49)+1)</f>
        <v>2665819</v>
      </c>
      <c r="AH9" s="142"/>
      <c r="AI9" s="117">
        <f t="shared" si="11"/>
        <v>2747596.88</v>
      </c>
      <c r="AJ9">
        <f t="shared" si="4"/>
        <v>5</v>
      </c>
      <c r="AK9" cm="1">
        <f t="array" ref="AK9">INDEX($AB$39:$AB$49,MATCH(AB9,$AB$39:$AB$49)+1)</f>
        <v>7.5</v>
      </c>
      <c r="AL9" s="12">
        <f t="shared" si="5"/>
        <v>2289877</v>
      </c>
      <c r="AM9" s="12" cm="1">
        <f t="array" ref="AM9">INDEX($AG$39:$AG$49,MATCH(AL9,$AG$39:$AG$49)+1)</f>
        <v>2892140</v>
      </c>
    </row>
    <row r="10" spans="1:39" ht="75" x14ac:dyDescent="0.25">
      <c r="A10" s="76" t="str">
        <f>IF(Performance!A10&lt;&gt;"",Performance!A10,"")</f>
        <v>NY0027561</v>
      </c>
      <c r="B10" s="77" t="str">
        <f>IF(Performance!B10&lt;&gt;"",Performance!B10,"")</f>
        <v>LeRoy R Summerson WWTF (City of Cortland)</v>
      </c>
      <c r="C10" s="77" t="str">
        <f>IF(Performance!E10&lt;&gt;"",Performance!E10,"")</f>
        <v>Cycling Air and Adding Internal Carbon Source [Phosphorus, Nitrogen]</v>
      </c>
      <c r="D10" s="77" t="str">
        <f>IF(Performance!F10&lt;&gt;"",Performance!F10,"")</f>
        <v>NA</v>
      </c>
      <c r="E10" s="138"/>
      <c r="F10" s="159">
        <v>0</v>
      </c>
      <c r="G10" s="160">
        <v>2022</v>
      </c>
      <c r="H10" s="161">
        <f>IF($F10&lt;&gt;"",$F10*Adjustment!$D$26/(VLOOKUP($G10,Adjustment!$B$2:$D$27,3,FALSE))*((0.6*Adjustment!$H$26/(VLOOKUP(Performance!$C10,Adjustment!$F$2:$I$53,3,FALSE)))+(0.4*Adjustment!$I$26/(VLOOKUP(Performance!$C10,Adjustment!$F$2:$I$53,4,FALSE)))),"")</f>
        <v>0</v>
      </c>
      <c r="I10" s="162"/>
      <c r="J10" s="159"/>
      <c r="K10" s="160"/>
      <c r="L10" s="159"/>
      <c r="M10" s="160"/>
      <c r="N10" s="161" t="str">
        <f>IF($J10&lt;&gt;"",$J10*Adjustment!$D$26/(VLOOKUP($K10,Adjustment!$B$2:$D$27,3,FALSE))*((0.6*Adjustment!$H$26/(VLOOKUP(Performance!$C10,Adjustment!$F$2:$I$53,3,FALSE)))+(0.4*Adjustment!$I$26/(VLOOKUP(Performance!$C10,Adjustment!$F$2:$I$53,4,FALSE)))),"")</f>
        <v/>
      </c>
      <c r="O10" s="161" t="str">
        <f>IF(L10&lt;&gt;"",L10*Adjustment!$D$26/(VLOOKUP(M10,Adjustment!$B$2:$D$27,3,FALSE))*((0.6*Adjustment!$H$26/(VLOOKUP(Performance!$C10,Adjustment!$F$2:$I$53,3,FALSE)))+(0.4*Adjustment!$I$26/(VLOOKUP(Performance!$C10,Adjustment!$F$2:$I$53,4,FALSE)))),"")</f>
        <v/>
      </c>
      <c r="P10" s="163"/>
      <c r="Q10" s="161" t="str">
        <f t="shared" si="6"/>
        <v/>
      </c>
      <c r="R10" s="34"/>
      <c r="S10" s="152" t="str">
        <f>IF(A10="","",(IF(OR(F10&lt;&gt;"",J10&lt;&gt;""),"",Z10*(IF(Performance!F10="A/O or BNR 2-Stage Retrofit",'Estimated O&amp;M Cost'!AC10,IF(Performance!F10="A/O or BNR 2-Stage Replace",'Estimated O&amp;M Cost'!AC10,IF(Performance!F10="A2O or BNR 3- to 5-Stage Retrofit",'Estimated O&amp;M Cost'!AI10,IF(Performance!F10="A2O or BNR 3- to 5-Stage Replace",'Estimated O&amp;M Cost'!AI10,""))))))))</f>
        <v/>
      </c>
      <c r="T10" s="101" t="str">
        <f t="shared" si="7"/>
        <v/>
      </c>
      <c r="U10" s="178" t="str">
        <f>IF(S10&lt;&gt;"",S10*(Adjustment!$D$26/Adjustment!$D$25)*((0.6*Adjustment!$H$26/Adjustment!$H$38)+(0.4*Adjustment!$I$26/Adjustment!$I$38)),"")</f>
        <v/>
      </c>
      <c r="V10" s="180" t="s">
        <v>218</v>
      </c>
      <c r="W10">
        <f>IF(Performance!F10="",0,IF(Performance!F10="A/O or BNR 2-Stage Retrofit",1,IF(Performance!F10="A/O or BNR 2-Stage Replace",1,3)))</f>
        <v>3</v>
      </c>
      <c r="X10">
        <f>IF(Performance!G10="",0,IF(Performance!G10&lt;=10,10,IF(Performance!G10&gt;10,30)))</f>
        <v>10</v>
      </c>
      <c r="Y10">
        <f t="shared" si="8"/>
        <v>13</v>
      </c>
      <c r="Z10" s="28">
        <f>IF(Y10=11,'Incremental O&amp;M OH 2022'!$N$52,IF(Y10=13,'Incremental O&amp;M OH 2022'!$N$53,IF(Y10=31,'Incremental O&amp;M OH 2022'!$N$55,IF(Y10=33,'Incremental O&amp;M OH 2022'!$N$56,""))))</f>
        <v>0.13682407306574235</v>
      </c>
      <c r="AA10" s="12">
        <f t="shared" si="9"/>
        <v>0</v>
      </c>
      <c r="AB10" s="118">
        <f>IF(Performance!G10&lt;0.5,0.5,Performance!G10)</f>
        <v>5.46</v>
      </c>
      <c r="AC10" s="117">
        <f t="shared" si="10"/>
        <v>2194142.44</v>
      </c>
      <c r="AD10">
        <f t="shared" si="2"/>
        <v>5</v>
      </c>
      <c r="AE10" cm="1">
        <f t="array" ref="AE10">INDEX($AB$39:$AB$49,MATCH(AB10,$AB$39:$AB$49)+1)</f>
        <v>7.5</v>
      </c>
      <c r="AF10" s="12">
        <f t="shared" si="3"/>
        <v>2087784</v>
      </c>
      <c r="AG10" s="12" cm="1">
        <f t="array" ref="AG10">INDEX($AE$39:$AE$49,MATCH(AF10,$AE$39:$AE$49)+1)</f>
        <v>2665819</v>
      </c>
      <c r="AH10" s="142"/>
      <c r="AI10" s="117">
        <f t="shared" si="11"/>
        <v>2400693.392</v>
      </c>
      <c r="AJ10">
        <f t="shared" si="4"/>
        <v>5</v>
      </c>
      <c r="AK10" cm="1">
        <f t="array" ref="AK10">INDEX($AB$39:$AB$49,MATCH(AB10,$AB$39:$AB$49)+1)</f>
        <v>7.5</v>
      </c>
      <c r="AL10" s="12">
        <f t="shared" si="5"/>
        <v>2289877</v>
      </c>
      <c r="AM10" s="12" cm="1">
        <f t="array" ref="AM10">INDEX($AG$39:$AG$49,MATCH(AL10,$AG$39:$AG$49)+1)</f>
        <v>2892140</v>
      </c>
    </row>
    <row r="11" spans="1:39" ht="60" x14ac:dyDescent="0.25">
      <c r="A11" s="76" t="str">
        <f>IF(Performance!A11&lt;&gt;"",Performance!A11,"")</f>
        <v>IL0028053</v>
      </c>
      <c r="B11" s="77" t="str">
        <f>IF(Performance!B11&lt;&gt;"",Performance!B11,"")</f>
        <v>Stickney WRP</v>
      </c>
      <c r="C11" s="77" t="str">
        <f>IF(Performance!E11&lt;&gt;"",Performance!E11,"")</f>
        <v>Ostara Phosphorus Recovery [Phosphorus]</v>
      </c>
      <c r="D11" s="77" t="str">
        <f>IF(Performance!F11&lt;&gt;"",Performance!F11,"")</f>
        <v>A/O or BNR 2-Stage Retrofit</v>
      </c>
      <c r="E11" s="138"/>
      <c r="F11" s="159">
        <v>13100000</v>
      </c>
      <c r="G11" s="160">
        <v>2022</v>
      </c>
      <c r="H11" s="161">
        <f>IF($F11&lt;&gt;"",$F11*Adjustment!$D$26/(VLOOKUP($G11,Adjustment!$B$2:$D$27,3,FALSE))*((0.6*Adjustment!$H$26/(VLOOKUP(Performance!$C11,Adjustment!$F$2:$I$53,3,FALSE)))+(0.4*Adjustment!$I$26/(VLOOKUP(Performance!$C11,Adjustment!$F$2:$I$53,4,FALSE)))),"")</f>
        <v>13715651.882157343</v>
      </c>
      <c r="I11" s="162"/>
      <c r="J11" s="159"/>
      <c r="K11" s="160"/>
      <c r="L11" s="159"/>
      <c r="M11" s="160"/>
      <c r="N11" s="161" t="str">
        <f>IF($J11&lt;&gt;"",$J11*Adjustment!$D$26/(VLOOKUP($K11,Adjustment!$B$2:$D$27,3,FALSE))*((0.6*Adjustment!$H$26/(VLOOKUP(Performance!$C11,Adjustment!$F$2:$I$53,3,FALSE)))+(0.4*Adjustment!$I$26/(VLOOKUP(Performance!$C11,Adjustment!$F$2:$I$53,4,FALSE)))),"")</f>
        <v/>
      </c>
      <c r="O11" s="161" t="str">
        <f>IF(L11&lt;&gt;"",L11*Adjustment!$D$26/(VLOOKUP(M11,Adjustment!$B$2:$D$27,3,FALSE))*((0.6*Adjustment!$H$26/(VLOOKUP(Performance!$C11,Adjustment!$F$2:$I$53,3,FALSE)))+(0.4*Adjustment!$I$26/(VLOOKUP(Performance!$C11,Adjustment!$F$2:$I$53,4,FALSE)))),"")</f>
        <v/>
      </c>
      <c r="P11" s="163"/>
      <c r="Q11" s="161" t="str">
        <f t="shared" si="6"/>
        <v/>
      </c>
      <c r="R11" s="34"/>
      <c r="S11" s="152" t="str">
        <f>IF(A11="","",(IF(OR(F11&lt;&gt;"",J11&lt;&gt;""),"",Z11*(IF(Performance!F11="A/O or BNR 2-Stage Retrofit",'Estimated O&amp;M Cost'!AC11,IF(Performance!F11="A/O or BNR 2-Stage Replace",'Estimated O&amp;M Cost'!AC11,IF(Performance!F11="A2O or BNR 3- to 5-Stage Retrofit",'Estimated O&amp;M Cost'!AI11,IF(Performance!F11="A2O or BNR 3- to 5-Stage Replace",'Estimated O&amp;M Cost'!AI11,""))))))))</f>
        <v/>
      </c>
      <c r="T11" s="101" t="str">
        <f t="shared" si="7"/>
        <v/>
      </c>
      <c r="U11" s="178" t="str">
        <f>IF(S11&lt;&gt;"",S11*(Adjustment!$D$26/Adjustment!$D$25)*((0.6*Adjustment!$H$26/Adjustment!$H$38)+(0.4*Adjustment!$I$26/Adjustment!$I$38)),"")</f>
        <v/>
      </c>
      <c r="V11" s="180" t="s">
        <v>301</v>
      </c>
      <c r="W11">
        <f>IF(Performance!F11="",0,IF(Performance!F11="A/O or BNR 2-Stage Retrofit",1,IF(Performance!F11="A/O or BNR 2-Stage Replace",1,3)))</f>
        <v>1</v>
      </c>
      <c r="X11">
        <f>IF(Performance!G11="",0,IF(Performance!G11&lt;=10,10,IF(Performance!G11&gt;10,30)))</f>
        <v>30</v>
      </c>
      <c r="Y11">
        <f t="shared" si="8"/>
        <v>31</v>
      </c>
      <c r="Z11" s="28">
        <f>IF(Y11=11,'Incremental O&amp;M OH 2022'!$N$52,IF(Y11=13,'Incremental O&amp;M OH 2022'!$N$53,IF(Y11=31,'Incremental O&amp;M OH 2022'!$N$55,IF(Y11=33,'Incremental O&amp;M OH 2022'!$N$56,""))))</f>
        <v>2.5727283591958968E-2</v>
      </c>
      <c r="AA11" s="12">
        <f t="shared" si="9"/>
        <v>13715651.882157343</v>
      </c>
      <c r="AB11" s="118">
        <f>IF(Performance!G11&lt;0.5,0.5,Performance!G11)</f>
        <v>679</v>
      </c>
      <c r="AC11" s="117" t="e">
        <f t="shared" si="10"/>
        <v>#REF!</v>
      </c>
      <c r="AD11">
        <f t="shared" si="2"/>
        <v>50</v>
      </c>
      <c r="AE11" t="e" cm="1">
        <f t="array" ref="AE11">INDEX($AB$39:$AB$49,MATCH(AB11,$AB$39:$AB$49)+1)</f>
        <v>#REF!</v>
      </c>
      <c r="AF11" s="12">
        <f t="shared" si="3"/>
        <v>10928370</v>
      </c>
      <c r="AG11" s="12" t="e" cm="1">
        <f t="array" ref="AG11">INDEX($AE$39:$AE$49,MATCH(AF11,$AE$39:$AE$49)+1)</f>
        <v>#REF!</v>
      </c>
      <c r="AH11" s="142"/>
      <c r="AI11" s="117" t="e">
        <f t="shared" si="11"/>
        <v>#REF!</v>
      </c>
      <c r="AJ11">
        <f t="shared" si="4"/>
        <v>50</v>
      </c>
      <c r="AK11" t="e" cm="1">
        <f t="array" ref="AK11">INDEX($AB$39:$AB$49,MATCH(AB11,$AB$39:$AB$49)+1)</f>
        <v>#REF!</v>
      </c>
      <c r="AL11" s="12">
        <f t="shared" si="5"/>
        <v>11506100</v>
      </c>
      <c r="AM11" s="12" t="e" cm="1">
        <f t="array" ref="AM11">INDEX($AG$39:$AG$49,MATCH(AL11,$AG$39:$AG$49)+1)</f>
        <v>#REF!</v>
      </c>
    </row>
    <row r="12" spans="1:39" ht="30" x14ac:dyDescent="0.25">
      <c r="A12" s="76" t="str">
        <f>IF(Performance!A12&lt;&gt;"",Performance!A12,"")</f>
        <v>MN0020567</v>
      </c>
      <c r="B12" s="77" t="str">
        <f>IF(Performance!B12&lt;&gt;"",Performance!B12,"")</f>
        <v>Monticello WWTP</v>
      </c>
      <c r="C12" s="77" t="str">
        <f>IF(Performance!E12&lt;&gt;"",Performance!E12,"")</f>
        <v>BNR [Phosphorus, Nitrogen]</v>
      </c>
      <c r="D12" s="77" t="str">
        <f>IF(Performance!F12&lt;&gt;"",Performance!F12,"")</f>
        <v>A2O or BNR 3- to 5-Stage Retrofit</v>
      </c>
      <c r="E12" s="138"/>
      <c r="F12" s="159"/>
      <c r="G12" s="160"/>
      <c r="H12" s="161" t="str">
        <f>IF($F12&lt;&gt;"",$F12*Adjustment!$D$26/(VLOOKUP($G12,Adjustment!$B$2:$D$27,3,FALSE))*((0.6*Adjustment!$H$26/(VLOOKUP(Performance!$C12,Adjustment!$F$2:$I$53,3,FALSE)))+(0.4*Adjustment!$I$26/(VLOOKUP(Performance!$C12,Adjustment!$F$2:$I$53,4,FALSE)))),"")</f>
        <v/>
      </c>
      <c r="I12" s="162"/>
      <c r="J12" s="159"/>
      <c r="K12" s="160"/>
      <c r="L12" s="159"/>
      <c r="M12" s="160"/>
      <c r="N12" s="161" t="str">
        <f>IF($J12&lt;&gt;"",$J12*Adjustment!$D$26/(VLOOKUP($K12,Adjustment!$B$2:$D$27,3,FALSE))*((0.6*Adjustment!$H$26/(VLOOKUP(Performance!$C12,Adjustment!$F$2:$I$53,3,FALSE)))+(0.4*Adjustment!$I$26/(VLOOKUP(Performance!$C12,Adjustment!$F$2:$I$53,4,FALSE)))),"")</f>
        <v/>
      </c>
      <c r="O12" s="161" t="str">
        <f>IF(L12&lt;&gt;"",L12*Adjustment!$D$26/(VLOOKUP(M12,Adjustment!$B$2:$D$27,3,FALSE))*((0.6*Adjustment!$H$26/(VLOOKUP(Performance!$C12,Adjustment!$F$2:$I$53,3,FALSE)))+(0.4*Adjustment!$I$26/(VLOOKUP(Performance!$C12,Adjustment!$F$2:$I$53,4,FALSE)))),"")</f>
        <v/>
      </c>
      <c r="P12" s="163"/>
      <c r="Q12" s="161" t="str">
        <f t="shared" si="6"/>
        <v/>
      </c>
      <c r="R12" s="34"/>
      <c r="S12" s="152">
        <f>IF(A12="","",(IF(OR(F12&lt;&gt;"",J12&lt;&gt;""),"",Z12*(IF(Performance!F12="A/O or BNR 2-Stage Retrofit",'Estimated O&amp;M Cost'!AC12,IF(Performance!F12="A/O or BNR 2-Stage Replace",'Estimated O&amp;M Cost'!AC12,IF(Performance!F12="A2O or BNR 3- to 5-Stage Retrofit",'Estimated O&amp;M Cost'!AI12,IF(Performance!F12="A2O or BNR 3- to 5-Stage Replace",'Estimated O&amp;M Cost'!AI12,""))))))))</f>
        <v>153165.58782031276</v>
      </c>
      <c r="T12" s="101">
        <f t="shared" si="7"/>
        <v>2022</v>
      </c>
      <c r="U12" s="178">
        <f>IF(S12&lt;&gt;"",S12*(Adjustment!$D$26/Adjustment!$D$25)*((0.6*Adjustment!$H$26/Adjustment!$H$38)+(0.4*Adjustment!$I$26/Adjustment!$I$38)),"")</f>
        <v>188700.9870373444</v>
      </c>
      <c r="V12" s="180" t="s">
        <v>212</v>
      </c>
      <c r="W12">
        <f>IF(Performance!F12="",0,IF(Performance!F12="A/O or BNR 2-Stage Retrofit",1,IF(Performance!F12="A/O or BNR 2-Stage Replace",1,3)))</f>
        <v>3</v>
      </c>
      <c r="X12">
        <f>IF(Performance!G12="",0,IF(Performance!G12&lt;=10,10,IF(Performance!G12&gt;10,30)))</f>
        <v>10</v>
      </c>
      <c r="Y12">
        <f t="shared" si="8"/>
        <v>13</v>
      </c>
      <c r="Z12" s="28">
        <f>IF(Y12=11,'Incremental O&amp;M OH 2022'!$N$52,IF(Y12=13,'Incremental O&amp;M OH 2022'!$N$53,IF(Y12=31,'Incremental O&amp;M OH 2022'!$N$55,IF(Y12=33,'Incremental O&amp;M OH 2022'!$N$56,""))))</f>
        <v>0.13682407306574235</v>
      </c>
      <c r="AA12" s="12">
        <f t="shared" si="9"/>
        <v>188700.9870373444</v>
      </c>
      <c r="AB12" s="118">
        <f>IF(Performance!G12&lt;0.5,0.5,Performance!G12)</f>
        <v>1.1499999999999999</v>
      </c>
      <c r="AC12" s="117">
        <f t="shared" si="10"/>
        <v>1019400.5</v>
      </c>
      <c r="AD12">
        <f t="shared" si="2"/>
        <v>1</v>
      </c>
      <c r="AE12" cm="1">
        <f t="array" ref="AE12">INDEX($AB$39:$AB$49,MATCH(AB12,$AB$39:$AB$49)+1)</f>
        <v>2.5</v>
      </c>
      <c r="AF12" s="12">
        <f t="shared" si="3"/>
        <v>972687</v>
      </c>
      <c r="AG12" s="12" cm="1">
        <f t="array" ref="AG12">INDEX($AE$39:$AE$49,MATCH(AF12,$AE$39:$AE$49)+1)</f>
        <v>1439822</v>
      </c>
      <c r="AH12" s="142"/>
      <c r="AI12" s="117">
        <f t="shared" si="11"/>
        <v>1119434.5</v>
      </c>
      <c r="AJ12">
        <f t="shared" si="4"/>
        <v>1</v>
      </c>
      <c r="AK12" cm="1">
        <f t="array" ref="AK12">INDEX($AB$39:$AB$49,MATCH(AB12,$AB$39:$AB$49)+1)</f>
        <v>2.5</v>
      </c>
      <c r="AL12" s="12">
        <f t="shared" si="5"/>
        <v>1073354</v>
      </c>
      <c r="AM12" s="12" cm="1">
        <f t="array" ref="AM12">INDEX($AG$39:$AG$49,MATCH(AL12,$AG$39:$AG$49)+1)</f>
        <v>1534159</v>
      </c>
    </row>
    <row r="13" spans="1:39" ht="60" x14ac:dyDescent="0.25">
      <c r="A13" s="76" t="str">
        <f>IF(Performance!A13&lt;&gt;"",Performance!A13,"")</f>
        <v>MN0055361</v>
      </c>
      <c r="B13" s="77" t="str">
        <f>IF(Performance!B13&lt;&gt;"",Performance!B13,"")</f>
        <v>Plainview Township WWTP</v>
      </c>
      <c r="C13" s="77" t="str">
        <f>IF(Performance!E13&lt;&gt;"",Performance!E13,"")</f>
        <v>Biological Phosphorus Removal [Phosphorus]</v>
      </c>
      <c r="D13" s="77" t="str">
        <f>IF(Performance!F13&lt;&gt;"",Performance!F13,"")</f>
        <v>A/O or BNR 2-Stage Retrofit</v>
      </c>
      <c r="E13" s="138"/>
      <c r="F13" s="159"/>
      <c r="G13" s="160"/>
      <c r="H13" s="161" t="str">
        <f>IF($F13&lt;&gt;"",$F13*Adjustment!$D$26/(VLOOKUP($G13,Adjustment!$B$2:$D$27,3,FALSE))*((0.6*Adjustment!$H$26/(VLOOKUP(Performance!$C13,Adjustment!$F$2:$I$53,3,FALSE)))+(0.4*Adjustment!$I$26/(VLOOKUP(Performance!$C13,Adjustment!$F$2:$I$53,4,FALSE)))),"")</f>
        <v/>
      </c>
      <c r="I13" s="162"/>
      <c r="J13" s="159"/>
      <c r="K13" s="160"/>
      <c r="L13" s="159"/>
      <c r="M13" s="160"/>
      <c r="N13" s="161" t="str">
        <f>IF($J13&lt;&gt;"",$J13*Adjustment!$D$26/(VLOOKUP($K13,Adjustment!$B$2:$D$27,3,FALSE))*((0.6*Adjustment!$H$26/(VLOOKUP(Performance!$C13,Adjustment!$F$2:$I$53,3,FALSE)))+(0.4*Adjustment!$I$26/(VLOOKUP(Performance!$C13,Adjustment!$F$2:$I$53,4,FALSE)))),"")</f>
        <v/>
      </c>
      <c r="O13" s="161" t="str">
        <f>IF(L13&lt;&gt;"",L13*Adjustment!$D$26/(VLOOKUP(M13,Adjustment!$B$2:$D$27,3,FALSE))*((0.6*Adjustment!$H$26/(VLOOKUP(Performance!$C13,Adjustment!$F$2:$I$53,3,FALSE)))+(0.4*Adjustment!$I$26/(VLOOKUP(Performance!$C13,Adjustment!$F$2:$I$53,4,FALSE)))),"")</f>
        <v/>
      </c>
      <c r="P13" s="163"/>
      <c r="Q13" s="161" t="str">
        <f t="shared" si="6"/>
        <v/>
      </c>
      <c r="R13" s="34"/>
      <c r="S13" s="152">
        <f>IF(A13="","",(IF(OR(F13&lt;&gt;"",J13&lt;&gt;""),"",Z13*(IF(Performance!F13="A/O or BNR 2-Stage Retrofit",'Estimated O&amp;M Cost'!AC13,IF(Performance!F13="A/O or BNR 2-Stage Replace",'Estimated O&amp;M Cost'!AC13,IF(Performance!F13="A2O or BNR 3- to 5-Stage Retrofit",'Estimated O&amp;M Cost'!AI13,IF(Performance!F13="A2O or BNR 3- to 5-Stage Replace",'Estimated O&amp;M Cost'!AI13,""))))))))</f>
        <v>32771.731636408527</v>
      </c>
      <c r="T13" s="101">
        <f t="shared" si="7"/>
        <v>2022</v>
      </c>
      <c r="U13" s="178">
        <f>IF(S13&lt;&gt;"",S13*(Adjustment!$D$26/Adjustment!$D$25)*((0.6*Adjustment!$H$26/Adjustment!$H$38)+(0.4*Adjustment!$I$26/Adjustment!$I$38)),"")</f>
        <v>40374.983667794389</v>
      </c>
      <c r="V13" s="180" t="s">
        <v>212</v>
      </c>
      <c r="W13">
        <f>IF(Performance!F13="",0,IF(Performance!F13="A/O or BNR 2-Stage Retrofit",1,IF(Performance!F13="A/O or BNR 2-Stage Replace",1,3)))</f>
        <v>1</v>
      </c>
      <c r="X13">
        <f>IF(Performance!G13="",0,IF(Performance!G13&lt;=10,10,IF(Performance!G13&gt;10,30)))</f>
        <v>10</v>
      </c>
      <c r="Y13">
        <f t="shared" si="8"/>
        <v>11</v>
      </c>
      <c r="Z13" s="28">
        <f>IF(Y13=11,'Incremental O&amp;M OH 2022'!$N$52,IF(Y13=13,'Incremental O&amp;M OH 2022'!$N$53,IF(Y13=31,'Incremental O&amp;M OH 2022'!$N$55,IF(Y13=33,'Incremental O&amp;M OH 2022'!$N$56,""))))</f>
        <v>3.7459507276577479E-2</v>
      </c>
      <c r="AA13" s="12">
        <f t="shared" si="9"/>
        <v>40374.983667794389</v>
      </c>
      <c r="AB13" s="118">
        <f>IF(Performance!G13&lt;0.5,0.5,Performance!G13)</f>
        <v>0.755</v>
      </c>
      <c r="AC13" s="117">
        <f t="shared" si="10"/>
        <v>874857.52</v>
      </c>
      <c r="AD13">
        <f t="shared" si="2"/>
        <v>0.75</v>
      </c>
      <c r="AE13" cm="1">
        <f t="array" ref="AE13">INDEX($AB$39:$AB$49,MATCH(AB13,$AB$39:$AB$49)+1)</f>
        <v>1</v>
      </c>
      <c r="AF13" s="12">
        <f t="shared" si="3"/>
        <v>872861</v>
      </c>
      <c r="AG13" s="12" cm="1">
        <f t="array" ref="AG13">INDEX($AE$39:$AE$49,MATCH(AF13,$AE$39:$AE$49)+1)</f>
        <v>972687</v>
      </c>
      <c r="AH13" s="142"/>
      <c r="AI13" s="117">
        <f t="shared" si="11"/>
        <v>979045.66</v>
      </c>
      <c r="AJ13">
        <f t="shared" si="4"/>
        <v>0.75</v>
      </c>
      <c r="AK13" cm="1">
        <f t="array" ref="AK13">INDEX($AB$39:$AB$49,MATCH(AB13,$AB$39:$AB$49)+1)</f>
        <v>1</v>
      </c>
      <c r="AL13" s="12">
        <f t="shared" si="5"/>
        <v>977121</v>
      </c>
      <c r="AM13" s="12" cm="1">
        <f t="array" ref="AM13">INDEX($AG$39:$AG$49,MATCH(AL13,$AG$39:$AG$49)+1)</f>
        <v>1073354</v>
      </c>
    </row>
    <row r="14" spans="1:39" ht="30" x14ac:dyDescent="0.25">
      <c r="A14" s="76" t="str">
        <f>IF(Performance!A14&lt;&gt;"",Performance!A14,"")</f>
        <v>MT0022568</v>
      </c>
      <c r="B14" s="77" t="str">
        <f>IF(Performance!B14&lt;&gt;"",Performance!B14,"")</f>
        <v>Billings WRF</v>
      </c>
      <c r="C14" s="77" t="str">
        <f>IF(Performance!E14&lt;&gt;"",Performance!E14,"")</f>
        <v>BNR [Phosphorus, Nitrogen]</v>
      </c>
      <c r="D14" s="77" t="str">
        <f>IF(Performance!F14&lt;&gt;"",Performance!F14,"")</f>
        <v>A2O or BNR 3- to 5-Stage Replace</v>
      </c>
      <c r="E14" s="138"/>
      <c r="F14" s="159"/>
      <c r="G14" s="160"/>
      <c r="H14" s="161" t="str">
        <f>IF($F14&lt;&gt;"",$F14*Adjustment!$D$26/(VLOOKUP($G14,Adjustment!$B$2:$D$27,3,FALSE))*((0.6*Adjustment!$H$26/(VLOOKUP(Performance!$C14,Adjustment!$F$2:$I$53,3,FALSE)))+(0.4*Adjustment!$I$26/(VLOOKUP(Performance!$C14,Adjustment!$F$2:$I$53,4,FALSE)))),"")</f>
        <v/>
      </c>
      <c r="I14" s="162"/>
      <c r="J14" s="159"/>
      <c r="K14" s="160"/>
      <c r="L14" s="159"/>
      <c r="M14" s="160"/>
      <c r="N14" s="161" t="str">
        <f>IF($J14&lt;&gt;"",$J14*Adjustment!$D$26/(VLOOKUP($K14,Adjustment!$B$2:$D$27,3,FALSE))*((0.6*Adjustment!$H$26/(VLOOKUP(Performance!$C14,Adjustment!$F$2:$I$53,3,FALSE)))+(0.4*Adjustment!$I$26/(VLOOKUP(Performance!$C14,Adjustment!$F$2:$I$53,4,FALSE)))),"")</f>
        <v/>
      </c>
      <c r="O14" s="161" t="str">
        <f>IF(L14&lt;&gt;"",L14*Adjustment!$D$26/(VLOOKUP(M14,Adjustment!$B$2:$D$27,3,FALSE))*((0.6*Adjustment!$H$26/(VLOOKUP(Performance!$C14,Adjustment!$F$2:$I$53,3,FALSE)))+(0.4*Adjustment!$I$26/(VLOOKUP(Performance!$C14,Adjustment!$F$2:$I$53,4,FALSE)))),"")</f>
        <v/>
      </c>
      <c r="P14" s="163"/>
      <c r="Q14" s="161" t="str">
        <f t="shared" si="6"/>
        <v/>
      </c>
      <c r="R14" s="34"/>
      <c r="S14" s="152">
        <f>IF(A14="","",(IF(OR(F14&lt;&gt;"",J14&lt;&gt;""),"",Z14*(IF(Performance!F14="A/O or BNR 2-Stage Retrofit",'Estimated O&amp;M Cost'!AC14,IF(Performance!F14="A/O or BNR 2-Stage Replace",'Estimated O&amp;M Cost'!AC14,IF(Performance!F14="A2O or BNR 3- to 5-Stage Retrofit",'Estimated O&amp;M Cost'!AI14,IF(Performance!F14="A2O or BNR 3- to 5-Stage Replace",'Estimated O&amp;M Cost'!AI14,""))))))))</f>
        <v>675224.56122643349</v>
      </c>
      <c r="T14" s="101">
        <f t="shared" si="7"/>
        <v>2022</v>
      </c>
      <c r="U14" s="178">
        <f>IF(S14&lt;&gt;"",S14*(Adjustment!$D$26/Adjustment!$D$25)*((0.6*Adjustment!$H$26/Adjustment!$H$38)+(0.4*Adjustment!$I$26/Adjustment!$I$38)),"")</f>
        <v>831880.9922550238</v>
      </c>
      <c r="V14" s="180" t="s">
        <v>212</v>
      </c>
      <c r="W14">
        <f>IF(Performance!F14="",0,IF(Performance!F14="A/O or BNR 2-Stage Retrofit",1,IF(Performance!F14="A/O or BNR 2-Stage Replace",1,3)))</f>
        <v>3</v>
      </c>
      <c r="X14">
        <f>IF(Performance!G14="",0,IF(Performance!G14&lt;=10,10,IF(Performance!G14&gt;10,30)))</f>
        <v>30</v>
      </c>
      <c r="Y14">
        <f t="shared" si="8"/>
        <v>33</v>
      </c>
      <c r="Z14" s="28">
        <f>IF(Y14=11,'Incremental O&amp;M OH 2022'!$N$52,IF(Y14=13,'Incremental O&amp;M OH 2022'!$N$53,IF(Y14=31,'Incremental O&amp;M OH 2022'!$N$55,IF(Y14=33,'Incremental O&amp;M OH 2022'!$N$56,""))))</f>
        <v>0.1224154942258653</v>
      </c>
      <c r="AA14" s="12">
        <f t="shared" si="9"/>
        <v>831880.9922550238</v>
      </c>
      <c r="AB14" s="118">
        <f>IF(Performance!G14&lt;0.5,0.5,Performance!G14)</f>
        <v>19.7</v>
      </c>
      <c r="AC14" s="117">
        <f t="shared" si="10"/>
        <v>5185243.63</v>
      </c>
      <c r="AD14">
        <f t="shared" si="2"/>
        <v>10</v>
      </c>
      <c r="AE14" cm="1">
        <f t="array" ref="AE14">INDEX($AB$39:$AB$49,MATCH(AB14,$AB$39:$AB$49)+1)</f>
        <v>20</v>
      </c>
      <c r="AF14" s="12">
        <f t="shared" si="3"/>
        <v>3177461</v>
      </c>
      <c r="AG14" s="12" cm="1">
        <f t="array" ref="AG14">INDEX($AE$39:$AE$49,MATCH(AF14,$AE$39:$AE$49)+1)</f>
        <v>5247340</v>
      </c>
      <c r="AH14" s="142"/>
      <c r="AI14" s="117">
        <f t="shared" si="11"/>
        <v>5515842.2999999998</v>
      </c>
      <c r="AJ14">
        <f t="shared" si="4"/>
        <v>10</v>
      </c>
      <c r="AK14" cm="1">
        <f t="array" ref="AK14">INDEX($AB$39:$AB$49,MATCH(AB14,$AB$39:$AB$49)+1)</f>
        <v>20</v>
      </c>
      <c r="AL14" s="12">
        <f t="shared" si="5"/>
        <v>3438500</v>
      </c>
      <c r="AM14" s="12" cm="1">
        <f t="array" ref="AM14">INDEX($AG$39:$AG$49,MATCH(AL14,$AG$39:$AG$49)+1)</f>
        <v>5580090</v>
      </c>
    </row>
    <row r="15" spans="1:39" ht="30" x14ac:dyDescent="0.25">
      <c r="A15" s="76" t="str">
        <f>IF(Performance!A15&lt;&gt;"",Performance!A15,"")</f>
        <v>MT0022608</v>
      </c>
      <c r="B15" s="77" t="str">
        <f>IF(Performance!B15&lt;&gt;"",Performance!B15,"")</f>
        <v>Bozeman WRF</v>
      </c>
      <c r="C15" s="77" t="str">
        <f>IF(Performance!E15&lt;&gt;"",Performance!E15,"")</f>
        <v>BNR [Phosphorus, Nitrogen]</v>
      </c>
      <c r="D15" s="77" t="str">
        <f>IF(Performance!F15&lt;&gt;"",Performance!F15,"")</f>
        <v>A2O or BNR 3- to 5-Stage Replace</v>
      </c>
      <c r="E15" s="138"/>
      <c r="F15" s="159"/>
      <c r="G15" s="160"/>
      <c r="H15" s="161" t="str">
        <f>IF($F15&lt;&gt;"",$F15*Adjustment!$D$26/(VLOOKUP($G15,Adjustment!$B$2:$D$27,3,FALSE))*((0.6*Adjustment!$H$26/(VLOOKUP(Performance!$C15,Adjustment!$F$2:$I$53,3,FALSE)))+(0.4*Adjustment!$I$26/(VLOOKUP(Performance!$C15,Adjustment!$F$2:$I$53,4,FALSE)))),"")</f>
        <v/>
      </c>
      <c r="I15" s="162"/>
      <c r="J15" s="159"/>
      <c r="K15" s="160"/>
      <c r="L15" s="159"/>
      <c r="M15" s="160"/>
      <c r="N15" s="161" t="str">
        <f>IF($J15&lt;&gt;"",$J15*Adjustment!$D$26/(VLOOKUP($K15,Adjustment!$B$2:$D$27,3,FALSE))*((0.6*Adjustment!$H$26/(VLOOKUP(Performance!$C15,Adjustment!$F$2:$I$53,3,FALSE)))+(0.4*Adjustment!$I$26/(VLOOKUP(Performance!$C15,Adjustment!$F$2:$I$53,4,FALSE)))),"")</f>
        <v/>
      </c>
      <c r="O15" s="161" t="str">
        <f>IF(L15&lt;&gt;"",L15*Adjustment!$D$26/(VLOOKUP(M15,Adjustment!$B$2:$D$27,3,FALSE))*((0.6*Adjustment!$H$26/(VLOOKUP(Performance!$C15,Adjustment!$F$2:$I$53,3,FALSE)))+(0.4*Adjustment!$I$26/(VLOOKUP(Performance!$C15,Adjustment!$F$2:$I$53,4,FALSE)))),"")</f>
        <v/>
      </c>
      <c r="P15" s="163"/>
      <c r="Q15" s="161" t="str">
        <f t="shared" si="6"/>
        <v/>
      </c>
      <c r="R15" s="34"/>
      <c r="S15" s="152">
        <f>IF(A15="","",(IF(OR(F15&lt;&gt;"",J15&lt;&gt;""),"",Z15*(IF(Performance!F15="A/O or BNR 2-Stage Retrofit",'Estimated O&amp;M Cost'!AC15,IF(Performance!F15="A/O or BNR 2-Stage Replace",'Estimated O&amp;M Cost'!AC15,IF(Performance!F15="A2O or BNR 3- to 5-Stage Retrofit",'Estimated O&amp;M Cost'!AI15,IF(Performance!F15="A2O or BNR 3- to 5-Stage Replace",'Estimated O&amp;M Cost'!AI15,""))))))))</f>
        <v>344953.4634188115</v>
      </c>
      <c r="T15" s="101">
        <f t="shared" si="7"/>
        <v>2022</v>
      </c>
      <c r="U15" s="178">
        <f>IF(S15&lt;&gt;"",S15*(Adjustment!$D$26/Adjustment!$D$25)*((0.6*Adjustment!$H$26/Adjustment!$H$38)+(0.4*Adjustment!$I$26/Adjustment!$I$38)),"")</f>
        <v>424984.88045137504</v>
      </c>
      <c r="V15" s="180" t="s">
        <v>212</v>
      </c>
      <c r="W15">
        <f>IF(Performance!F15="",0,IF(Performance!F15="A/O or BNR 2-Stage Retrofit",1,IF(Performance!F15="A/O or BNR 2-Stage Replace",1,3)))</f>
        <v>3</v>
      </c>
      <c r="X15">
        <f>IF(Performance!G15="",0,IF(Performance!G15&lt;=10,10,IF(Performance!G15&gt;10,30)))</f>
        <v>10</v>
      </c>
      <c r="Y15">
        <f t="shared" si="8"/>
        <v>13</v>
      </c>
      <c r="Z15" s="28">
        <f>IF(Y15=11,'Incremental O&amp;M OH 2022'!$N$52,IF(Y15=13,'Incremental O&amp;M OH 2022'!$N$53,IF(Y15=31,'Incremental O&amp;M OH 2022'!$N$55,IF(Y15=33,'Incremental O&amp;M OH 2022'!$N$56,""))))</f>
        <v>0.13682407306574235</v>
      </c>
      <c r="AA15" s="12">
        <f t="shared" si="9"/>
        <v>424984.88045137504</v>
      </c>
      <c r="AB15" s="118">
        <f>IF(Performance!G15&lt;0.5,0.5,Performance!G15)</f>
        <v>5.96</v>
      </c>
      <c r="AC15" s="117">
        <f t="shared" si="10"/>
        <v>2309749.44</v>
      </c>
      <c r="AD15">
        <f t="shared" si="2"/>
        <v>5</v>
      </c>
      <c r="AE15" cm="1">
        <f t="array" ref="AE15">INDEX($AB$39:$AB$49,MATCH(AB15,$AB$39:$AB$49)+1)</f>
        <v>7.5</v>
      </c>
      <c r="AF15" s="12">
        <f t="shared" si="3"/>
        <v>2087784</v>
      </c>
      <c r="AG15" s="12" cm="1">
        <f t="array" ref="AG15">INDEX($AE$39:$AE$49,MATCH(AF15,$AE$39:$AE$49)+1)</f>
        <v>2665819</v>
      </c>
      <c r="AH15" s="142"/>
      <c r="AI15" s="117">
        <f t="shared" si="11"/>
        <v>2521145.9920000001</v>
      </c>
      <c r="AJ15">
        <f t="shared" si="4"/>
        <v>5</v>
      </c>
      <c r="AK15" cm="1">
        <f t="array" ref="AK15">INDEX($AB$39:$AB$49,MATCH(AB15,$AB$39:$AB$49)+1)</f>
        <v>7.5</v>
      </c>
      <c r="AL15" s="12">
        <f t="shared" si="5"/>
        <v>2289877</v>
      </c>
      <c r="AM15" s="12" cm="1">
        <f t="array" ref="AM15">INDEX($AG$39:$AG$49,MATCH(AL15,$AG$39:$AG$49)+1)</f>
        <v>2892140</v>
      </c>
    </row>
    <row r="16" spans="1:39" ht="105" x14ac:dyDescent="0.25">
      <c r="A16" s="76" t="str">
        <f>IF(Performance!A16&lt;&gt;"",Performance!A16,"")</f>
        <v>MT0020435</v>
      </c>
      <c r="B16" s="77" t="str">
        <f>IF(Performance!B16&lt;&gt;"",Performance!B16,"")</f>
        <v>Livingston WRF</v>
      </c>
      <c r="C16" s="77" t="str">
        <f>IF(Performance!E16&lt;&gt;"",Performance!E16,"")</f>
        <v>Sequencing Batch Reactors [Phosphorus, Nitrogen]</v>
      </c>
      <c r="D16" s="77" t="str">
        <f>IF(Performance!F16&lt;&gt;"",Performance!F16,"")</f>
        <v>A2O or BNR 3- to 5-Stage Replace</v>
      </c>
      <c r="E16" s="138"/>
      <c r="F16" s="159"/>
      <c r="G16" s="160"/>
      <c r="H16" s="161" t="str">
        <f>IF($F16&lt;&gt;"",$F16*Adjustment!$D$26/(VLOOKUP($G16,Adjustment!$B$2:$D$27,3,FALSE))*((0.6*Adjustment!$H$26/(VLOOKUP(Performance!$C16,Adjustment!$F$2:$I$53,3,FALSE)))+(0.4*Adjustment!$I$26/(VLOOKUP(Performance!$C16,Adjustment!$F$2:$I$53,4,FALSE)))),"")</f>
        <v/>
      </c>
      <c r="I16" s="162"/>
      <c r="J16" s="159"/>
      <c r="K16" s="160"/>
      <c r="L16" s="159"/>
      <c r="M16" s="160"/>
      <c r="N16" s="161" t="str">
        <f>IF($J16&lt;&gt;"",$J16*Adjustment!$D$26/(VLOOKUP($K16,Adjustment!$B$2:$D$27,3,FALSE))*((0.6*Adjustment!$H$26/(VLOOKUP(Performance!$C16,Adjustment!$F$2:$I$53,3,FALSE)))+(0.4*Adjustment!$I$26/(VLOOKUP(Performance!$C16,Adjustment!$F$2:$I$53,4,FALSE)))),"")</f>
        <v/>
      </c>
      <c r="O16" s="161" t="str">
        <f>IF(L16&lt;&gt;"",L16*Adjustment!$D$26/(VLOOKUP(M16,Adjustment!$B$2:$D$27,3,FALSE))*((0.6*Adjustment!$H$26/(VLOOKUP(Performance!$C16,Adjustment!$F$2:$I$53,3,FALSE)))+(0.4*Adjustment!$I$26/(VLOOKUP(Performance!$C16,Adjustment!$F$2:$I$53,4,FALSE)))),"")</f>
        <v/>
      </c>
      <c r="P16" s="163"/>
      <c r="Q16" s="161" t="str">
        <f t="shared" si="6"/>
        <v/>
      </c>
      <c r="R16" s="34"/>
      <c r="S16" s="152">
        <f>IF(A16="","",(IF(OR(F16&lt;&gt;"",J16&lt;&gt;""),"",Z16*(IF(Performance!F16="A/O or BNR 2-Stage Retrofit",'Estimated O&amp;M Cost'!AC16,IF(Performance!F16="A/O or BNR 2-Stage Replace",'Estimated O&amp;M Cost'!AC16,IF(Performance!F16="A2O or BNR 3- to 5-Stage Retrofit",'Estimated O&amp;M Cost'!AI16,IF(Performance!F16="A2O or BNR 3- to 5-Stage Replace",'Estimated O&amp;M Cost'!AI16,""))))))))</f>
        <v>132456.31480274559</v>
      </c>
      <c r="T16" s="101">
        <f t="shared" si="7"/>
        <v>2022</v>
      </c>
      <c r="U16" s="178">
        <f>IF(S16&lt;&gt;"",S16*(Adjustment!$D$26/Adjustment!$D$25)*((0.6*Adjustment!$H$26/Adjustment!$H$38)+(0.4*Adjustment!$I$26/Adjustment!$I$38)),"")</f>
        <v>163187.02979111686</v>
      </c>
      <c r="V16" s="180" t="s">
        <v>248</v>
      </c>
      <c r="W16">
        <f>IF(Performance!F16="",0,IF(Performance!F16="A/O or BNR 2-Stage Retrofit",1,IF(Performance!F16="A/O or BNR 2-Stage Replace",1,3)))</f>
        <v>3</v>
      </c>
      <c r="X16">
        <f>IF(Performance!G16="",0,IF(Performance!G16&lt;=10,10,IF(Performance!G16&gt;10,30)))</f>
        <v>10</v>
      </c>
      <c r="Y16">
        <f t="shared" si="8"/>
        <v>13</v>
      </c>
      <c r="Z16" s="28">
        <f>IF(Y16=11,'Incremental O&amp;M OH 2022'!$N$52,IF(Y16=13,'Incremental O&amp;M OH 2022'!$N$53,IF(Y16=31,'Incremental O&amp;M OH 2022'!$N$55,IF(Y16=33,'Incremental O&amp;M OH 2022'!$N$56,""))))</f>
        <v>0.13682407306574235</v>
      </c>
      <c r="AA16" s="12">
        <f t="shared" si="9"/>
        <v>163187.02979111686</v>
      </c>
      <c r="AB16" s="118">
        <f>IF(Performance!G16&lt;0.5,0.5,Performance!G16)</f>
        <v>0.73</v>
      </c>
      <c r="AC16" s="117">
        <f t="shared" si="10"/>
        <v>865271.64</v>
      </c>
      <c r="AD16">
        <f t="shared" si="2"/>
        <v>0.5</v>
      </c>
      <c r="AE16" cm="1">
        <f t="array" ref="AE16">INDEX($AB$39:$AB$49,MATCH(AB16,$AB$39:$AB$49)+1)</f>
        <v>0.75</v>
      </c>
      <c r="AF16" s="12">
        <f t="shared" si="3"/>
        <v>777994</v>
      </c>
      <c r="AG16" s="12" cm="1">
        <f t="array" ref="AG16">INDEX($AE$39:$AE$49,MATCH(AF16,$AE$39:$AE$49)+1)</f>
        <v>872861</v>
      </c>
      <c r="AH16" s="142"/>
      <c r="AI16" s="117">
        <f t="shared" si="11"/>
        <v>968077.56</v>
      </c>
      <c r="AJ16">
        <f t="shared" si="4"/>
        <v>0.5</v>
      </c>
      <c r="AK16" cm="1">
        <f t="array" ref="AK16">INDEX($AB$39:$AB$49,MATCH(AB16,$AB$39:$AB$49)+1)</f>
        <v>0.75</v>
      </c>
      <c r="AL16" s="12">
        <f t="shared" si="5"/>
        <v>864078</v>
      </c>
      <c r="AM16" s="12" cm="1">
        <f t="array" ref="AM16">INDEX($AG$39:$AG$49,MATCH(AL16,$AG$39:$AG$49)+1)</f>
        <v>977121</v>
      </c>
    </row>
    <row r="17" spans="1:39" ht="75" x14ac:dyDescent="0.25">
      <c r="A17" s="76" t="str">
        <f>IF(Performance!A17&lt;&gt;"",Performance!A17,"")</f>
        <v>MT0020079</v>
      </c>
      <c r="B17" s="77" t="str">
        <f>IF(Performance!B17&lt;&gt;"",Performance!B17,"")</f>
        <v>Conrad WWTF</v>
      </c>
      <c r="C17" s="77" t="str">
        <f>IF(Performance!E17&lt;&gt;"",Performance!E17,"")</f>
        <v>Extended Aeration Activated Sludge [Phosphorus]</v>
      </c>
      <c r="D17" s="77" t="str">
        <f>IF(Performance!F17&lt;&gt;"",Performance!F17,"")</f>
        <v>A/O or BNR 2-Stage Replace</v>
      </c>
      <c r="E17" s="138"/>
      <c r="F17" s="159"/>
      <c r="G17" s="160"/>
      <c r="H17" s="161" t="str">
        <f>IF($F17&lt;&gt;"",$F17*Adjustment!$D$26/(VLOOKUP($G17,Adjustment!$B$2:$D$27,3,FALSE))*((0.6*Adjustment!$H$26/(VLOOKUP(Performance!$C17,Adjustment!$F$2:$I$53,3,FALSE)))+(0.4*Adjustment!$I$26/(VLOOKUP(Performance!$C17,Adjustment!$F$2:$I$53,4,FALSE)))),"")</f>
        <v/>
      </c>
      <c r="I17" s="162"/>
      <c r="J17" s="159"/>
      <c r="K17" s="160"/>
      <c r="L17" s="159"/>
      <c r="M17" s="160"/>
      <c r="N17" s="161" t="str">
        <f>IF($J17&lt;&gt;"",$J17*Adjustment!$D$26/(VLOOKUP($K17,Adjustment!$B$2:$D$27,3,FALSE))*((0.6*Adjustment!$H$26/(VLOOKUP(Performance!$C17,Adjustment!$F$2:$I$53,3,FALSE)))+(0.4*Adjustment!$I$26/(VLOOKUP(Performance!$C17,Adjustment!$F$2:$I$53,4,FALSE)))),"")</f>
        <v/>
      </c>
      <c r="O17" s="161" t="str">
        <f>IF(L17&lt;&gt;"",L17*Adjustment!$D$26/(VLOOKUP(M17,Adjustment!$B$2:$D$27,3,FALSE))*((0.6*Adjustment!$H$26/(VLOOKUP(Performance!$C17,Adjustment!$F$2:$I$53,3,FALSE)))+(0.4*Adjustment!$I$26/(VLOOKUP(Performance!$C17,Adjustment!$F$2:$I$53,4,FALSE)))),"")</f>
        <v/>
      </c>
      <c r="P17" s="163"/>
      <c r="Q17" s="161" t="str">
        <f t="shared" si="6"/>
        <v/>
      </c>
      <c r="R17" s="34"/>
      <c r="S17" s="152">
        <f>IF(A17="","",(IF(OR(F17&lt;&gt;"",J17&lt;&gt;""),"",Z17*(IF(Performance!F17="A/O or BNR 2-Stage Retrofit",'Estimated O&amp;M Cost'!AC17,IF(Performance!F17="A/O or BNR 2-Stage Replace",'Estimated O&amp;M Cost'!AC17,IF(Performance!F17="A2O or BNR 3- to 5-Stage Retrofit",'Estimated O&amp;M Cost'!AI17,IF(Performance!F17="A2O or BNR 3- to 5-Stage Replace",'Estimated O&amp;M Cost'!AI17,""))))))))</f>
        <v>29143.27190413362</v>
      </c>
      <c r="T17" s="101">
        <f t="shared" si="7"/>
        <v>2022</v>
      </c>
      <c r="U17" s="178">
        <f>IF(S17&lt;&gt;"",S17*(Adjustment!$D$26/Adjustment!$D$25)*((0.6*Adjustment!$H$26/Adjustment!$H$38)+(0.4*Adjustment!$I$26/Adjustment!$I$38)),"")</f>
        <v>35904.69799429972</v>
      </c>
      <c r="V17" s="180" t="s">
        <v>253</v>
      </c>
      <c r="W17">
        <f>IF(Performance!F17="",0,IF(Performance!F17="A/O or BNR 2-Stage Retrofit",1,IF(Performance!F17="A/O or BNR 2-Stage Replace",1,3)))</f>
        <v>1</v>
      </c>
      <c r="X17">
        <f>IF(Performance!G17="",0,IF(Performance!G17&lt;=10,10,IF(Performance!G17&gt;10,30)))</f>
        <v>10</v>
      </c>
      <c r="Y17">
        <f t="shared" si="8"/>
        <v>11</v>
      </c>
      <c r="Z17" s="28">
        <f>IF(Y17=11,'Incremental O&amp;M OH 2022'!$N$52,IF(Y17=13,'Incremental O&amp;M OH 2022'!$N$53,IF(Y17=31,'Incremental O&amp;M OH 2022'!$N$55,IF(Y17=33,'Incremental O&amp;M OH 2022'!$N$56,""))))</f>
        <v>3.7459507276577479E-2</v>
      </c>
      <c r="AA17" s="12">
        <f t="shared" si="9"/>
        <v>35904.69799429972</v>
      </c>
      <c r="AB17" s="118">
        <f>IF(Performance!G17&lt;0.5,0.5,Performance!G17)</f>
        <v>0.5</v>
      </c>
      <c r="AC17" s="117">
        <f t="shared" si="10"/>
        <v>777994</v>
      </c>
      <c r="AD17">
        <f t="shared" si="2"/>
        <v>0.5</v>
      </c>
      <c r="AE17" cm="1">
        <f t="array" ref="AE17">INDEX($AB$39:$AB$49,MATCH(AB17,$AB$39:$AB$49)+1)</f>
        <v>0.75</v>
      </c>
      <c r="AF17" s="12">
        <f t="shared" si="3"/>
        <v>777994</v>
      </c>
      <c r="AG17" s="12" cm="1">
        <f t="array" ref="AG17">INDEX($AE$39:$AE$49,MATCH(AF17,$AE$39:$AE$49)+1)</f>
        <v>872861</v>
      </c>
      <c r="AH17" s="142"/>
      <c r="AI17" s="117">
        <f t="shared" si="11"/>
        <v>864078</v>
      </c>
      <c r="AJ17">
        <f t="shared" si="4"/>
        <v>0.5</v>
      </c>
      <c r="AK17" cm="1">
        <f t="array" ref="AK17">INDEX($AB$39:$AB$49,MATCH(AB17,$AB$39:$AB$49)+1)</f>
        <v>0.75</v>
      </c>
      <c r="AL17" s="12">
        <f t="shared" si="5"/>
        <v>864078</v>
      </c>
      <c r="AM17" s="12" cm="1">
        <f t="array" ref="AM17">INDEX($AG$39:$AG$49,MATCH(AL17,$AG$39:$AG$49)+1)</f>
        <v>977121</v>
      </c>
    </row>
    <row r="18" spans="1:39" ht="75" x14ac:dyDescent="0.25">
      <c r="A18" s="76" t="str">
        <f>IF(Performance!A18&lt;&gt;"",Performance!A18,"")</f>
        <v>MN0050725</v>
      </c>
      <c r="B18" s="77" t="str">
        <f>IF(Performance!B18&lt;&gt;"",Performance!B18,"")</f>
        <v>Kasson WWTP</v>
      </c>
      <c r="C18" s="77" t="str">
        <f>IF(Performance!E18&lt;&gt;"",Performance!E18,"")</f>
        <v>Activated sludge with Biological Phosphorus Removal [Phosphorus]</v>
      </c>
      <c r="D18" s="77" t="str">
        <f>IF(Performance!F18&lt;&gt;"",Performance!F18,"")</f>
        <v>A/O or BNR 2-Stage Replace</v>
      </c>
      <c r="E18" s="138"/>
      <c r="F18" s="159"/>
      <c r="G18" s="160"/>
      <c r="H18" s="161" t="str">
        <f>IF($F18&lt;&gt;"",$F18*Adjustment!$D$26/(VLOOKUP($G18,Adjustment!$B$2:$D$27,3,FALSE))*((0.6*Adjustment!$H$26/(VLOOKUP(Performance!$C18,Adjustment!$F$2:$I$53,3,FALSE)))+(0.4*Adjustment!$I$26/(VLOOKUP(Performance!$C18,Adjustment!$F$2:$I$53,4,FALSE)))),"")</f>
        <v/>
      </c>
      <c r="I18" s="162"/>
      <c r="J18" s="159"/>
      <c r="K18" s="160"/>
      <c r="L18" s="159"/>
      <c r="M18" s="160"/>
      <c r="N18" s="161" t="str">
        <f>IF($J18&lt;&gt;"",$J18*Adjustment!$D$26/(VLOOKUP($K18,Adjustment!$B$2:$D$27,3,FALSE))*((0.6*Adjustment!$H$26/(VLOOKUP(Performance!$C18,Adjustment!$F$2:$I$53,3,FALSE)))+(0.4*Adjustment!$I$26/(VLOOKUP(Performance!$C18,Adjustment!$F$2:$I$53,4,FALSE)))),"")</f>
        <v/>
      </c>
      <c r="O18" s="161" t="str">
        <f>IF(L18&lt;&gt;"",L18*Adjustment!$D$26/(VLOOKUP(M18,Adjustment!$B$2:$D$27,3,FALSE))*((0.6*Adjustment!$H$26/(VLOOKUP(Performance!$C18,Adjustment!$F$2:$I$53,3,FALSE)))+(0.4*Adjustment!$I$26/(VLOOKUP(Performance!$C18,Adjustment!$F$2:$I$53,4,FALSE)))),"")</f>
        <v/>
      </c>
      <c r="P18" s="163"/>
      <c r="Q18" s="161" t="str">
        <f t="shared" si="6"/>
        <v/>
      </c>
      <c r="R18" s="34"/>
      <c r="S18" s="152">
        <f>IF(A18="","",(IF(OR(F18&lt;&gt;"",J18&lt;&gt;""),"",Z18*(IF(Performance!F18="A/O or BNR 2-Stage Retrofit",'Estimated O&amp;M Cost'!AC18,IF(Performance!F18="A/O or BNR 2-Stage Replace",'Estimated O&amp;M Cost'!AC18,IF(Performance!F18="A2O or BNR 3- to 5-Stage Retrofit",'Estimated O&amp;M Cost'!AI18,IF(Performance!F18="A2O or BNR 3- to 5-Stage Replace",'Estimated O&amp;M Cost'!AI18,""))))))))</f>
        <v>33624.322308741816</v>
      </c>
      <c r="T18" s="101">
        <f t="shared" si="7"/>
        <v>2022</v>
      </c>
      <c r="U18" s="178">
        <f>IF(S18&lt;&gt;"",S18*(Adjustment!$D$26/Adjustment!$D$25)*((0.6*Adjustment!$H$26/Adjustment!$H$38)+(0.4*Adjustment!$I$26/Adjustment!$I$38)),"")</f>
        <v>41425.380847067237</v>
      </c>
      <c r="V18" s="180" t="s">
        <v>309</v>
      </c>
      <c r="W18">
        <f>IF(Performance!F18="",0,IF(Performance!F18="A/O or BNR 2-Stage Retrofit",1,IF(Performance!F18="A/O or BNR 2-Stage Replace",1,3)))</f>
        <v>1</v>
      </c>
      <c r="X18">
        <f>IF(Performance!G18="",0,IF(Performance!G18&lt;=10,10,IF(Performance!G18&gt;10,30)))</f>
        <v>10</v>
      </c>
      <c r="Y18">
        <f t="shared" si="8"/>
        <v>11</v>
      </c>
      <c r="Z18" s="28">
        <f>IF(Y18=11,'Incremental O&amp;M OH 2022'!$N$52,IF(Y18=13,'Incremental O&amp;M OH 2022'!$N$53,IF(Y18=31,'Incremental O&amp;M OH 2022'!$N$55,IF(Y18=33,'Incremental O&amp;M OH 2022'!$N$56,""))))</f>
        <v>3.7459507276577479E-2</v>
      </c>
      <c r="AA18" s="12">
        <f t="shared" si="9"/>
        <v>41425.380847067237</v>
      </c>
      <c r="AB18" s="118">
        <f>Performance!G18</f>
        <v>0.81200000000000006</v>
      </c>
      <c r="AC18" s="117">
        <f t="shared" si="10"/>
        <v>897617.848</v>
      </c>
      <c r="AD18">
        <f t="shared" si="2"/>
        <v>0.75</v>
      </c>
      <c r="AE18" cm="1">
        <f t="array" ref="AE18">INDEX($AB$39:$AB$49,MATCH(AB18,$AB$39:$AB$49)+1)</f>
        <v>1</v>
      </c>
      <c r="AF18" s="12">
        <f t="shared" si="3"/>
        <v>872861</v>
      </c>
      <c r="AG18" s="12" cm="1">
        <f t="array" ref="AG18">INDEX($AE$39:$AE$49,MATCH(AF18,$AE$39:$AE$49)+1)</f>
        <v>972687</v>
      </c>
      <c r="AH18" s="142"/>
      <c r="AI18" s="117">
        <f t="shared" si="11"/>
        <v>1000986.784</v>
      </c>
      <c r="AJ18">
        <f t="shared" si="4"/>
        <v>0.75</v>
      </c>
      <c r="AK18" cm="1">
        <f t="array" ref="AK18">INDEX($AB$39:$AB$49,MATCH(AB18,$AB$39:$AB$49)+1)</f>
        <v>1</v>
      </c>
      <c r="AL18" s="12">
        <f t="shared" si="5"/>
        <v>977121</v>
      </c>
      <c r="AM18" s="12" cm="1">
        <f t="array" ref="AM18">INDEX($AG$39:$AG$49,MATCH(AL18,$AG$39:$AG$49)+1)</f>
        <v>1073354</v>
      </c>
    </row>
    <row r="19" spans="1:39" ht="75" x14ac:dyDescent="0.25">
      <c r="A19" s="76" t="str">
        <f>IF(Performance!A19&lt;&gt;"",Performance!A19,"")</f>
        <v>WI0020478</v>
      </c>
      <c r="B19" s="77" t="str">
        <f>IF(Performance!B19&lt;&gt;"",Performance!B19,"")</f>
        <v>City of Sun Prairie WWTP</v>
      </c>
      <c r="C19" s="77" t="str">
        <f>IF(Performance!E19&lt;&gt;"",Performance!E19,"")</f>
        <v>Activated sludge with Biological Phosphorus Removal [Phosphorus]</v>
      </c>
      <c r="D19" s="77" t="str">
        <f>IF(Performance!F19&lt;&gt;"",Performance!F19,"")</f>
        <v>A/O or BNR 2-Stage Retrofit</v>
      </c>
      <c r="E19" s="138"/>
      <c r="F19" s="159"/>
      <c r="G19" s="160"/>
      <c r="H19" s="161" t="str">
        <f>IF($F19&lt;&gt;"",$F19*Adjustment!$D$26/(VLOOKUP($G19,Adjustment!$B$2:$D$27,3,FALSE))*((0.6*Adjustment!$H$26/(VLOOKUP(Performance!$C19,Adjustment!$F$2:$I$53,3,FALSE)))+(0.4*Adjustment!$I$26/(VLOOKUP(Performance!$C19,Adjustment!$F$2:$I$53,4,FALSE)))),"")</f>
        <v/>
      </c>
      <c r="I19" s="162"/>
      <c r="J19" s="159"/>
      <c r="K19" s="160"/>
      <c r="L19" s="159"/>
      <c r="M19" s="160"/>
      <c r="N19" s="161" t="str">
        <f>IF($J19&lt;&gt;"",$J19*Adjustment!$D$26/(VLOOKUP($K19,Adjustment!$B$2:$D$27,3,FALSE))*((0.6*Adjustment!$H$26/(VLOOKUP(Performance!$C19,Adjustment!$F$2:$I$53,3,FALSE)))+(0.4*Adjustment!$I$26/(VLOOKUP(Performance!$C19,Adjustment!$F$2:$I$53,4,FALSE)))),"")</f>
        <v/>
      </c>
      <c r="O19" s="161" t="str">
        <f>IF(L19&lt;&gt;"",L19*Adjustment!$D$26/(VLOOKUP(M19,Adjustment!$B$2:$D$27,3,FALSE))*((0.6*Adjustment!$H$26/(VLOOKUP(Performance!$C19,Adjustment!$F$2:$I$53,3,FALSE)))+(0.4*Adjustment!$I$26/(VLOOKUP(Performance!$C19,Adjustment!$F$2:$I$53,4,FALSE)))),"")</f>
        <v/>
      </c>
      <c r="P19" s="163"/>
      <c r="Q19" s="161" t="str">
        <f t="shared" si="6"/>
        <v/>
      </c>
      <c r="R19" s="34"/>
      <c r="S19" s="152">
        <f>IF(A19="","",(IF(OR(F19&lt;&gt;"",J19&lt;&gt;""),"",Z19*(IF(Performance!F19="A/O or BNR 2-Stage Retrofit",'Estimated O&amp;M Cost'!AC19,IF(Performance!F19="A/O or BNR 2-Stage Replace",'Estimated O&amp;M Cost'!AC19,IF(Performance!F19="A2O or BNR 3- to 5-Stage Retrofit",'Estimated O&amp;M Cost'!AI19,IF(Performance!F19="A2O or BNR 3- to 5-Stage Replace",'Estimated O&amp;M Cost'!AI19,""))))))))</f>
        <v>63935.225634601971</v>
      </c>
      <c r="T19" s="101">
        <f t="shared" si="7"/>
        <v>2022</v>
      </c>
      <c r="U19" s="178">
        <f>IF(S19&lt;&gt;"",S19*(Adjustment!$D$26/Adjustment!$D$25)*((0.6*Adjustment!$H$26/Adjustment!$H$38)+(0.4*Adjustment!$I$26/Adjustment!$I$38)),"")</f>
        <v>78768.608245465875</v>
      </c>
      <c r="V19" s="180" t="s">
        <v>310</v>
      </c>
      <c r="W19">
        <f>IF(Performance!F19="",0,IF(Performance!F19="A/O or BNR 2-Stage Retrofit",1,IF(Performance!F19="A/O or BNR 2-Stage Replace",1,3)))</f>
        <v>1</v>
      </c>
      <c r="X19">
        <f>IF(Performance!G19="",0,IF(Performance!G19&lt;=10,10,IF(Performance!G19&gt;10,30)))</f>
        <v>10</v>
      </c>
      <c r="Y19">
        <f t="shared" si="8"/>
        <v>11</v>
      </c>
      <c r="Z19" s="28">
        <f>IF(Y19=11,'Incremental O&amp;M OH 2022'!$N$52,IF(Y19=13,'Incremental O&amp;M OH 2022'!$N$53,IF(Y19=31,'Incremental O&amp;M OH 2022'!$N$55,IF(Y19=33,'Incremental O&amp;M OH 2022'!$N$56,""))))</f>
        <v>3.7459507276577479E-2</v>
      </c>
      <c r="AA19" s="12">
        <f t="shared" si="9"/>
        <v>78768.608245465875</v>
      </c>
      <c r="AB19" s="118">
        <f>Performance!G19</f>
        <v>3.53</v>
      </c>
      <c r="AC19" s="117">
        <f t="shared" si="10"/>
        <v>1706782.344</v>
      </c>
      <c r="AD19">
        <f t="shared" si="2"/>
        <v>2.5</v>
      </c>
      <c r="AE19" cm="1">
        <f t="array" ref="AE19">INDEX($AB$39:$AB$49,MATCH(AB19,$AB$39:$AB$49)+1)</f>
        <v>5</v>
      </c>
      <c r="AF19" s="12">
        <f t="shared" si="3"/>
        <v>1439822</v>
      </c>
      <c r="AG19" s="12" cm="1">
        <f t="array" ref="AG19">INDEX($AE$39:$AE$49,MATCH(AF19,$AE$39:$AE$49)+1)</f>
        <v>2087784</v>
      </c>
      <c r="AH19" s="142"/>
      <c r="AI19" s="117">
        <f t="shared" si="11"/>
        <v>1845514.8159999999</v>
      </c>
      <c r="AJ19">
        <f t="shared" si="4"/>
        <v>2.5</v>
      </c>
      <c r="AK19" cm="1">
        <f t="array" ref="AK19">INDEX($AB$39:$AB$49,MATCH(AB19,$AB$39:$AB$49)+1)</f>
        <v>5</v>
      </c>
      <c r="AL19" s="12">
        <f t="shared" si="5"/>
        <v>1534159</v>
      </c>
      <c r="AM19" s="12" cm="1">
        <f t="array" ref="AM19">INDEX($AG$39:$AG$49,MATCH(AL19,$AG$39:$AG$49)+1)</f>
        <v>2289877</v>
      </c>
    </row>
    <row r="20" spans="1:39" ht="45" x14ac:dyDescent="0.25">
      <c r="A20" s="76" t="str">
        <f>IF(Performance!A20&lt;&gt;"",Performance!A20,"")</f>
        <v>MN0020117</v>
      </c>
      <c r="B20" s="77" t="str">
        <f>IF(Performance!B20&lt;&gt;"",Performance!B20,"")</f>
        <v>Central Iron Range Sanitary District WWTF</v>
      </c>
      <c r="C20" s="77" t="str">
        <f>IF(Performance!E20&lt;&gt;"",Performance!E20,"")</f>
        <v>Sequencing Batch Reactors [Phosphorus]</v>
      </c>
      <c r="D20" s="77" t="str">
        <f>IF(Performance!F20&lt;&gt;"",Performance!F20,"")</f>
        <v>A/O or BNR 2-Stage Replace</v>
      </c>
      <c r="E20" s="138"/>
      <c r="F20" s="159"/>
      <c r="G20" s="160"/>
      <c r="H20" s="161" t="str">
        <f>IF($F20&lt;&gt;"",$F20*Adjustment!$D$26/(VLOOKUP($G20,Adjustment!$B$2:$D$27,3,FALSE))*((0.6*Adjustment!$H$26/(VLOOKUP(Performance!$C20,Adjustment!$F$2:$I$53,3,FALSE)))+(0.4*Adjustment!$I$26/(VLOOKUP(Performance!$C20,Adjustment!$F$2:$I$53,4,FALSE)))),"")</f>
        <v/>
      </c>
      <c r="I20" s="162"/>
      <c r="J20" s="159"/>
      <c r="K20" s="160"/>
      <c r="L20" s="159"/>
      <c r="M20" s="160"/>
      <c r="N20" s="161" t="str">
        <f>IF($J20&lt;&gt;"",$J20*Adjustment!$D$26/(VLOOKUP($K20,Adjustment!$B$2:$D$27,3,FALSE))*((0.6*Adjustment!$H$26/(VLOOKUP(Performance!$C20,Adjustment!$F$2:$I$53,3,FALSE)))+(0.4*Adjustment!$I$26/(VLOOKUP(Performance!$C20,Adjustment!$F$2:$I$53,4,FALSE)))),"")</f>
        <v/>
      </c>
      <c r="O20" s="161" t="str">
        <f>IF(L20&lt;&gt;"",L20*Adjustment!$D$26/(VLOOKUP(M20,Adjustment!$B$2:$D$27,3,FALSE))*((0.6*Adjustment!$H$26/(VLOOKUP(Performance!$C20,Adjustment!$F$2:$I$53,3,FALSE)))+(0.4*Adjustment!$I$26/(VLOOKUP(Performance!$C20,Adjustment!$F$2:$I$53,4,FALSE)))),"")</f>
        <v/>
      </c>
      <c r="P20" s="163"/>
      <c r="Q20" s="161" t="str">
        <f t="shared" si="6"/>
        <v/>
      </c>
      <c r="R20" s="34"/>
      <c r="S20" s="152">
        <f>IF(A20="","",(IF(OR(F20&lt;&gt;"",J20&lt;&gt;""),"",Z20*(IF(Performance!F20="A/O or BNR 2-Stage Retrofit",'Estimated O&amp;M Cost'!AC20,IF(Performance!F20="A/O or BNR 2-Stage Replace",'Estimated O&amp;M Cost'!AC20,IF(Performance!F20="A2O or BNR 3- to 5-Stage Retrofit",'Estimated O&amp;M Cost'!AI20,IF(Performance!F20="A2O or BNR 3- to 5-Stage Replace",'Estimated O&amp;M Cost'!AI20,""))))))))</f>
        <v>33444.829535619021</v>
      </c>
      <c r="T20" s="101">
        <f t="shared" si="7"/>
        <v>2022</v>
      </c>
      <c r="U20" s="178">
        <f>IF(S20&lt;&gt;"",S20*(Adjustment!$D$26/Adjustment!$D$25)*((0.6*Adjustment!$H$26/Adjustment!$H$38)+(0.4*Adjustment!$I$26/Adjustment!$I$38)),"")</f>
        <v>41204.244598799276</v>
      </c>
      <c r="V20" s="182" t="s">
        <v>310</v>
      </c>
      <c r="W20">
        <f>IF(Performance!F20="",0,IF(Performance!F20="A/O or BNR 2-Stage Retrofit",1,IF(Performance!F20="A/O or BNR 2-Stage Replace",1,3)))</f>
        <v>1</v>
      </c>
      <c r="X20">
        <f>IF(Performance!G20="",0,IF(Performance!G20&lt;=10,10,IF(Performance!G20&gt;10,30)))</f>
        <v>10</v>
      </c>
      <c r="Y20">
        <f t="shared" si="8"/>
        <v>11</v>
      </c>
      <c r="Z20" s="28">
        <f>IF(Y20=11,'Incremental O&amp;M OH 2022'!$N$52,IF(Y20=13,'Incremental O&amp;M OH 2022'!$N$53,IF(Y20=31,'Incremental O&amp;M OH 2022'!$N$55,IF(Y20=33,'Incremental O&amp;M OH 2022'!$N$56,""))))</f>
        <v>3.7459507276577479E-2</v>
      </c>
      <c r="AA20" s="12">
        <f t="shared" si="9"/>
        <v>41204.244598799276</v>
      </c>
      <c r="AB20" s="118">
        <f>Performance!G20</f>
        <v>0.8</v>
      </c>
      <c r="AC20" s="117">
        <f t="shared" si="10"/>
        <v>892826.20000000007</v>
      </c>
      <c r="AD20">
        <f t="shared" si="2"/>
        <v>0.75</v>
      </c>
      <c r="AE20" cm="1">
        <f t="array" ref="AE20">INDEX($AB$39:$AB$49,MATCH(AB20,$AB$39:$AB$49)+1)</f>
        <v>1</v>
      </c>
      <c r="AF20" s="12">
        <f t="shared" si="3"/>
        <v>872861</v>
      </c>
      <c r="AG20" s="12" cm="1">
        <f t="array" ref="AG20">INDEX($AE$39:$AE$49,MATCH(AF20,$AE$39:$AE$49)+1)</f>
        <v>972687</v>
      </c>
      <c r="AH20" s="142"/>
      <c r="AI20" s="117">
        <f t="shared" si="11"/>
        <v>996367.6</v>
      </c>
      <c r="AJ20">
        <f t="shared" si="4"/>
        <v>0.75</v>
      </c>
      <c r="AK20" cm="1">
        <f t="array" ref="AK20">INDEX($AB$39:$AB$49,MATCH(AB20,$AB$39:$AB$49)+1)</f>
        <v>1</v>
      </c>
      <c r="AL20" s="12">
        <f t="shared" si="5"/>
        <v>977121</v>
      </c>
      <c r="AM20" s="12" cm="1">
        <f t="array" ref="AM20">INDEX($AG$39:$AG$49,MATCH(AL20,$AG$39:$AG$49)+1)</f>
        <v>1073354</v>
      </c>
    </row>
    <row r="21" spans="1:39" ht="60" x14ac:dyDescent="0.25">
      <c r="A21" s="76" t="str">
        <f>IF(Performance!A21&lt;&gt;"",Performance!A21,"")</f>
        <v>PA0080314</v>
      </c>
      <c r="B21" s="77" t="str">
        <f>IF(Performance!B21&lt;&gt;"",Performance!B21,"")</f>
        <v>Hampden Township WWTP</v>
      </c>
      <c r="C21" s="77" t="str">
        <f>IF(Performance!E21&lt;&gt;"",Performance!E21,"")</f>
        <v>Added Process Control System [Nitrogen]</v>
      </c>
      <c r="D21" s="77" t="str">
        <f>IF(Performance!F21&lt;&gt;"",Performance!F21,"")</f>
        <v>NA</v>
      </c>
      <c r="E21" s="138"/>
      <c r="F21" s="159">
        <v>0</v>
      </c>
      <c r="G21" s="160">
        <v>2023</v>
      </c>
      <c r="H21" s="161">
        <f>IF($F21&lt;&gt;"",$F21*Adjustment!$D$26/(VLOOKUP($G21,Adjustment!$B$2:$D$27,3,FALSE))*((0.6*Adjustment!$H$26/(VLOOKUP(Performance!$C21,Adjustment!$F$2:$I$53,3,FALSE)))+(0.4*Adjustment!$I$26/(VLOOKUP(Performance!$C21,Adjustment!$F$2:$I$53,4,FALSE)))),"")</f>
        <v>0</v>
      </c>
      <c r="I21" s="162"/>
      <c r="J21" s="159"/>
      <c r="K21" s="160"/>
      <c r="L21" s="159"/>
      <c r="M21" s="160"/>
      <c r="N21" s="161" t="str">
        <f>IF($J21&lt;&gt;"",$J21*Adjustment!$D$26/(VLOOKUP($K21,Adjustment!$B$2:$D$27,3,FALSE))*((0.6*Adjustment!$H$26/(VLOOKUP(Performance!$C21,Adjustment!$F$2:$I$53,3,FALSE)))+(0.4*Adjustment!$I$26/(VLOOKUP(Performance!$C21,Adjustment!$F$2:$I$53,4,FALSE)))),"")</f>
        <v/>
      </c>
      <c r="O21" s="161" t="str">
        <f>IF(L21&lt;&gt;"",L21*Adjustment!$D$26/(VLOOKUP(M21,Adjustment!$B$2:$D$27,3,FALSE))*((0.6*Adjustment!$H$26/(VLOOKUP(Performance!$C21,Adjustment!$F$2:$I$53,3,FALSE)))+(0.4*Adjustment!$I$26/(VLOOKUP(Performance!$C21,Adjustment!$F$2:$I$53,4,FALSE)))),"")</f>
        <v/>
      </c>
      <c r="P21" s="163"/>
      <c r="Q21" s="161" t="str">
        <f t="shared" si="6"/>
        <v/>
      </c>
      <c r="R21" s="34"/>
      <c r="S21" s="152" t="str">
        <f>IF(A21="","",(IF(OR(F21&lt;&gt;"",J21&lt;&gt;""),"",Z21*(IF(Performance!F21="A/O or BNR 2-Stage Retrofit",'Estimated O&amp;M Cost'!AC21,IF(Performance!F21="A/O or BNR 2-Stage Replace",'Estimated O&amp;M Cost'!AC21,IF(Performance!F21="A2O or BNR 3- to 5-Stage Retrofit",'Estimated O&amp;M Cost'!AI21,IF(Performance!F21="A2O or BNR 3- to 5-Stage Replace",'Estimated O&amp;M Cost'!AI21,""))))))))</f>
        <v/>
      </c>
      <c r="T21" s="101" t="str">
        <f t="shared" si="7"/>
        <v/>
      </c>
      <c r="U21" s="178" t="str">
        <f>IF(S21&lt;&gt;"",S21*(Adjustment!$D$26/Adjustment!$D$25)*((0.6*Adjustment!$H$26/Adjustment!$H$38)+(0.4*Adjustment!$I$26/Adjustment!$I$38)),"")</f>
        <v/>
      </c>
      <c r="V21" s="180" t="s">
        <v>295</v>
      </c>
      <c r="W21">
        <f>IF(Performance!F21="",0,IF(Performance!F21="A/O or BNR 2-Stage Retrofit",1,IF(Performance!F21="A/O or BNR 2-Stage Replace",1,3)))</f>
        <v>3</v>
      </c>
      <c r="X21">
        <f>IF(Performance!G21="",0,IF(Performance!G21&lt;=10,10,IF(Performance!G21&gt;10,30)))</f>
        <v>10</v>
      </c>
      <c r="Y21">
        <f t="shared" si="8"/>
        <v>13</v>
      </c>
      <c r="Z21" s="28">
        <f>IF(Y21=11,'Incremental O&amp;M OH 2022'!$N$52,IF(Y21=13,'Incremental O&amp;M OH 2022'!$N$53,IF(Y21=31,'Incremental O&amp;M OH 2022'!$N$55,IF(Y21=33,'Incremental O&amp;M OH 2022'!$N$56,""))))</f>
        <v>0.13682407306574235</v>
      </c>
      <c r="AA21" s="12">
        <f t="shared" si="9"/>
        <v>0</v>
      </c>
      <c r="AB21" s="118">
        <f>Performance!G21</f>
        <v>3.3540000000000001</v>
      </c>
      <c r="AC21" s="117">
        <f t="shared" si="10"/>
        <v>1661165.8192</v>
      </c>
      <c r="AD21">
        <f t="shared" si="2"/>
        <v>2.5</v>
      </c>
      <c r="AE21" cm="1">
        <f t="array" ref="AE21">INDEX($AB$39:$AB$49,MATCH(AB21,$AB$39:$AB$49)+1)</f>
        <v>5</v>
      </c>
      <c r="AF21" s="12">
        <f t="shared" si="3"/>
        <v>1439822</v>
      </c>
      <c r="AG21" s="12" cm="1">
        <f t="array" ref="AG21">INDEX($AE$39:$AE$49,MATCH(AF21,$AE$39:$AE$49)+1)</f>
        <v>2087784</v>
      </c>
      <c r="AH21" s="142"/>
      <c r="AI21" s="117">
        <f t="shared" si="11"/>
        <v>1792312.2688</v>
      </c>
      <c r="AJ21">
        <f t="shared" si="4"/>
        <v>2.5</v>
      </c>
      <c r="AK21" cm="1">
        <f t="array" ref="AK21">INDEX($AB$39:$AB$49,MATCH(AB21,$AB$39:$AB$49)+1)</f>
        <v>5</v>
      </c>
      <c r="AL21" s="12">
        <f t="shared" si="5"/>
        <v>1534159</v>
      </c>
      <c r="AM21" s="12" cm="1">
        <f t="array" ref="AM21">INDEX($AG$39:$AG$49,MATCH(AL21,$AG$39:$AG$49)+1)</f>
        <v>2289877</v>
      </c>
    </row>
    <row r="22" spans="1:39" ht="60" x14ac:dyDescent="0.25">
      <c r="A22" s="76" t="str">
        <f>IF(Performance!A22&lt;&gt;"",Performance!A22,"")</f>
        <v>MA0100153</v>
      </c>
      <c r="B22" s="77" t="str">
        <f>IF(Performance!B22&lt;&gt;"",Performance!B22,"")</f>
        <v>Town of Lee WWTF</v>
      </c>
      <c r="C22" s="77" t="str">
        <f>IF(Performance!E22&lt;&gt;"",Performance!E22,"")</f>
        <v>Sequencing Batch Reactors [Phosphorus, Nitrogen]</v>
      </c>
      <c r="D22" s="77" t="str">
        <f>IF(Performance!F22&lt;&gt;"",Performance!F22,"")</f>
        <v>A2O or BNR 3- to 5-Stage Replace</v>
      </c>
      <c r="E22" s="138"/>
      <c r="F22" s="159"/>
      <c r="G22" s="160"/>
      <c r="H22" s="161" t="str">
        <f>IF($F22&lt;&gt;"",$F22*Adjustment!$D$26/(VLOOKUP($G22,Adjustment!$B$2:$D$27,3,FALSE))*((0.6*Adjustment!$H$26/(VLOOKUP(Performance!$C22,Adjustment!$F$2:$I$53,3,FALSE)))+(0.4*Adjustment!$I$26/(VLOOKUP(Performance!$C22,Adjustment!$F$2:$I$53,4,FALSE)))),"")</f>
        <v/>
      </c>
      <c r="I22" s="162"/>
      <c r="J22" s="159"/>
      <c r="K22" s="160"/>
      <c r="L22" s="159"/>
      <c r="M22" s="160"/>
      <c r="N22" s="161" t="str">
        <f>IF($J22&lt;&gt;"",$J22*Adjustment!$D$26/(VLOOKUP($K22,Adjustment!$B$2:$D$27,3,FALSE))*((0.6*Adjustment!$H$26/(VLOOKUP(Performance!$C22,Adjustment!$F$2:$I$53,3,FALSE)))+(0.4*Adjustment!$I$26/(VLOOKUP(Performance!$C22,Adjustment!$F$2:$I$53,4,FALSE)))),"")</f>
        <v/>
      </c>
      <c r="O22" s="161" t="str">
        <f>IF(L22&lt;&gt;"",L22*Adjustment!$D$26/(VLOOKUP(M22,Adjustment!$B$2:$D$27,3,FALSE))*((0.6*Adjustment!$H$26/(VLOOKUP(Performance!$C22,Adjustment!$F$2:$I$53,3,FALSE)))+(0.4*Adjustment!$I$26/(VLOOKUP(Performance!$C22,Adjustment!$F$2:$I$53,4,FALSE)))),"")</f>
        <v/>
      </c>
      <c r="P22" s="163"/>
      <c r="Q22" s="161" t="str">
        <f t="shared" si="6"/>
        <v/>
      </c>
      <c r="R22" s="34"/>
      <c r="S22" s="152">
        <f>IF(A22="","",(IF(OR(F22&lt;&gt;"",J22&lt;&gt;""),"",Z22*(IF(Performance!F22="A/O or BNR 2-Stage Retrofit",'Estimated O&amp;M Cost'!AC22,IF(Performance!F22="A/O or BNR 2-Stage Replace",'Estimated O&amp;M Cost'!AC22,IF(Performance!F22="A2O or BNR 3- to 5-Stage Retrofit",'Estimated O&amp;M Cost'!AI22,IF(Performance!F22="A2O or BNR 3- to 5-Stage Replace",'Estimated O&amp;M Cost'!AI22,""))))))))</f>
        <v>132208.84274368043</v>
      </c>
      <c r="T22" s="101">
        <f t="shared" si="7"/>
        <v>2022</v>
      </c>
      <c r="U22" s="178">
        <f>IF(S22&lt;&gt;"",S22*(Adjustment!$D$26/Adjustment!$D$25)*((0.6*Adjustment!$H$26/Adjustment!$H$38)+(0.4*Adjustment!$I$26/Adjustment!$I$38)),"")</f>
        <v>162882.14262635406</v>
      </c>
      <c r="V22" s="182" t="s">
        <v>310</v>
      </c>
      <c r="W22">
        <f>IF(Performance!F22="",0,IF(Performance!F22="A/O or BNR 2-Stage Retrofit",1,IF(Performance!F22="A/O or BNR 2-Stage Replace",1,3)))</f>
        <v>3</v>
      </c>
      <c r="X22">
        <f>IF(Performance!G22="",0,IF(Performance!G22&lt;=10,10,IF(Performance!G22&gt;10,30)))</f>
        <v>10</v>
      </c>
      <c r="Y22">
        <f t="shared" si="8"/>
        <v>13</v>
      </c>
      <c r="Z22" s="28">
        <f>IF(Y22=11,'Incremental O&amp;M OH 2022'!$N$52,IF(Y22=13,'Incremental O&amp;M OH 2022'!$N$53,IF(Y22=31,'Incremental O&amp;M OH 2022'!$N$55,IF(Y22=33,'Incremental O&amp;M OH 2022'!$N$56,""))))</f>
        <v>0.13682407306574235</v>
      </c>
      <c r="AA22" s="12">
        <f t="shared" si="9"/>
        <v>162882.14262635406</v>
      </c>
      <c r="AB22" s="118">
        <f>Performance!G22</f>
        <v>0.72599999999999998</v>
      </c>
      <c r="AC22" s="117">
        <f t="shared" si="10"/>
        <v>863753.76800000004</v>
      </c>
      <c r="AD22">
        <f t="shared" si="2"/>
        <v>0.5</v>
      </c>
      <c r="AE22" cm="1">
        <f t="array" ref="AE22">INDEX($AB$39:$AB$49,MATCH(AB22,$AB$39:$AB$49)+1)</f>
        <v>0.75</v>
      </c>
      <c r="AF22" s="12">
        <f t="shared" si="3"/>
        <v>777994</v>
      </c>
      <c r="AG22" s="12" cm="1">
        <f t="array" ref="AG22">INDEX($AE$39:$AE$49,MATCH(AF22,$AE$39:$AE$49)+1)</f>
        <v>872861</v>
      </c>
      <c r="AH22" s="142"/>
      <c r="AI22" s="117">
        <f t="shared" si="11"/>
        <v>966268.87199999997</v>
      </c>
      <c r="AJ22">
        <f t="shared" si="4"/>
        <v>0.5</v>
      </c>
      <c r="AK22" cm="1">
        <f t="array" ref="AK22">INDEX($AB$39:$AB$49,MATCH(AB22,$AB$39:$AB$49)+1)</f>
        <v>0.75</v>
      </c>
      <c r="AL22" s="12">
        <f t="shared" si="5"/>
        <v>864078</v>
      </c>
      <c r="AM22" s="12" cm="1">
        <f t="array" ref="AM22">INDEX($AG$39:$AG$49,MATCH(AL22,$AG$39:$AG$49)+1)</f>
        <v>977121</v>
      </c>
    </row>
    <row r="23" spans="1:39" x14ac:dyDescent="0.25">
      <c r="A23" s="76" t="str">
        <f>IF(Performance!A23&lt;&gt;"",Performance!A23,"")</f>
        <v/>
      </c>
      <c r="B23" s="77" t="str">
        <f>IF(Performance!B23&lt;&gt;"",Performance!B23,"")</f>
        <v/>
      </c>
      <c r="C23" s="77" t="str">
        <f>IF(Performance!E23&lt;&gt;"",Performance!E23,"")</f>
        <v/>
      </c>
      <c r="D23" s="77" t="str">
        <f>IF(Performance!F23&lt;&gt;"",Performance!F23,"")</f>
        <v/>
      </c>
      <c r="E23" s="138"/>
      <c r="F23" s="159"/>
      <c r="G23" s="160"/>
      <c r="H23" s="161" t="str">
        <f>IF($F23&lt;&gt;"",$F23*Adjustment!$D$26/(VLOOKUP($G23,Adjustment!$B$2:$D$27,3,FALSE))*((0.6*Adjustment!$H$26/(VLOOKUP(Performance!$C23,Adjustment!$F$2:$I$53,3,FALSE)))+(0.4*Adjustment!$I$26/(VLOOKUP(Performance!$C23,Adjustment!$F$2:$I$53,4,FALSE)))),"")</f>
        <v/>
      </c>
      <c r="I23" s="162"/>
      <c r="J23" s="159"/>
      <c r="K23" s="160"/>
      <c r="L23" s="159"/>
      <c r="M23" s="160"/>
      <c r="N23" s="161" t="str">
        <f>IF($J23&lt;&gt;"",$J23*Adjustment!$D$26/(VLOOKUP($K23,Adjustment!$B$2:$D$27,3,FALSE))*((0.6*Adjustment!$H$26/(VLOOKUP(Performance!$C23,Adjustment!$F$2:$I$53,3,FALSE)))+(0.4*Adjustment!$I$26/(VLOOKUP(Performance!$C23,Adjustment!$F$2:$I$53,4,FALSE)))),"")</f>
        <v/>
      </c>
      <c r="O23" s="161" t="str">
        <f>IF(L23&lt;&gt;"",L23*Adjustment!$D$26/(VLOOKUP(M23,Adjustment!$B$2:$D$27,3,FALSE))*((0.6*Adjustment!$H$26/(VLOOKUP(Performance!$C23,Adjustment!$F$2:$I$53,3,FALSE)))+(0.4*Adjustment!$I$26/(VLOOKUP(Performance!$C23,Adjustment!$F$2:$I$53,4,FALSE)))),"")</f>
        <v/>
      </c>
      <c r="P23" s="163"/>
      <c r="Q23" s="161" t="str">
        <f t="shared" si="6"/>
        <v/>
      </c>
      <c r="R23" s="34"/>
      <c r="S23" s="152" t="str">
        <f>IF(A23="","",(IF(OR(F23&lt;&gt;"",J23&lt;&gt;""),"",Z23*(IF(Performance!F23="A/O or BNR 2-Stage Retrofit",'Estimated O&amp;M Cost'!AC23,IF(Performance!F23="A/O or BNR 2-Stage Replace",'Estimated O&amp;M Cost'!AC23,IF(Performance!F23="A2O or BNR 3- to 5-Stage Retrofit",'Estimated O&amp;M Cost'!AI23,IF(Performance!F23="A2O or BNR 3- to 5-Stage Replace",'Estimated O&amp;M Cost'!AI23,""))))))))</f>
        <v/>
      </c>
      <c r="T23" s="101" t="str">
        <f t="shared" si="7"/>
        <v/>
      </c>
      <c r="U23" s="178" t="str">
        <f>IF(S23&lt;&gt;"",S23*(Adjustment!$D$26/Adjustment!$D$25)*((0.6*Adjustment!$H$26/Adjustment!$H$38)+(0.4*Adjustment!$I$26/Adjustment!$I$38)),"")</f>
        <v/>
      </c>
      <c r="V23" s="180"/>
      <c r="W23">
        <f>IF(Performance!F23="",0,IF(Performance!F23="A/O or BNR 2-Stage Retrofit",1,IF(Performance!F23="A/O or BNR 2-Stage Replace",1,3)))</f>
        <v>0</v>
      </c>
      <c r="X23">
        <f>IF(Performance!G23="",0,IF(Performance!G23&lt;=10,10,IF(Performance!G23&gt;10,30)))</f>
        <v>0</v>
      </c>
      <c r="Y23">
        <f t="shared" si="8"/>
        <v>0</v>
      </c>
      <c r="Z23" s="28" t="str">
        <f>IF(Y23=11,'Incremental O&amp;M OH 2022'!$N$52,IF(Y23=13,'Incremental O&amp;M OH 2022'!$N$53,IF(Y23=31,'Incremental O&amp;M OH 2022'!$N$55,IF(Y23=33,'Incremental O&amp;M OH 2022'!$N$56,""))))</f>
        <v/>
      </c>
      <c r="AA23" s="12" t="str">
        <f t="shared" si="9"/>
        <v/>
      </c>
      <c r="AB23" s="118">
        <f>Performance!G23</f>
        <v>0</v>
      </c>
      <c r="AC23" s="117" t="e">
        <f t="shared" si="10"/>
        <v>#N/A</v>
      </c>
      <c r="AD23" t="e">
        <f t="shared" si="2"/>
        <v>#N/A</v>
      </c>
      <c r="AE23" t="e" cm="1">
        <f t="array" ref="AE23">INDEX($AB$39:$AB$49,MATCH(AB23,$AB$39:$AB$49)+1)</f>
        <v>#N/A</v>
      </c>
      <c r="AF23" s="12" t="e">
        <f t="shared" si="3"/>
        <v>#N/A</v>
      </c>
      <c r="AG23" s="12" t="e" cm="1">
        <f t="array" ref="AG23">INDEX($AE$39:$AE$49,MATCH(AF23,$AE$39:$AE$49)+1)</f>
        <v>#N/A</v>
      </c>
      <c r="AH23" s="142"/>
      <c r="AI23" s="117" t="e">
        <f t="shared" si="11"/>
        <v>#N/A</v>
      </c>
      <c r="AJ23" t="e">
        <f t="shared" si="4"/>
        <v>#N/A</v>
      </c>
      <c r="AK23" t="e" cm="1">
        <f t="array" ref="AK23">INDEX($AB$39:$AB$49,MATCH(AB23,$AB$39:$AB$49)+1)</f>
        <v>#N/A</v>
      </c>
      <c r="AL23" s="12" t="e">
        <f t="shared" si="5"/>
        <v>#N/A</v>
      </c>
      <c r="AM23" s="12" t="e" cm="1">
        <f t="array" ref="AM23">INDEX($AG$39:$AG$49,MATCH(AL23,$AG$39:$AG$49)+1)</f>
        <v>#N/A</v>
      </c>
    </row>
    <row r="24" spans="1:39" x14ac:dyDescent="0.25">
      <c r="A24" s="76" t="str">
        <f>IF(Performance!A24&lt;&gt;"",Performance!A24,"")</f>
        <v/>
      </c>
      <c r="B24" s="77" t="str">
        <f>IF(Performance!B24&lt;&gt;"",Performance!B24,"")</f>
        <v/>
      </c>
      <c r="C24" s="77" t="str">
        <f>IF(Performance!E24&lt;&gt;"",Performance!E24,"")</f>
        <v/>
      </c>
      <c r="D24" s="77" t="str">
        <f>IF(Performance!F24&lt;&gt;"",Performance!F24,"")</f>
        <v/>
      </c>
      <c r="E24" s="138"/>
      <c r="F24" s="159"/>
      <c r="G24" s="160"/>
      <c r="H24" s="161" t="str">
        <f>IF($F24&lt;&gt;"",$F24*Adjustment!$D$26/(VLOOKUP($G24,Adjustment!$B$2:$D$27,3,FALSE))*((0.6*Adjustment!$H$26/(VLOOKUP(Performance!$C24,Adjustment!$F$2:$I$53,3,FALSE)))+(0.4*Adjustment!$I$26/(VLOOKUP(Performance!$C24,Adjustment!$F$2:$I$53,4,FALSE)))),"")</f>
        <v/>
      </c>
      <c r="I24" s="162"/>
      <c r="J24" s="159"/>
      <c r="K24" s="160"/>
      <c r="L24" s="159"/>
      <c r="M24" s="160"/>
      <c r="N24" s="161" t="str">
        <f>IF($J24&lt;&gt;"",$J24*Adjustment!$D$26/(VLOOKUP($K24,Adjustment!$B$2:$D$27,3,FALSE))*((0.6*Adjustment!$H$26/(VLOOKUP(Performance!$C24,Adjustment!$F$2:$I$53,3,FALSE)))+(0.4*Adjustment!$I$26/(VLOOKUP(Performance!$C24,Adjustment!$F$2:$I$53,4,FALSE)))),"")</f>
        <v/>
      </c>
      <c r="O24" s="161" t="str">
        <f>IF(L24&lt;&gt;"",L24*Adjustment!$D$26/(VLOOKUP(M24,Adjustment!$B$2:$D$27,3,FALSE))*((0.6*Adjustment!$H$26/(VLOOKUP(Performance!$C24,Adjustment!$F$2:$I$53,3,FALSE)))+(0.4*Adjustment!$I$26/(VLOOKUP(Performance!$C24,Adjustment!$F$2:$I$53,4,FALSE)))),"")</f>
        <v/>
      </c>
      <c r="P24" s="163"/>
      <c r="Q24" s="161" t="str">
        <f t="shared" si="6"/>
        <v/>
      </c>
      <c r="R24" s="34"/>
      <c r="S24" s="152" t="str">
        <f>IF(A24="","",(IF(OR(F24&lt;&gt;"",J24&lt;&gt;""),"",Z24*(IF(Performance!F24="A/O or BNR 2-Stage Retrofit",'Estimated O&amp;M Cost'!AC24,IF(Performance!F24="A/O or BNR 2-Stage Replace",'Estimated O&amp;M Cost'!AC24,IF(Performance!F24="A2O or BNR 3- to 5-Stage Retrofit",'Estimated O&amp;M Cost'!AI24,IF(Performance!F24="A2O or BNR 3- to 5-Stage Replace",'Estimated O&amp;M Cost'!AI24,""))))))))</f>
        <v/>
      </c>
      <c r="T24" s="101" t="str">
        <f t="shared" si="7"/>
        <v/>
      </c>
      <c r="U24" s="178" t="str">
        <f>IF(S24&lt;&gt;"",S24*(Adjustment!$D$26/Adjustment!$D$25)*((0.6*Adjustment!$H$26/Adjustment!$H$38)+(0.4*Adjustment!$I$26/Adjustment!$I$38)),"")</f>
        <v/>
      </c>
      <c r="V24" s="180"/>
      <c r="W24">
        <f>IF(Performance!F24="",0,IF(Performance!F24="A/O or BNR 2-Stage Retrofit",1,IF(Performance!F24="A/O or BNR 2-Stage Replace",1,3)))</f>
        <v>0</v>
      </c>
      <c r="X24">
        <f>IF(Performance!G24="",0,IF(Performance!G24&lt;=10,10,IF(Performance!G24&gt;10,30)))</f>
        <v>0</v>
      </c>
      <c r="Y24">
        <f t="shared" si="8"/>
        <v>0</v>
      </c>
      <c r="Z24" s="28" t="str">
        <f>IF(Y24=11,'Incremental O&amp;M OH 2022'!$N$52,IF(Y24=13,'Incremental O&amp;M OH 2022'!$N$53,IF(Y24=31,'Incremental O&amp;M OH 2022'!$N$55,IF(Y24=33,'Incremental O&amp;M OH 2022'!$N$56,""))))</f>
        <v/>
      </c>
      <c r="AA24" s="12" t="str">
        <f t="shared" si="9"/>
        <v/>
      </c>
      <c r="AB24" s="118">
        <f>Performance!G24</f>
        <v>0</v>
      </c>
      <c r="AC24" s="117" t="e">
        <f t="shared" si="10"/>
        <v>#N/A</v>
      </c>
      <c r="AD24" t="e">
        <f t="shared" si="2"/>
        <v>#N/A</v>
      </c>
      <c r="AE24" t="e" cm="1">
        <f t="array" ref="AE24">INDEX($AB$39:$AB$49,MATCH(AB24,$AB$39:$AB$49)+1)</f>
        <v>#N/A</v>
      </c>
      <c r="AF24" s="12" t="e">
        <f t="shared" si="3"/>
        <v>#N/A</v>
      </c>
      <c r="AG24" s="12" t="e" cm="1">
        <f t="array" ref="AG24">INDEX($AE$39:$AE$49,MATCH(AF24,$AE$39:$AE$49)+1)</f>
        <v>#N/A</v>
      </c>
      <c r="AH24" s="142"/>
      <c r="AI24" s="117" t="e">
        <f t="shared" si="11"/>
        <v>#N/A</v>
      </c>
      <c r="AJ24" t="e">
        <f t="shared" si="4"/>
        <v>#N/A</v>
      </c>
      <c r="AK24" t="e" cm="1">
        <f t="array" ref="AK24">INDEX($AB$39:$AB$49,MATCH(AB24,$AB$39:$AB$49)+1)</f>
        <v>#N/A</v>
      </c>
      <c r="AL24" s="12" t="e">
        <f t="shared" si="5"/>
        <v>#N/A</v>
      </c>
      <c r="AM24" s="12" t="e" cm="1">
        <f t="array" ref="AM24">INDEX($AG$39:$AG$49,MATCH(AL24,$AG$39:$AG$49)+1)</f>
        <v>#N/A</v>
      </c>
    </row>
    <row r="25" spans="1:39" x14ac:dyDescent="0.25">
      <c r="A25" s="76" t="str">
        <f>IF(Performance!A25&lt;&gt;"",Performance!A25,"")</f>
        <v/>
      </c>
      <c r="B25" s="77" t="str">
        <f>IF(Performance!B25&lt;&gt;"",Performance!B25,"")</f>
        <v/>
      </c>
      <c r="C25" s="77" t="str">
        <f>IF(Performance!E25&lt;&gt;"",Performance!E25,"")</f>
        <v/>
      </c>
      <c r="D25" s="77" t="str">
        <f>IF(Performance!F25&lt;&gt;"",Performance!F25,"")</f>
        <v/>
      </c>
      <c r="E25" s="138"/>
      <c r="F25" s="159"/>
      <c r="G25" s="160"/>
      <c r="H25" s="161" t="str">
        <f>IF($F25&lt;&gt;"",$F25*Adjustment!$D$26/(VLOOKUP($G25,Adjustment!$B$2:$D$27,3,FALSE))*((0.6*Adjustment!$H$26/(VLOOKUP(Performance!$C25,Adjustment!$F$2:$I$53,3,FALSE)))+(0.4*Adjustment!$I$26/(VLOOKUP(Performance!$C25,Adjustment!$F$2:$I$53,4,FALSE)))),"")</f>
        <v/>
      </c>
      <c r="I25" s="162"/>
      <c r="J25" s="159"/>
      <c r="K25" s="160"/>
      <c r="L25" s="159"/>
      <c r="M25" s="160"/>
      <c r="N25" s="161" t="str">
        <f>IF($J25&lt;&gt;"",$J25*Adjustment!$D$26/(VLOOKUP($K25,Adjustment!$B$2:$D$27,3,FALSE))*((0.6*Adjustment!$H$26/(VLOOKUP(Performance!$C25,Adjustment!$F$2:$I$53,3,FALSE)))+(0.4*Adjustment!$I$26/(VLOOKUP(Performance!$C25,Adjustment!$F$2:$I$53,4,FALSE)))),"")</f>
        <v/>
      </c>
      <c r="O25" s="161" t="str">
        <f>IF(L25&lt;&gt;"",L25*Adjustment!$D$26/(VLOOKUP(M25,Adjustment!$B$2:$D$27,3,FALSE))*((0.6*Adjustment!$H$26/(VLOOKUP(Performance!$C25,Adjustment!$F$2:$I$53,3,FALSE)))+(0.4*Adjustment!$I$26/(VLOOKUP(Performance!$C25,Adjustment!$F$2:$I$53,4,FALSE)))),"")</f>
        <v/>
      </c>
      <c r="P25" s="163"/>
      <c r="Q25" s="161" t="str">
        <f t="shared" si="6"/>
        <v/>
      </c>
      <c r="R25" s="34"/>
      <c r="S25" s="152" t="str">
        <f>IF(A25="","",(IF(OR(F25&lt;&gt;"",J25&lt;&gt;""),"",Z25*(IF(Performance!F25="A/O or BNR 2-Stage Retrofit",'Estimated O&amp;M Cost'!AC25,IF(Performance!F25="A/O or BNR 2-Stage Replace",'Estimated O&amp;M Cost'!AC25,IF(Performance!F25="A2O or BNR 3- to 5-Stage Retrofit",'Estimated O&amp;M Cost'!AI25,IF(Performance!F25="A2O or BNR 3- to 5-Stage Replace",'Estimated O&amp;M Cost'!AI25,""))))))))</f>
        <v/>
      </c>
      <c r="T25" s="101" t="str">
        <f t="shared" si="7"/>
        <v/>
      </c>
      <c r="U25" s="178" t="str">
        <f>IF(S25&lt;&gt;"",S25*(Adjustment!$D$26/Adjustment!$D$25)*((0.6*Adjustment!$H$26/Adjustment!$H$38)+(0.4*Adjustment!$I$26/Adjustment!$I$38)),"")</f>
        <v/>
      </c>
      <c r="V25" s="180"/>
      <c r="W25">
        <f>IF(Performance!F25="",0,IF(Performance!F25="A/O or BNR 2-Stage Retrofit",1,IF(Performance!F25="A/O or BNR 2-Stage Replace",1,3)))</f>
        <v>0</v>
      </c>
      <c r="X25">
        <f>IF(Performance!G25="",0,IF(Performance!G25&lt;=10,10,IF(Performance!G25&gt;10,30)))</f>
        <v>0</v>
      </c>
      <c r="Y25">
        <f t="shared" si="8"/>
        <v>0</v>
      </c>
      <c r="Z25" s="28" t="str">
        <f>IF(Y25=11,'Incremental O&amp;M OH 2022'!$N$52,IF(Y25=13,'Incremental O&amp;M OH 2022'!$N$53,IF(Y25=31,'Incremental O&amp;M OH 2022'!$N$55,IF(Y25=33,'Incremental O&amp;M OH 2022'!$N$56,""))))</f>
        <v/>
      </c>
      <c r="AA25" s="12" t="str">
        <f t="shared" si="9"/>
        <v/>
      </c>
      <c r="AB25" s="118">
        <f>Performance!G25</f>
        <v>0</v>
      </c>
      <c r="AC25" s="117" t="e">
        <f t="shared" si="10"/>
        <v>#N/A</v>
      </c>
      <c r="AD25" t="e">
        <f t="shared" si="2"/>
        <v>#N/A</v>
      </c>
      <c r="AE25" t="e" cm="1">
        <f t="array" ref="AE25">INDEX($AB$39:$AB$49,MATCH(AB25,$AB$39:$AB$49)+1)</f>
        <v>#N/A</v>
      </c>
      <c r="AF25" s="12" t="e">
        <f t="shared" si="3"/>
        <v>#N/A</v>
      </c>
      <c r="AG25" s="12" t="e" cm="1">
        <f t="array" ref="AG25">INDEX($AE$39:$AE$49,MATCH(AF25,$AE$39:$AE$49)+1)</f>
        <v>#N/A</v>
      </c>
      <c r="AH25" s="142"/>
      <c r="AI25" s="117" t="e">
        <f t="shared" si="11"/>
        <v>#N/A</v>
      </c>
      <c r="AJ25" t="e">
        <f t="shared" si="4"/>
        <v>#N/A</v>
      </c>
      <c r="AK25" t="e" cm="1">
        <f t="array" ref="AK25">INDEX($AB$39:$AB$49,MATCH(AB25,$AB$39:$AB$49)+1)</f>
        <v>#N/A</v>
      </c>
      <c r="AL25" s="12" t="e">
        <f t="shared" si="5"/>
        <v>#N/A</v>
      </c>
      <c r="AM25" s="12" t="e" cm="1">
        <f t="array" ref="AM25">INDEX($AG$39:$AG$49,MATCH(AL25,$AG$39:$AG$49)+1)</f>
        <v>#N/A</v>
      </c>
    </row>
    <row r="26" spans="1:39" x14ac:dyDescent="0.25">
      <c r="A26" s="76" t="str">
        <f>IF(Performance!A26&lt;&gt;"",Performance!A26,"")</f>
        <v/>
      </c>
      <c r="B26" s="77" t="str">
        <f>IF(Performance!B26&lt;&gt;"",Performance!B26,"")</f>
        <v/>
      </c>
      <c r="C26" s="77" t="str">
        <f>IF(Performance!E26&lt;&gt;"",Performance!E26,"")</f>
        <v/>
      </c>
      <c r="D26" s="77" t="str">
        <f>IF(Performance!F26&lt;&gt;"",Performance!F26,"")</f>
        <v/>
      </c>
      <c r="E26" s="138"/>
      <c r="F26" s="159"/>
      <c r="G26" s="160"/>
      <c r="H26" s="161" t="str">
        <f>IF($F26&lt;&gt;"",$F26*Adjustment!$D$26/(VLOOKUP($G26,Adjustment!$B$2:$D$27,3,FALSE))*((0.6*Adjustment!$H$26/(VLOOKUP(Performance!$C26,Adjustment!$F$2:$I$53,3,FALSE)))+(0.4*Adjustment!$I$26/(VLOOKUP(Performance!$C26,Adjustment!$F$2:$I$53,4,FALSE)))),"")</f>
        <v/>
      </c>
      <c r="I26" s="162"/>
      <c r="J26" s="159"/>
      <c r="K26" s="160"/>
      <c r="L26" s="159"/>
      <c r="M26" s="160"/>
      <c r="N26" s="161" t="str">
        <f>IF($J26&lt;&gt;"",$J26*Adjustment!$D$26/(VLOOKUP($K26,Adjustment!$B$2:$D$27,3,FALSE))*((0.6*Adjustment!$H$26/(VLOOKUP(Performance!$C26,Adjustment!$F$2:$I$53,3,FALSE)))+(0.4*Adjustment!$I$26/(VLOOKUP(Performance!$C26,Adjustment!$F$2:$I$53,4,FALSE)))),"")</f>
        <v/>
      </c>
      <c r="O26" s="161" t="str">
        <f>IF(L26&lt;&gt;"",L26*Adjustment!$D$26/(VLOOKUP(M26,Adjustment!$B$2:$D$27,3,FALSE))*((0.6*Adjustment!$H$26/(VLOOKUP(Performance!$C26,Adjustment!$F$2:$I$53,3,FALSE)))+(0.4*Adjustment!$I$26/(VLOOKUP(Performance!$C26,Adjustment!$F$2:$I$53,4,FALSE)))),"")</f>
        <v/>
      </c>
      <c r="P26" s="163"/>
      <c r="Q26" s="161" t="str">
        <f t="shared" si="6"/>
        <v/>
      </c>
      <c r="R26" s="34"/>
      <c r="S26" s="152" t="str">
        <f>IF(A26="","",(IF(OR(F26&lt;&gt;"",J26&lt;&gt;""),"",Z26*(IF(Performance!F26="A/O or BNR 2-Stage Retrofit",'Estimated O&amp;M Cost'!AC26,IF(Performance!F26="A/O or BNR 2-Stage Replace",'Estimated O&amp;M Cost'!AC26,IF(Performance!F26="A2O or BNR 3- to 5-Stage Retrofit",'Estimated O&amp;M Cost'!AI26,IF(Performance!F26="A2O or BNR 3- to 5-Stage Replace",'Estimated O&amp;M Cost'!AI26,""))))))))</f>
        <v/>
      </c>
      <c r="T26" s="101" t="str">
        <f t="shared" si="7"/>
        <v/>
      </c>
      <c r="U26" s="178" t="str">
        <f>IF(S26&lt;&gt;"",S26*(Adjustment!$D$26/Adjustment!$D$25)*((0.6*Adjustment!$H$26/Adjustment!$H$38)+(0.4*Adjustment!$I$26/Adjustment!$I$38)),"")</f>
        <v/>
      </c>
      <c r="V26" s="180"/>
      <c r="W26">
        <f>IF(Performance!F26="",0,IF(Performance!F26="A/O or BNR 2-Stage Retrofit",1,IF(Performance!F26="A/O or BNR 2-Stage Replace",1,3)))</f>
        <v>0</v>
      </c>
      <c r="X26">
        <f>IF(Performance!G26="",0,IF(Performance!G26&lt;=10,10,IF(Performance!G26&gt;10,30)))</f>
        <v>0</v>
      </c>
      <c r="Y26">
        <f t="shared" si="8"/>
        <v>0</v>
      </c>
      <c r="Z26" s="28" t="str">
        <f>IF(Y26=11,'Incremental O&amp;M OH 2022'!$N$52,IF(Y26=13,'Incremental O&amp;M OH 2022'!$N$53,IF(Y26=31,'Incremental O&amp;M OH 2022'!$N$55,IF(Y26=33,'Incremental O&amp;M OH 2022'!$N$56,""))))</f>
        <v/>
      </c>
      <c r="AA26" s="12" t="str">
        <f t="shared" si="9"/>
        <v/>
      </c>
      <c r="AB26" s="118">
        <f>Performance!G26</f>
        <v>0</v>
      </c>
      <c r="AC26" s="117" t="e">
        <f t="shared" si="10"/>
        <v>#N/A</v>
      </c>
      <c r="AD26" t="e">
        <f t="shared" si="2"/>
        <v>#N/A</v>
      </c>
      <c r="AE26" t="e" cm="1">
        <f t="array" ref="AE26">INDEX($AB$39:$AB$49,MATCH(AB26,$AB$39:$AB$49)+1)</f>
        <v>#N/A</v>
      </c>
      <c r="AF26" s="12" t="e">
        <f t="shared" si="3"/>
        <v>#N/A</v>
      </c>
      <c r="AG26" s="12" t="e" cm="1">
        <f t="array" ref="AG26">INDEX($AE$39:$AE$49,MATCH(AF26,$AE$39:$AE$49)+1)</f>
        <v>#N/A</v>
      </c>
      <c r="AH26" s="142"/>
      <c r="AI26" s="117" t="e">
        <f t="shared" si="11"/>
        <v>#N/A</v>
      </c>
      <c r="AJ26" t="e">
        <f t="shared" si="4"/>
        <v>#N/A</v>
      </c>
      <c r="AK26" t="e" cm="1">
        <f t="array" ref="AK26">INDEX($AB$39:$AB$49,MATCH(AB26,$AB$39:$AB$49)+1)</f>
        <v>#N/A</v>
      </c>
      <c r="AL26" s="12" t="e">
        <f t="shared" si="5"/>
        <v>#N/A</v>
      </c>
      <c r="AM26" s="12" t="e" cm="1">
        <f t="array" ref="AM26">INDEX($AG$39:$AG$49,MATCH(AL26,$AG$39:$AG$49)+1)</f>
        <v>#N/A</v>
      </c>
    </row>
    <row r="27" spans="1:39" x14ac:dyDescent="0.25">
      <c r="A27" s="76" t="str">
        <f>IF(Performance!A27&lt;&gt;"",Performance!A27,"")</f>
        <v/>
      </c>
      <c r="B27" s="77" t="str">
        <f>IF(Performance!B27&lt;&gt;"",Performance!B27,"")</f>
        <v/>
      </c>
      <c r="C27" s="77" t="str">
        <f>IF(Performance!E27&lt;&gt;"",Performance!E27,"")</f>
        <v/>
      </c>
      <c r="D27" s="77" t="str">
        <f>IF(Performance!F27&lt;&gt;"",Performance!F27,"")</f>
        <v/>
      </c>
      <c r="E27" s="138"/>
      <c r="F27" s="159"/>
      <c r="G27" s="160"/>
      <c r="H27" s="161" t="str">
        <f>IF($F27&lt;&gt;"",$F27*Adjustment!$D$26/(VLOOKUP($G27,Adjustment!$B$2:$D$27,3,FALSE))*((0.6*Adjustment!$H$26/(VLOOKUP(Performance!$C27,Adjustment!$F$2:$I$53,3,FALSE)))+(0.4*Adjustment!$I$26/(VLOOKUP(Performance!$C27,Adjustment!$F$2:$I$53,4,FALSE)))),"")</f>
        <v/>
      </c>
      <c r="I27" s="162"/>
      <c r="J27" s="159"/>
      <c r="K27" s="160"/>
      <c r="L27" s="159"/>
      <c r="M27" s="160"/>
      <c r="N27" s="161" t="str">
        <f>IF($J27&lt;&gt;"",$J27*Adjustment!$D$26/(VLOOKUP($K27,Adjustment!$B$2:$D$27,3,FALSE))*((0.6*Adjustment!$H$26/(VLOOKUP(Performance!$C27,Adjustment!$F$2:$I$53,3,FALSE)))+(0.4*Adjustment!$I$26/(VLOOKUP(Performance!$C27,Adjustment!$F$2:$I$53,4,FALSE)))),"")</f>
        <v/>
      </c>
      <c r="O27" s="161" t="str">
        <f>IF(L27&lt;&gt;"",L27*Adjustment!$D$26/(VLOOKUP(M27,Adjustment!$B$2:$D$27,3,FALSE))*((0.6*Adjustment!$H$26/(VLOOKUP(Performance!$C27,Adjustment!$F$2:$I$53,3,FALSE)))+(0.4*Adjustment!$I$26/(VLOOKUP(Performance!$C27,Adjustment!$F$2:$I$53,4,FALSE)))),"")</f>
        <v/>
      </c>
      <c r="P27" s="163"/>
      <c r="Q27" s="161" t="str">
        <f t="shared" si="6"/>
        <v/>
      </c>
      <c r="R27" s="34"/>
      <c r="S27" s="152" t="str">
        <f>IF(A27="","",(IF(OR(F27&lt;&gt;"",J27&lt;&gt;""),"",Z27*(IF(Performance!F27="A/O or BNR 2-Stage Retrofit",'Estimated O&amp;M Cost'!AC27,IF(Performance!F27="A/O or BNR 2-Stage Replace",'Estimated O&amp;M Cost'!AC27,IF(Performance!F27="A2O or BNR 3- to 5-Stage Retrofit",'Estimated O&amp;M Cost'!AI27,IF(Performance!F27="A2O or BNR 3- to 5-Stage Replace",'Estimated O&amp;M Cost'!AI27,""))))))))</f>
        <v/>
      </c>
      <c r="T27" s="101" t="str">
        <f t="shared" si="7"/>
        <v/>
      </c>
      <c r="U27" s="178" t="str">
        <f>IF(S27&lt;&gt;"",S27*(Adjustment!$D$26/Adjustment!$D$25)*((0.6*Adjustment!$H$26/Adjustment!$H$38)+(0.4*Adjustment!$I$26/Adjustment!$I$38)),"")</f>
        <v/>
      </c>
      <c r="V27" s="180"/>
      <c r="W27">
        <f>IF(Performance!F27="",0,IF(Performance!F27="A/O or BNR 2-Stage Retrofit",1,IF(Performance!F27="A/O or BNR 2-Stage Replace",1,3)))</f>
        <v>0</v>
      </c>
      <c r="X27">
        <f>IF(Performance!G27="",0,IF(Performance!G27&lt;=10,10,IF(Performance!G27&gt;10,30)))</f>
        <v>0</v>
      </c>
      <c r="Y27">
        <f t="shared" si="8"/>
        <v>0</v>
      </c>
      <c r="Z27" s="28" t="str">
        <f>IF(Y27=11,'Incremental O&amp;M OH 2022'!$N$52,IF(Y27=13,'Incremental O&amp;M OH 2022'!$N$53,IF(Y27=31,'Incremental O&amp;M OH 2022'!$N$55,IF(Y27=33,'Incremental O&amp;M OH 2022'!$N$56,""))))</f>
        <v/>
      </c>
      <c r="AA27" s="12" t="str">
        <f t="shared" si="9"/>
        <v/>
      </c>
      <c r="AB27" s="118">
        <f>Performance!G27</f>
        <v>0</v>
      </c>
      <c r="AC27" s="117" t="e">
        <f t="shared" si="10"/>
        <v>#N/A</v>
      </c>
      <c r="AD27" t="e">
        <f t="shared" si="2"/>
        <v>#N/A</v>
      </c>
      <c r="AE27" t="e" cm="1">
        <f t="array" ref="AE27">INDEX($AB$39:$AB$49,MATCH(AB27,$AB$39:$AB$49)+1)</f>
        <v>#N/A</v>
      </c>
      <c r="AF27" s="12" t="e">
        <f t="shared" si="3"/>
        <v>#N/A</v>
      </c>
      <c r="AG27" s="12" t="e" cm="1">
        <f t="array" ref="AG27">INDEX($AE$39:$AE$49,MATCH(AF27,$AE$39:$AE$49)+1)</f>
        <v>#N/A</v>
      </c>
      <c r="AH27" s="142"/>
      <c r="AI27" s="117" t="e">
        <f t="shared" si="11"/>
        <v>#N/A</v>
      </c>
      <c r="AJ27" t="e">
        <f t="shared" si="4"/>
        <v>#N/A</v>
      </c>
      <c r="AK27" t="e" cm="1">
        <f t="array" ref="AK27">INDEX($AB$39:$AB$49,MATCH(AB27,$AB$39:$AB$49)+1)</f>
        <v>#N/A</v>
      </c>
      <c r="AL27" s="12" t="e">
        <f t="shared" si="5"/>
        <v>#N/A</v>
      </c>
      <c r="AM27" s="12" t="e" cm="1">
        <f t="array" ref="AM27">INDEX($AG$39:$AG$49,MATCH(AL27,$AG$39:$AG$49)+1)</f>
        <v>#N/A</v>
      </c>
    </row>
    <row r="28" spans="1:39" x14ac:dyDescent="0.25">
      <c r="A28" s="76" t="str">
        <f>IF(Performance!A28&lt;&gt;"",Performance!A28,"")</f>
        <v/>
      </c>
      <c r="B28" s="77" t="str">
        <f>IF(Performance!B28&lt;&gt;"",Performance!B28,"")</f>
        <v/>
      </c>
      <c r="C28" s="77" t="str">
        <f>IF(Performance!E28&lt;&gt;"",Performance!E28,"")</f>
        <v/>
      </c>
      <c r="D28" s="77" t="str">
        <f>IF(Performance!F28&lt;&gt;"",Performance!F28,"")</f>
        <v/>
      </c>
      <c r="E28" s="138"/>
      <c r="F28" s="159"/>
      <c r="G28" s="160"/>
      <c r="H28" s="161" t="str">
        <f>IF($F28&lt;&gt;"",$F28*Adjustment!$D$26/(VLOOKUP($G28,Adjustment!$B$2:$D$27,3,FALSE))*((0.6*Adjustment!$H$26/(VLOOKUP(Performance!$C28,Adjustment!$F$2:$I$53,3,FALSE)))+(0.4*Adjustment!$I$26/(VLOOKUP(Performance!$C28,Adjustment!$F$2:$I$53,4,FALSE)))),"")</f>
        <v/>
      </c>
      <c r="I28" s="162"/>
      <c r="J28" s="159"/>
      <c r="K28" s="160"/>
      <c r="L28" s="159"/>
      <c r="M28" s="160"/>
      <c r="N28" s="161" t="str">
        <f>IF($J28&lt;&gt;"",$J28*Adjustment!$D$26/(VLOOKUP($K28,Adjustment!$B$2:$D$27,3,FALSE))*((0.6*Adjustment!$H$26/(VLOOKUP(Performance!$C28,Adjustment!$F$2:$I$53,3,FALSE)))+(0.4*Adjustment!$I$26/(VLOOKUP(Performance!$C28,Adjustment!$F$2:$I$53,4,FALSE)))),"")</f>
        <v/>
      </c>
      <c r="O28" s="161" t="str">
        <f>IF(L28&lt;&gt;"",L28*Adjustment!$D$26/(VLOOKUP(M28,Adjustment!$B$2:$D$27,3,FALSE))*((0.6*Adjustment!$H$26/(VLOOKUP(Performance!$C28,Adjustment!$F$2:$I$53,3,FALSE)))+(0.4*Adjustment!$I$26/(VLOOKUP(Performance!$C28,Adjustment!$F$2:$I$53,4,FALSE)))),"")</f>
        <v/>
      </c>
      <c r="P28" s="163"/>
      <c r="Q28" s="161" t="str">
        <f t="shared" si="6"/>
        <v/>
      </c>
      <c r="R28" s="34"/>
      <c r="S28" s="152" t="str">
        <f>IF(A28="","",(IF(OR(F28&lt;&gt;"",J28&lt;&gt;""),"",Z28*(IF(Performance!F28="A/O or BNR 2-Stage Retrofit",'Estimated O&amp;M Cost'!AC28,IF(Performance!F28="A/O or BNR 2-Stage Replace",'Estimated O&amp;M Cost'!AC28,IF(Performance!F28="A2O or BNR 3- to 5-Stage Retrofit",'Estimated O&amp;M Cost'!AI28,IF(Performance!F28="A2O or BNR 3- to 5-Stage Replace",'Estimated O&amp;M Cost'!AI28,""))))))))</f>
        <v/>
      </c>
      <c r="T28" s="101" t="str">
        <f t="shared" si="7"/>
        <v/>
      </c>
      <c r="U28" s="178" t="str">
        <f>IF(S28&lt;&gt;"",S28*(Adjustment!$D$26/Adjustment!$D$25)*((0.6*Adjustment!$H$26/Adjustment!$H$38)+(0.4*Adjustment!$I$26/Adjustment!$I$38)),"")</f>
        <v/>
      </c>
      <c r="V28" s="180"/>
      <c r="W28">
        <f>IF(Performance!F28="",0,IF(Performance!F28="A/O or BNR 2-Stage Retrofit",1,IF(Performance!F28="A/O or BNR 2-Stage Replace",1,3)))</f>
        <v>0</v>
      </c>
      <c r="X28">
        <f>IF(Performance!G28="",0,IF(Performance!G28&lt;=10,10,IF(Performance!G28&gt;10,30)))</f>
        <v>0</v>
      </c>
      <c r="Y28">
        <f t="shared" si="8"/>
        <v>0</v>
      </c>
      <c r="Z28" s="28" t="str">
        <f>IF(Y28=11,'Incremental O&amp;M OH 2022'!$N$52,IF(Y28=13,'Incremental O&amp;M OH 2022'!$N$53,IF(Y28=31,'Incremental O&amp;M OH 2022'!$N$55,IF(Y28=33,'Incremental O&amp;M OH 2022'!$N$56,""))))</f>
        <v/>
      </c>
      <c r="AA28" s="12" t="str">
        <f t="shared" si="9"/>
        <v/>
      </c>
      <c r="AB28" s="118">
        <f>Performance!G28</f>
        <v>0</v>
      </c>
      <c r="AC28" s="117" t="e">
        <f t="shared" si="10"/>
        <v>#N/A</v>
      </c>
      <c r="AD28" t="e">
        <f t="shared" si="2"/>
        <v>#N/A</v>
      </c>
      <c r="AE28" t="e" cm="1">
        <f t="array" ref="AE28">INDEX($AB$39:$AB$49,MATCH(AB28,$AB$39:$AB$49)+1)</f>
        <v>#N/A</v>
      </c>
      <c r="AF28" s="12" t="e">
        <f t="shared" si="3"/>
        <v>#N/A</v>
      </c>
      <c r="AG28" s="12" t="e" cm="1">
        <f t="array" ref="AG28">INDEX($AE$39:$AE$49,MATCH(AF28,$AE$39:$AE$49)+1)</f>
        <v>#N/A</v>
      </c>
      <c r="AH28" s="142"/>
      <c r="AI28" s="117" t="e">
        <f t="shared" si="11"/>
        <v>#N/A</v>
      </c>
      <c r="AJ28" t="e">
        <f t="shared" si="4"/>
        <v>#N/A</v>
      </c>
      <c r="AK28" t="e" cm="1">
        <f t="array" ref="AK28">INDEX($AB$39:$AB$49,MATCH(AB28,$AB$39:$AB$49)+1)</f>
        <v>#N/A</v>
      </c>
      <c r="AL28" s="12" t="e">
        <f t="shared" si="5"/>
        <v>#N/A</v>
      </c>
      <c r="AM28" s="12" t="e" cm="1">
        <f t="array" ref="AM28">INDEX($AG$39:$AG$49,MATCH(AL28,$AG$39:$AG$49)+1)</f>
        <v>#N/A</v>
      </c>
    </row>
    <row r="29" spans="1:39" x14ac:dyDescent="0.25">
      <c r="A29" s="76" t="str">
        <f>IF(Performance!A29&lt;&gt;"",Performance!A29,"")</f>
        <v/>
      </c>
      <c r="B29" s="77" t="str">
        <f>IF(Performance!B29&lt;&gt;"",Performance!B29,"")</f>
        <v/>
      </c>
      <c r="C29" s="77" t="str">
        <f>IF(Performance!E29&lt;&gt;"",Performance!E29,"")</f>
        <v/>
      </c>
      <c r="D29" s="77" t="str">
        <f>IF(Performance!F29&lt;&gt;"",Performance!F29,"")</f>
        <v/>
      </c>
      <c r="E29" s="138"/>
      <c r="F29" s="159"/>
      <c r="G29" s="160"/>
      <c r="H29" s="161" t="str">
        <f>IF($F29&lt;&gt;"",$F29*Adjustment!$D$26/(VLOOKUP($G29,Adjustment!$B$2:$D$27,3,FALSE))*((0.6*Adjustment!$H$26/(VLOOKUP(Performance!$C29,Adjustment!$F$2:$I$53,3,FALSE)))+(0.4*Adjustment!$I$26/(VLOOKUP(Performance!$C29,Adjustment!$F$2:$I$53,4,FALSE)))),"")</f>
        <v/>
      </c>
      <c r="I29" s="162"/>
      <c r="J29" s="159"/>
      <c r="K29" s="160"/>
      <c r="L29" s="159"/>
      <c r="M29" s="160"/>
      <c r="N29" s="161" t="str">
        <f>IF($J29&lt;&gt;"",$J29*Adjustment!$D$26/(VLOOKUP($K29,Adjustment!$B$2:$D$27,3,FALSE))*((0.6*Adjustment!$H$26/(VLOOKUP(Performance!$C29,Adjustment!$F$2:$I$53,3,FALSE)))+(0.4*Adjustment!$I$26/(VLOOKUP(Performance!$C29,Adjustment!$F$2:$I$53,4,FALSE)))),"")</f>
        <v/>
      </c>
      <c r="O29" s="161" t="str">
        <f>IF(L29&lt;&gt;"",L29*Adjustment!$D$26/(VLOOKUP(M29,Adjustment!$B$2:$D$27,3,FALSE))*((0.6*Adjustment!$H$26/(VLOOKUP(Performance!$C29,Adjustment!$F$2:$I$53,3,FALSE)))+(0.4*Adjustment!$I$26/(VLOOKUP(Performance!$C29,Adjustment!$F$2:$I$53,4,FALSE)))),"")</f>
        <v/>
      </c>
      <c r="P29" s="163"/>
      <c r="Q29" s="161" t="str">
        <f t="shared" si="6"/>
        <v/>
      </c>
      <c r="R29" s="34"/>
      <c r="S29" s="152" t="str">
        <f>IF(A29="","",(IF(OR(F29&lt;&gt;"",J29&lt;&gt;""),"",Z29*(IF(Performance!F29="A/O or BNR 2-Stage Retrofit",'Estimated O&amp;M Cost'!AC29,IF(Performance!F29="A/O or BNR 2-Stage Replace",'Estimated O&amp;M Cost'!AC29,IF(Performance!F29="A2O or BNR 3- to 5-Stage Retrofit",'Estimated O&amp;M Cost'!AI29,IF(Performance!F29="A2O or BNR 3- to 5-Stage Replace",'Estimated O&amp;M Cost'!AI29,""))))))))</f>
        <v/>
      </c>
      <c r="T29" s="101" t="str">
        <f t="shared" si="7"/>
        <v/>
      </c>
      <c r="U29" s="178" t="str">
        <f>IF(S29&lt;&gt;"",S29*(Adjustment!$D$26/Adjustment!$D$25)*((0.6*Adjustment!$H$26/Adjustment!$H$38)+(0.4*Adjustment!$I$26/Adjustment!$I$38)),"")</f>
        <v/>
      </c>
      <c r="V29" s="180"/>
      <c r="W29">
        <f>IF(Performance!F29="",0,IF(Performance!F29="A/O or BNR 2-Stage Retrofit",1,IF(Performance!F29="A/O or BNR 2-Stage Replace",1,3)))</f>
        <v>0</v>
      </c>
      <c r="X29">
        <f>IF(Performance!G29="",0,IF(Performance!G29&lt;=10,10,IF(Performance!G29&gt;10,30)))</f>
        <v>0</v>
      </c>
      <c r="Y29">
        <f t="shared" si="8"/>
        <v>0</v>
      </c>
      <c r="Z29" s="28" t="str">
        <f>IF(Y29=11,'Incremental O&amp;M OH 2022'!$N$52,IF(Y29=13,'Incremental O&amp;M OH 2022'!$N$53,IF(Y29=31,'Incremental O&amp;M OH 2022'!$N$55,IF(Y29=33,'Incremental O&amp;M OH 2022'!$N$56,""))))</f>
        <v/>
      </c>
      <c r="AA29" s="12" t="str">
        <f t="shared" si="9"/>
        <v/>
      </c>
      <c r="AB29" s="118">
        <f>Performance!G29</f>
        <v>0</v>
      </c>
      <c r="AC29" s="117" t="e">
        <f t="shared" si="10"/>
        <v>#N/A</v>
      </c>
      <c r="AD29" t="e">
        <f t="shared" si="2"/>
        <v>#N/A</v>
      </c>
      <c r="AE29" t="e" cm="1">
        <f t="array" ref="AE29">INDEX($AB$39:$AB$49,MATCH(AB29,$AB$39:$AB$49)+1)</f>
        <v>#N/A</v>
      </c>
      <c r="AF29" s="12" t="e">
        <f t="shared" si="3"/>
        <v>#N/A</v>
      </c>
      <c r="AG29" s="12" t="e" cm="1">
        <f t="array" ref="AG29">INDEX($AE$39:$AE$49,MATCH(AF29,$AE$39:$AE$49)+1)</f>
        <v>#N/A</v>
      </c>
      <c r="AH29" s="142"/>
      <c r="AI29" s="117" t="e">
        <f t="shared" si="11"/>
        <v>#N/A</v>
      </c>
      <c r="AJ29" t="e">
        <f t="shared" si="4"/>
        <v>#N/A</v>
      </c>
      <c r="AK29" t="e" cm="1">
        <f t="array" ref="AK29">INDEX($AB$39:$AB$49,MATCH(AB29,$AB$39:$AB$49)+1)</f>
        <v>#N/A</v>
      </c>
      <c r="AL29" s="12" t="e">
        <f t="shared" si="5"/>
        <v>#N/A</v>
      </c>
      <c r="AM29" s="12" t="e" cm="1">
        <f t="array" ref="AM29">INDEX($AG$39:$AG$49,MATCH(AL29,$AG$39:$AG$49)+1)</f>
        <v>#N/A</v>
      </c>
    </row>
    <row r="30" spans="1:39" x14ac:dyDescent="0.25">
      <c r="A30" s="76" t="str">
        <f>IF(Performance!A30&lt;&gt;"",Performance!A30,"")</f>
        <v/>
      </c>
      <c r="B30" s="77" t="str">
        <f>IF(Performance!B30&lt;&gt;"",Performance!B30,"")</f>
        <v/>
      </c>
      <c r="C30" s="77" t="str">
        <f>IF(Performance!E30&lt;&gt;"",Performance!E30,"")</f>
        <v/>
      </c>
      <c r="D30" s="77" t="str">
        <f>IF(Performance!F30&lt;&gt;"",Performance!F30,"")</f>
        <v/>
      </c>
      <c r="E30" s="138"/>
      <c r="F30" s="159"/>
      <c r="G30" s="160"/>
      <c r="H30" s="161" t="str">
        <f>IF($F30&lt;&gt;"",$F30*Adjustment!$D$26/(VLOOKUP($G30,Adjustment!$B$2:$D$27,3,FALSE))*((0.6*Adjustment!$H$26/(VLOOKUP(Performance!$C30,Adjustment!$F$2:$I$53,3,FALSE)))+(0.4*Adjustment!$I$26/(VLOOKUP(Performance!$C30,Adjustment!$F$2:$I$53,4,FALSE)))),"")</f>
        <v/>
      </c>
      <c r="I30" s="162"/>
      <c r="J30" s="159"/>
      <c r="K30" s="160"/>
      <c r="L30" s="159"/>
      <c r="M30" s="160"/>
      <c r="N30" s="161" t="str">
        <f>IF($J30&lt;&gt;"",$J30*Adjustment!$D$26/(VLOOKUP($K30,Adjustment!$B$2:$D$27,3,FALSE))*((0.6*Adjustment!$H$26/(VLOOKUP(Performance!$C30,Adjustment!$F$2:$I$53,3,FALSE)))+(0.4*Adjustment!$I$26/(VLOOKUP(Performance!$C30,Adjustment!$F$2:$I$53,4,FALSE)))),"")</f>
        <v/>
      </c>
      <c r="O30" s="161" t="str">
        <f>IF(L30&lt;&gt;"",L30*Adjustment!$D$26/(VLOOKUP(M30,Adjustment!$B$2:$D$27,3,FALSE))*((0.6*Adjustment!$H$26/(VLOOKUP(Performance!$C30,Adjustment!$F$2:$I$53,3,FALSE)))+(0.4*Adjustment!$I$26/(VLOOKUP(Performance!$C30,Adjustment!$F$2:$I$53,4,FALSE)))),"")</f>
        <v/>
      </c>
      <c r="P30" s="163"/>
      <c r="Q30" s="161" t="str">
        <f t="shared" si="6"/>
        <v/>
      </c>
      <c r="R30" s="34"/>
      <c r="S30" s="152" t="str">
        <f>IF(A30="","",(IF(OR(F30&lt;&gt;"",J30&lt;&gt;""),"",Z30*(IF(Performance!F30="A/O or BNR 2-Stage Retrofit",'Estimated O&amp;M Cost'!AC30,IF(Performance!F30="A/O or BNR 2-Stage Replace",'Estimated O&amp;M Cost'!AC30,IF(Performance!F30="A2O or BNR 3- to 5-Stage Retrofit",'Estimated O&amp;M Cost'!AI30,IF(Performance!F30="A2O or BNR 3- to 5-Stage Replace",'Estimated O&amp;M Cost'!AI30,""))))))))</f>
        <v/>
      </c>
      <c r="T30" s="101" t="str">
        <f t="shared" si="7"/>
        <v/>
      </c>
      <c r="U30" s="178" t="str">
        <f>IF(S30&lt;&gt;"",S30*(Adjustment!$D$26/Adjustment!$D$25)*((0.6*Adjustment!$H$26/Adjustment!$H$38)+(0.4*Adjustment!$I$26/Adjustment!$I$38)),"")</f>
        <v/>
      </c>
      <c r="V30" s="180"/>
      <c r="W30">
        <f>IF(Performance!F30="",0,IF(Performance!F30="A/O or BNR 2-Stage Retrofit",1,IF(Performance!F30="A/O or BNR 2-Stage Replace",1,3)))</f>
        <v>0</v>
      </c>
      <c r="X30">
        <f>IF(Performance!G30="",0,IF(Performance!G30&lt;=10,10,IF(Performance!G30&gt;10,30)))</f>
        <v>0</v>
      </c>
      <c r="Y30">
        <f t="shared" si="8"/>
        <v>0</v>
      </c>
      <c r="Z30" s="28" t="str">
        <f>IF(Y30=11,'Incremental O&amp;M OH 2022'!$N$52,IF(Y30=13,'Incremental O&amp;M OH 2022'!$N$53,IF(Y30=31,'Incremental O&amp;M OH 2022'!$N$55,IF(Y30=33,'Incremental O&amp;M OH 2022'!$N$56,""))))</f>
        <v/>
      </c>
      <c r="AA30" s="12" t="str">
        <f t="shared" si="9"/>
        <v/>
      </c>
      <c r="AB30" s="118">
        <f>Performance!G30</f>
        <v>0</v>
      </c>
      <c r="AC30" s="117" t="e">
        <f t="shared" si="10"/>
        <v>#N/A</v>
      </c>
      <c r="AD30" t="e">
        <f t="shared" si="2"/>
        <v>#N/A</v>
      </c>
      <c r="AE30" t="e" cm="1">
        <f t="array" ref="AE30">INDEX($AB$39:$AB$49,MATCH(AB30,$AB$39:$AB$49)+1)</f>
        <v>#N/A</v>
      </c>
      <c r="AF30" s="12" t="e">
        <f t="shared" si="3"/>
        <v>#N/A</v>
      </c>
      <c r="AG30" s="12" t="e" cm="1">
        <f t="array" ref="AG30">INDEX($AE$39:$AE$49,MATCH(AF30,$AE$39:$AE$49)+1)</f>
        <v>#N/A</v>
      </c>
      <c r="AH30" s="142"/>
      <c r="AI30" s="117" t="e">
        <f t="shared" si="11"/>
        <v>#N/A</v>
      </c>
      <c r="AJ30" t="e">
        <f t="shared" si="4"/>
        <v>#N/A</v>
      </c>
      <c r="AK30" t="e" cm="1">
        <f t="array" ref="AK30">INDEX($AB$39:$AB$49,MATCH(AB30,$AB$39:$AB$49)+1)</f>
        <v>#N/A</v>
      </c>
      <c r="AL30" s="12" t="e">
        <f t="shared" si="5"/>
        <v>#N/A</v>
      </c>
      <c r="AM30" s="12" t="e" cm="1">
        <f t="array" ref="AM30">INDEX($AG$39:$AG$49,MATCH(AL30,$AG$39:$AG$49)+1)</f>
        <v>#N/A</v>
      </c>
    </row>
    <row r="31" spans="1:39" x14ac:dyDescent="0.25">
      <c r="A31" s="76" t="str">
        <f>IF(Performance!A31&lt;&gt;"",Performance!A31,"")</f>
        <v/>
      </c>
      <c r="B31" s="77" t="str">
        <f>IF(Performance!B31&lt;&gt;"",Performance!B31,"")</f>
        <v/>
      </c>
      <c r="C31" s="77" t="str">
        <f>IF(Performance!E31&lt;&gt;"",Performance!E31,"")</f>
        <v/>
      </c>
      <c r="D31" s="77" t="str">
        <f>IF(Performance!F31&lt;&gt;"",Performance!F31,"")</f>
        <v/>
      </c>
      <c r="E31" s="138"/>
      <c r="F31" s="159"/>
      <c r="G31" s="160"/>
      <c r="H31" s="161" t="str">
        <f>IF($F31&lt;&gt;"",$F31*Adjustment!$D$26/(VLOOKUP($G31,Adjustment!$B$2:$D$27,3,FALSE))*((0.6*Adjustment!$H$26/(VLOOKUP(Performance!$C31,Adjustment!$F$2:$I$53,3,FALSE)))+(0.4*Adjustment!$I$26/(VLOOKUP(Performance!$C31,Adjustment!$F$2:$I$53,4,FALSE)))),"")</f>
        <v/>
      </c>
      <c r="I31" s="162"/>
      <c r="J31" s="159"/>
      <c r="K31" s="160"/>
      <c r="L31" s="159"/>
      <c r="M31" s="160"/>
      <c r="N31" s="161" t="str">
        <f>IF($J31&lt;&gt;"",$J31*Adjustment!$D$26/(VLOOKUP($K31,Adjustment!$B$2:$D$27,3,FALSE))*((0.6*Adjustment!$H$26/(VLOOKUP(Performance!$C31,Adjustment!$F$2:$I$53,3,FALSE)))+(0.4*Adjustment!$I$26/(VLOOKUP(Performance!$C31,Adjustment!$F$2:$I$53,4,FALSE)))),"")</f>
        <v/>
      </c>
      <c r="O31" s="161" t="str">
        <f>IF(L31&lt;&gt;"",L31*Adjustment!$D$26/(VLOOKUP(M31,Adjustment!$B$2:$D$27,3,FALSE))*((0.6*Adjustment!$H$26/(VLOOKUP(Performance!$C31,Adjustment!$F$2:$I$53,3,FALSE)))+(0.4*Adjustment!$I$26/(VLOOKUP(Performance!$C31,Adjustment!$F$2:$I$53,4,FALSE)))),"")</f>
        <v/>
      </c>
      <c r="P31" s="163"/>
      <c r="Q31" s="161" t="str">
        <f t="shared" si="6"/>
        <v/>
      </c>
      <c r="R31" s="34"/>
      <c r="S31" s="152" t="str">
        <f>IF(A31="","",(IF(OR(F31&lt;&gt;"",J31&lt;&gt;""),"",Z31*(IF(Performance!F31="A/O or BNR 2-Stage Retrofit",'Estimated O&amp;M Cost'!AC31,IF(Performance!F31="A/O or BNR 2-Stage Replace",'Estimated O&amp;M Cost'!AC31,IF(Performance!F31="A2O or BNR 3- to 5-Stage Retrofit",'Estimated O&amp;M Cost'!AI31,IF(Performance!F31="A2O or BNR 3- to 5-Stage Replace",'Estimated O&amp;M Cost'!AI31,""))))))))</f>
        <v/>
      </c>
      <c r="T31" s="101" t="str">
        <f t="shared" si="7"/>
        <v/>
      </c>
      <c r="U31" s="178" t="str">
        <f>IF(S31&lt;&gt;"",S31*(Adjustment!$D$26/Adjustment!$D$25)*((0.6*Adjustment!$H$26/Adjustment!$H$38)+(0.4*Adjustment!$I$26/Adjustment!$I$38)),"")</f>
        <v/>
      </c>
      <c r="V31" s="180"/>
      <c r="W31">
        <f>IF(Performance!F31="",0,IF(Performance!F31="A/O or BNR 2-Stage Retrofit",1,IF(Performance!F31="A/O or BNR 2-Stage Replace",1,3)))</f>
        <v>0</v>
      </c>
      <c r="X31">
        <f>IF(Performance!G31="",0,IF(Performance!G31&lt;=10,10,IF(Performance!G31&gt;10,30)))</f>
        <v>0</v>
      </c>
      <c r="Y31">
        <f t="shared" si="8"/>
        <v>0</v>
      </c>
      <c r="Z31" s="28" t="str">
        <f>IF(Y31=11,'Incremental O&amp;M OH 2022'!$N$52,IF(Y31=13,'Incremental O&amp;M OH 2022'!$N$53,IF(Y31=31,'Incremental O&amp;M OH 2022'!$N$55,IF(Y31=33,'Incremental O&amp;M OH 2022'!$N$56,""))))</f>
        <v/>
      </c>
      <c r="AA31" s="12" t="str">
        <f t="shared" si="9"/>
        <v/>
      </c>
      <c r="AB31" s="118">
        <f>Performance!G31</f>
        <v>0</v>
      </c>
      <c r="AC31" s="117" t="e">
        <f t="shared" si="10"/>
        <v>#N/A</v>
      </c>
      <c r="AD31" t="e">
        <f t="shared" si="2"/>
        <v>#N/A</v>
      </c>
      <c r="AE31" t="e" cm="1">
        <f t="array" ref="AE31">INDEX($AB$39:$AB$49,MATCH(AB31,$AB$39:$AB$49)+1)</f>
        <v>#N/A</v>
      </c>
      <c r="AF31" s="12" t="e">
        <f t="shared" si="3"/>
        <v>#N/A</v>
      </c>
      <c r="AG31" s="12" t="e" cm="1">
        <f t="array" ref="AG31">INDEX($AE$39:$AE$49,MATCH(AF31,$AE$39:$AE$49)+1)</f>
        <v>#N/A</v>
      </c>
      <c r="AH31" s="142"/>
      <c r="AI31" s="117" t="e">
        <f t="shared" si="11"/>
        <v>#N/A</v>
      </c>
      <c r="AJ31" t="e">
        <f t="shared" si="4"/>
        <v>#N/A</v>
      </c>
      <c r="AK31" t="e" cm="1">
        <f t="array" ref="AK31">INDEX($AB$39:$AB$49,MATCH(AB31,$AB$39:$AB$49)+1)</f>
        <v>#N/A</v>
      </c>
      <c r="AL31" s="12" t="e">
        <f t="shared" si="5"/>
        <v>#N/A</v>
      </c>
      <c r="AM31" s="12" t="e" cm="1">
        <f t="array" ref="AM31">INDEX($AG$39:$AG$49,MATCH(AL31,$AG$39:$AG$49)+1)</f>
        <v>#N/A</v>
      </c>
    </row>
    <row r="32" spans="1:39" x14ac:dyDescent="0.25">
      <c r="A32" s="76" t="str">
        <f>IF(Performance!A32&lt;&gt;"",Performance!A32,"")</f>
        <v/>
      </c>
      <c r="B32" s="77" t="str">
        <f>IF(Performance!B32&lt;&gt;"",Performance!B32,"")</f>
        <v/>
      </c>
      <c r="C32" s="77" t="str">
        <f>IF(Performance!E32&lt;&gt;"",Performance!E32,"")</f>
        <v/>
      </c>
      <c r="D32" s="77" t="str">
        <f>IF(Performance!F32&lt;&gt;"",Performance!F32,"")</f>
        <v/>
      </c>
      <c r="E32" s="138"/>
      <c r="F32" s="159"/>
      <c r="G32" s="160"/>
      <c r="H32" s="161" t="str">
        <f>IF($F32&lt;&gt;"",$F32*Adjustment!$D$26/(VLOOKUP($G32,Adjustment!$B$2:$D$27,3,FALSE))*((0.6*Adjustment!$H$26/(VLOOKUP(Performance!$C32,Adjustment!$F$2:$I$53,3,FALSE)))+(0.4*Adjustment!$I$26/(VLOOKUP(Performance!$C32,Adjustment!$F$2:$I$53,4,FALSE)))),"")</f>
        <v/>
      </c>
      <c r="I32" s="162"/>
      <c r="J32" s="159"/>
      <c r="K32" s="160"/>
      <c r="L32" s="159"/>
      <c r="M32" s="160"/>
      <c r="N32" s="161" t="str">
        <f>IF($J32&lt;&gt;"",$J32*Adjustment!$D$26/(VLOOKUP($K32,Adjustment!$B$2:$D$27,3,FALSE))*((0.6*Adjustment!$H$26/(VLOOKUP(Performance!$C32,Adjustment!$F$2:$I$53,3,FALSE)))+(0.4*Adjustment!$I$26/(VLOOKUP(Performance!$C32,Adjustment!$F$2:$I$53,4,FALSE)))),"")</f>
        <v/>
      </c>
      <c r="O32" s="161" t="str">
        <f>IF(L32&lt;&gt;"",L32*Adjustment!$D$26/(VLOOKUP(M32,Adjustment!$B$2:$D$27,3,FALSE))*((0.6*Adjustment!$H$26/(VLOOKUP(Performance!$C32,Adjustment!$F$2:$I$53,3,FALSE)))+(0.4*Adjustment!$I$26/(VLOOKUP(Performance!$C32,Adjustment!$F$2:$I$53,4,FALSE)))),"")</f>
        <v/>
      </c>
      <c r="P32" s="163"/>
      <c r="Q32" s="161" t="str">
        <f t="shared" si="6"/>
        <v/>
      </c>
      <c r="R32" s="34"/>
      <c r="S32" s="152" t="str">
        <f>IF(A32="","",(IF(OR(F32&lt;&gt;"",J32&lt;&gt;""),"",Z32*(IF(Performance!F32="A/O or BNR 2-Stage Retrofit",'Estimated O&amp;M Cost'!AC32,IF(Performance!F32="A/O or BNR 2-Stage Replace",'Estimated O&amp;M Cost'!AC32,IF(Performance!F32="A2O or BNR 3- to 5-Stage Retrofit",'Estimated O&amp;M Cost'!AI32,IF(Performance!F32="A2O or BNR 3- to 5-Stage Replace",'Estimated O&amp;M Cost'!AI32,""))))))))</f>
        <v/>
      </c>
      <c r="T32" s="101" t="str">
        <f t="shared" si="7"/>
        <v/>
      </c>
      <c r="U32" s="178" t="str">
        <f>IF(S32&lt;&gt;"",S32*(Adjustment!$D$26/Adjustment!$D$25)*((0.6*Adjustment!$H$26/Adjustment!$H$38)+(0.4*Adjustment!$I$26/Adjustment!$I$38)),"")</f>
        <v/>
      </c>
      <c r="V32" s="180"/>
      <c r="W32">
        <f>IF(Performance!F32="",0,IF(Performance!F32="A/O or BNR 2-Stage Retrofit",1,IF(Performance!F32="A/O or BNR 2-Stage Replace",1,3)))</f>
        <v>0</v>
      </c>
      <c r="X32">
        <f>IF(Performance!G32="",0,IF(Performance!G32&lt;=10,10,IF(Performance!G32&gt;10,30)))</f>
        <v>0</v>
      </c>
      <c r="Y32">
        <f t="shared" si="8"/>
        <v>0</v>
      </c>
      <c r="Z32" s="28" t="str">
        <f>IF(Y32=11,'Incremental O&amp;M OH 2022'!$N$52,IF(Y32=13,'Incremental O&amp;M OH 2022'!$N$53,IF(Y32=31,'Incremental O&amp;M OH 2022'!$N$55,IF(Y32=33,'Incremental O&amp;M OH 2022'!$N$56,""))))</f>
        <v/>
      </c>
      <c r="AA32" s="12" t="str">
        <f t="shared" si="9"/>
        <v/>
      </c>
      <c r="AB32" s="118">
        <f>Performance!G32</f>
        <v>0</v>
      </c>
      <c r="AC32" s="117" t="e">
        <f t="shared" si="10"/>
        <v>#N/A</v>
      </c>
      <c r="AD32" t="e">
        <f t="shared" si="2"/>
        <v>#N/A</v>
      </c>
      <c r="AE32" t="e" cm="1">
        <f t="array" ref="AE32">INDEX($AB$39:$AB$49,MATCH(AB32,$AB$39:$AB$49)+1)</f>
        <v>#N/A</v>
      </c>
      <c r="AF32" s="12" t="e">
        <f t="shared" si="3"/>
        <v>#N/A</v>
      </c>
      <c r="AG32" s="12" t="e" cm="1">
        <f t="array" ref="AG32">INDEX($AE$39:$AE$49,MATCH(AF32,$AE$39:$AE$49)+1)</f>
        <v>#N/A</v>
      </c>
      <c r="AH32" s="142"/>
      <c r="AI32" s="117" t="e">
        <f t="shared" si="11"/>
        <v>#N/A</v>
      </c>
      <c r="AJ32" t="e">
        <f t="shared" si="4"/>
        <v>#N/A</v>
      </c>
      <c r="AK32" t="e" cm="1">
        <f t="array" ref="AK32">INDEX($AB$39:$AB$49,MATCH(AB32,$AB$39:$AB$49)+1)</f>
        <v>#N/A</v>
      </c>
      <c r="AL32" s="12" t="e">
        <f t="shared" si="5"/>
        <v>#N/A</v>
      </c>
      <c r="AM32" s="12" t="e" cm="1">
        <f t="array" ref="AM32">INDEX($AG$39:$AG$49,MATCH(AL32,$AG$39:$AG$49)+1)</f>
        <v>#N/A</v>
      </c>
    </row>
    <row r="33" spans="1:40" ht="15.75" thickBot="1" x14ac:dyDescent="0.3">
      <c r="A33" s="78" t="str">
        <f>IF(Performance!A33&lt;&gt;"",Performance!A33,"")</f>
        <v/>
      </c>
      <c r="B33" s="79" t="str">
        <f>IF(Performance!B33&lt;&gt;"",Performance!B33,"")</f>
        <v/>
      </c>
      <c r="C33" s="79" t="str">
        <f>IF(Performance!E33&lt;&gt;"",Performance!E33,"")</f>
        <v/>
      </c>
      <c r="D33" s="79" t="str">
        <f>IF(Performance!F33&lt;&gt;"",Performance!F33,"")</f>
        <v/>
      </c>
      <c r="E33" s="139"/>
      <c r="F33" s="164"/>
      <c r="G33" s="165"/>
      <c r="H33" s="161" t="str">
        <f>IF($F33&lt;&gt;"",$F33*Adjustment!$D$26/(VLOOKUP($G33,Adjustment!$B$2:$D$27,3,FALSE))*((0.6*Adjustment!$H$26/(VLOOKUP(Performance!$C33,Adjustment!$F$2:$I$53,3,FALSE)))+(0.4*Adjustment!$I$26/(VLOOKUP(Performance!$C33,Adjustment!$F$2:$I$53,4,FALSE)))),"")</f>
        <v/>
      </c>
      <c r="I33" s="166"/>
      <c r="J33" s="164"/>
      <c r="K33" s="165"/>
      <c r="L33" s="164"/>
      <c r="M33" s="165"/>
      <c r="N33" s="161" t="str">
        <f>IF($J33&lt;&gt;"",$J33*Adjustment!$D$26/(VLOOKUP($K33,Adjustment!$B$2:$D$27,3,FALSE))*((0.6*Adjustment!$H$26/(VLOOKUP(Performance!$C33,Adjustment!$F$2:$I$53,3,FALSE)))+(0.4*Adjustment!$I$26/(VLOOKUP(Performance!$C33,Adjustment!$F$2:$I$53,4,FALSE)))),"")</f>
        <v/>
      </c>
      <c r="O33" s="167" t="str">
        <f>IF(L33&lt;&gt;"",L33*Adjustment!$D$26/(VLOOKUP(M33,Adjustment!$B$2:$D$27,3,FALSE))*((0.6*Adjustment!$H$26/(VLOOKUP(Performance!$C33,Adjustment!$F$2:$I$53,3,FALSE)))+(0.4*Adjustment!$I$26/(VLOOKUP(Performance!$C33,Adjustment!$F$2:$I$53,4,FALSE)))),"")</f>
        <v/>
      </c>
      <c r="P33" s="168"/>
      <c r="Q33" s="167" t="str">
        <f t="shared" si="6"/>
        <v/>
      </c>
      <c r="R33" s="35"/>
      <c r="S33" s="153" t="str">
        <f>IF(A33="","",(IF(OR(F33&lt;&gt;"",J33&lt;&gt;""),"",Z33*(IF(Performance!F33="A/O or BNR 2-Stage Retrofit",'Estimated O&amp;M Cost'!AC33,IF(Performance!F33="A/O or BNR 2-Stage Replace",'Estimated O&amp;M Cost'!AC33,IF(Performance!F33="A2O or BNR 3- to 5-Stage Retrofit",'Estimated O&amp;M Cost'!AI33,IF(Performance!F33="A2O or BNR 3- to 5-Stage Replace",'Estimated O&amp;M Cost'!AI33,""))))))))</f>
        <v/>
      </c>
      <c r="T33" s="106" t="str">
        <f t="shared" si="7"/>
        <v/>
      </c>
      <c r="U33" s="179" t="str">
        <f>IF(S33&lt;&gt;"",S33*(Adjustment!$D$26/Adjustment!$D$25)*((0.6*Adjustment!$H$26/Adjustment!$H$38)+(0.4*Adjustment!$I$26/Adjustment!$I$38)),"")</f>
        <v/>
      </c>
      <c r="V33" s="187"/>
      <c r="W33">
        <f>IF(Performance!F33="",0,IF(Performance!F33="A/O or BNR 2-Stage Retrofit",1,IF(Performance!F33="A/O or BNR 2-Stage Replace",1,3)))</f>
        <v>0</v>
      </c>
      <c r="X33">
        <f>IF(Performance!G33="",0,IF(Performance!G33&lt;=10,10,IF(Performance!G33&gt;10,30)))</f>
        <v>0</v>
      </c>
      <c r="Y33">
        <f t="shared" si="8"/>
        <v>0</v>
      </c>
      <c r="Z33" s="28" t="str">
        <f>IF(Y33=11,'Incremental O&amp;M OH 2022'!$N$52,IF(Y33=13,'Incremental O&amp;M OH 2022'!$N$53,IF(Y33=31,'Incremental O&amp;M OH 2022'!$N$55,IF(Y33=33,'Incremental O&amp;M OH 2022'!$N$56,""))))</f>
        <v/>
      </c>
      <c r="AA33" s="12" t="str">
        <f t="shared" si="9"/>
        <v/>
      </c>
      <c r="AB33" s="118">
        <f>Performance!G33</f>
        <v>0</v>
      </c>
      <c r="AC33" s="117" t="e">
        <f t="shared" si="10"/>
        <v>#N/A</v>
      </c>
      <c r="AD33" t="e">
        <f t="shared" si="2"/>
        <v>#N/A</v>
      </c>
      <c r="AE33" t="e" cm="1">
        <f t="array" ref="AE33">INDEX($AB$39:$AB$49,MATCH(AB33,$AB$39:$AB$49)+1)</f>
        <v>#N/A</v>
      </c>
      <c r="AF33" s="12" t="e">
        <f t="shared" si="3"/>
        <v>#N/A</v>
      </c>
      <c r="AG33" s="12" t="e" cm="1">
        <f t="array" ref="AG33">INDEX($AE$39:$AE$49,MATCH(AF33,$AE$39:$AE$49)+1)</f>
        <v>#N/A</v>
      </c>
      <c r="AH33" s="142"/>
      <c r="AI33" s="117" t="e">
        <f t="shared" si="11"/>
        <v>#N/A</v>
      </c>
      <c r="AJ33" t="e">
        <f t="shared" si="4"/>
        <v>#N/A</v>
      </c>
      <c r="AK33" t="e" cm="1">
        <f t="array" ref="AK33">INDEX($AB$39:$AB$49,MATCH(AB33,$AB$39:$AB$49)+1)</f>
        <v>#N/A</v>
      </c>
      <c r="AL33" s="12" t="e">
        <f t="shared" si="5"/>
        <v>#N/A</v>
      </c>
      <c r="AM33" s="12" t="e" cm="1">
        <f t="array" ref="AM33">INDEX($AG$39:$AG$49,MATCH(AL33,$AG$39:$AG$49)+1)</f>
        <v>#N/A</v>
      </c>
    </row>
    <row r="34" spans="1:40" ht="15.75" thickTop="1" x14ac:dyDescent="0.25"/>
    <row r="36" spans="1:40" x14ac:dyDescent="0.25">
      <c r="AE36" s="2" t="s">
        <v>159</v>
      </c>
      <c r="AJ36" s="2" t="s">
        <v>160</v>
      </c>
    </row>
    <row r="38" spans="1:40" x14ac:dyDescent="0.25">
      <c r="AE38" s="2" t="s">
        <v>124</v>
      </c>
      <c r="AF38" s="2"/>
      <c r="AG38" s="2" t="s">
        <v>125</v>
      </c>
      <c r="AL38" s="2" t="s">
        <v>124</v>
      </c>
      <c r="AM38" s="2"/>
      <c r="AN38" s="2" t="s">
        <v>125</v>
      </c>
    </row>
    <row r="39" spans="1:40" x14ac:dyDescent="0.25">
      <c r="AB39">
        <v>0.5</v>
      </c>
      <c r="AE39" s="12">
        <f>'Incremental O&amp;M OH 2022'!$J$5</f>
        <v>777994</v>
      </c>
      <c r="AF39" s="2"/>
      <c r="AG39" s="12">
        <f>'Incremental O&amp;M OH 2022'!$J$6</f>
        <v>864078</v>
      </c>
      <c r="AJ39" s="118" t="s">
        <v>126</v>
      </c>
      <c r="AK39" s="118" t="s">
        <v>118</v>
      </c>
      <c r="AL39" s="118">
        <v>7.7</v>
      </c>
      <c r="AM39" s="118"/>
      <c r="AN39" s="118">
        <v>7.7</v>
      </c>
    </row>
    <row r="40" spans="1:40" x14ac:dyDescent="0.25">
      <c r="AB40">
        <v>0.75</v>
      </c>
      <c r="AE40" s="12">
        <f>'Incremental O&amp;M OH 2022'!$J$9</f>
        <v>872861</v>
      </c>
      <c r="AF40" s="2"/>
      <c r="AG40" s="12">
        <f>'Incremental O&amp;M OH 2022'!$J$10</f>
        <v>977121</v>
      </c>
      <c r="AJ40" s="116" t="s">
        <v>127</v>
      </c>
      <c r="AK40" s="116" t="s">
        <v>119</v>
      </c>
      <c r="AL40" s="117">
        <f>$AL$43+($AL$39-$AL$41)*(($AL$44-$AL$43)/($AL$42-$AL$41))</f>
        <v>2706750.36</v>
      </c>
      <c r="AM40" s="116"/>
      <c r="AN40" s="117">
        <f>$AN$43+($AN$39-$AN$41)*(($AN$44-$AN$43)/($AN$42-$AN$41))</f>
        <v>2935848.8</v>
      </c>
    </row>
    <row r="41" spans="1:40" x14ac:dyDescent="0.25">
      <c r="AB41">
        <v>1</v>
      </c>
      <c r="AE41" s="12">
        <f>'Incremental O&amp;M OH 2022'!$J$13</f>
        <v>972687</v>
      </c>
      <c r="AG41" s="12">
        <f>'Incremental O&amp;M OH 2022'!$J$14</f>
        <v>1073354</v>
      </c>
      <c r="AH41" s="12"/>
      <c r="AI41" s="12"/>
      <c r="AK41" t="s">
        <v>120</v>
      </c>
      <c r="AL41">
        <f>VLOOKUP($AL$39,$AB$39:$AE$49,1,TRUE)</f>
        <v>7.5</v>
      </c>
      <c r="AN41">
        <f>VLOOKUP($AN$39,$AB$39:$AG$49,1,TRUE)</f>
        <v>7.5</v>
      </c>
    </row>
    <row r="42" spans="1:40" x14ac:dyDescent="0.25">
      <c r="AB42">
        <v>2.5</v>
      </c>
      <c r="AE42" s="12">
        <f>'Incremental O&amp;M OH 2022'!$J$17</f>
        <v>1439822</v>
      </c>
      <c r="AG42" s="12">
        <f>'Incremental O&amp;M OH 2022'!$J$18</f>
        <v>1534159</v>
      </c>
      <c r="AK42" t="s">
        <v>122</v>
      </c>
      <c r="AL42" cm="1">
        <f t="array" ref="AL42">INDEX($AB$39:$AB$49,MATCH($AL$39,$AB$39:$AB$49)+1)</f>
        <v>10</v>
      </c>
      <c r="AN42" cm="1">
        <f t="array" ref="AN42">INDEX($AB$39:$AB$49,MATCH($AN$39,$AB$39:$AB$49)+1)</f>
        <v>10</v>
      </c>
    </row>
    <row r="43" spans="1:40" x14ac:dyDescent="0.25">
      <c r="AB43">
        <v>5</v>
      </c>
      <c r="AE43" s="12">
        <f>'Incremental O&amp;M OH 2022'!$J$21</f>
        <v>2087784</v>
      </c>
      <c r="AG43" s="12">
        <f>'Incremental O&amp;M OH 2022'!$J$22</f>
        <v>2289877</v>
      </c>
      <c r="AK43" t="s">
        <v>121</v>
      </c>
      <c r="AL43" s="12">
        <f>VLOOKUP($AL$39,$AB$39:$AE$49,4,TRUE)</f>
        <v>2665819</v>
      </c>
      <c r="AN43" s="12">
        <f>VLOOKUP($AN$39,$AB$39:$AG$49,6,TRUE)</f>
        <v>2892140</v>
      </c>
    </row>
    <row r="44" spans="1:40" x14ac:dyDescent="0.25">
      <c r="AB44">
        <v>7.5</v>
      </c>
      <c r="AE44" s="12">
        <f>'Incremental O&amp;M OH 2022'!$J$25</f>
        <v>2665819</v>
      </c>
      <c r="AG44" s="12">
        <f>'Incremental O&amp;M OH 2022'!$J$26</f>
        <v>2892140</v>
      </c>
      <c r="AK44" t="s">
        <v>123</v>
      </c>
      <c r="AL44" s="12" cm="1">
        <f t="array" ref="AL44">INDEX($AE$39:$AE$49,MATCH($AL$43,$AE$39:$AE$49)+1)</f>
        <v>3177461</v>
      </c>
      <c r="AN44" s="12" cm="1">
        <f t="array" ref="AN44">INDEX($AG$39:$AG$49,MATCH($AN$43,$AG$39:$AG$49)+1)</f>
        <v>3438500</v>
      </c>
    </row>
    <row r="45" spans="1:40" x14ac:dyDescent="0.25">
      <c r="AB45">
        <v>10</v>
      </c>
      <c r="AE45" s="12">
        <f>'Incremental O&amp;M OH 2022'!$J$29</f>
        <v>3177461</v>
      </c>
      <c r="AG45" s="12">
        <f>'Incremental O&amp;M OH 2022'!$J$30</f>
        <v>3438500</v>
      </c>
    </row>
    <row r="46" spans="1:40" x14ac:dyDescent="0.25">
      <c r="AB46">
        <v>20</v>
      </c>
      <c r="AE46" s="12">
        <f>'Incremental O&amp;M OH 2022'!$J$33</f>
        <v>5247340</v>
      </c>
      <c r="AG46" s="12">
        <f>'Incremental O&amp;M OH 2022'!$J$34</f>
        <v>5580090</v>
      </c>
    </row>
    <row r="47" spans="1:40" x14ac:dyDescent="0.25">
      <c r="AB47">
        <v>30</v>
      </c>
      <c r="AE47" s="12">
        <f>'Incremental O&amp;M OH 2022'!$J$37</f>
        <v>7256650</v>
      </c>
      <c r="AG47" s="12">
        <f>'Incremental O&amp;M OH 2022'!$J$38</f>
        <v>7674780</v>
      </c>
    </row>
    <row r="48" spans="1:40" x14ac:dyDescent="0.25">
      <c r="AB48">
        <v>40</v>
      </c>
      <c r="AE48" s="12">
        <f>'Incremental O&amp;M OH 2022'!$J$41</f>
        <v>9162220</v>
      </c>
      <c r="AG48" s="12">
        <f>'Incremental O&amp;M OH 2022'!$J$42</f>
        <v>9700420</v>
      </c>
    </row>
    <row r="49" spans="28:33" x14ac:dyDescent="0.25">
      <c r="AB49">
        <v>50</v>
      </c>
      <c r="AE49" s="12">
        <f>'Incremental O&amp;M OH 2022'!$J$45</f>
        <v>10928370</v>
      </c>
      <c r="AG49" s="12">
        <f>'Incremental O&amp;M OH 2022'!$J$46</f>
        <v>11506100</v>
      </c>
    </row>
  </sheetData>
  <autoFilter ref="A1:V49" xr:uid="{CDA5B6BA-D6AD-418D-95F3-F4A28F59A6EB}"/>
  <conditionalFormatting sqref="G2:H33">
    <cfRule type="expression" dxfId="2" priority="4">
      <formula>$F2=""</formula>
    </cfRule>
  </conditionalFormatting>
  <conditionalFormatting sqref="K2:K33 M2:Q33">
    <cfRule type="expression" dxfId="1" priority="2">
      <formula>$J2=""</formula>
    </cfRule>
  </conditionalFormatting>
  <conditionalFormatting sqref="T2:T33">
    <cfRule type="expression" dxfId="0" priority="1">
      <formula>$S2=""</formula>
    </cfRule>
  </conditionalFormatting>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5883CF4D-7FC6-4F7D-8C7F-2DFDEEF9712F}">
          <x14:formula1>
            <xm:f>Adjustment!$B$2:$B$27</xm:f>
          </x14:formula1>
          <xm:sqref>R2:R33 I2:I33 K2:K33 G2:G33 M2:M33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3F675-5C6B-419D-AB91-10BA83EA7926}">
  <dimension ref="A1:G69"/>
  <sheetViews>
    <sheetView topLeftCell="A24" zoomScaleNormal="100" workbookViewId="0">
      <selection activeCell="C43" sqref="C43"/>
    </sheetView>
  </sheetViews>
  <sheetFormatPr defaultRowHeight="15" x14ac:dyDescent="0.25"/>
  <cols>
    <col min="1" max="1" width="32.5703125" customWidth="1"/>
    <col min="2" max="2" width="33.42578125" customWidth="1"/>
    <col min="4" max="4" width="24.5703125" customWidth="1"/>
    <col min="6" max="6" width="24.5703125" customWidth="1"/>
    <col min="7" max="7" width="19.140625" customWidth="1"/>
  </cols>
  <sheetData>
    <row r="1" spans="1:7" ht="15.75" thickBot="1" x14ac:dyDescent="0.3"/>
    <row r="2" spans="1:7" ht="27" thickTop="1" thickBot="1" x14ac:dyDescent="0.3">
      <c r="D2" s="143" t="s">
        <v>156</v>
      </c>
      <c r="F2" s="144" t="s">
        <v>181</v>
      </c>
      <c r="G2" s="129" t="s">
        <v>155</v>
      </c>
    </row>
    <row r="3" spans="1:7" ht="15.75" thickTop="1" x14ac:dyDescent="0.25">
      <c r="A3" s="2" t="s">
        <v>92</v>
      </c>
      <c r="B3" s="13">
        <v>0.5</v>
      </c>
    </row>
    <row r="4" spans="1:7" x14ac:dyDescent="0.25">
      <c r="A4" t="s">
        <v>18</v>
      </c>
      <c r="B4" t="s">
        <v>151</v>
      </c>
      <c r="D4" s="146">
        <v>217720.88633088517</v>
      </c>
      <c r="F4" s="12">
        <v>9430000</v>
      </c>
      <c r="G4" s="20">
        <f>D4/F4</f>
        <v>2.3088110957676052E-2</v>
      </c>
    </row>
    <row r="5" spans="1:7" x14ac:dyDescent="0.25">
      <c r="A5" t="s">
        <v>151</v>
      </c>
      <c r="B5" t="s">
        <v>150</v>
      </c>
      <c r="D5" s="146">
        <v>870883.54532354069</v>
      </c>
      <c r="F5" s="12">
        <v>9430000</v>
      </c>
      <c r="G5" s="20">
        <f t="shared" ref="G5:G19" si="0">D5/F5</f>
        <v>9.2352443830704206E-2</v>
      </c>
    </row>
    <row r="6" spans="1:7" x14ac:dyDescent="0.25">
      <c r="A6" t="s">
        <v>150</v>
      </c>
      <c r="B6" t="s">
        <v>153</v>
      </c>
      <c r="D6" s="146">
        <v>1430332.9330895599</v>
      </c>
      <c r="F6" s="12">
        <v>10200000</v>
      </c>
      <c r="G6" s="20">
        <f t="shared" si="0"/>
        <v>0.14022871893034902</v>
      </c>
    </row>
    <row r="7" spans="1:7" x14ac:dyDescent="0.25">
      <c r="A7" t="s">
        <v>153</v>
      </c>
      <c r="B7" t="s">
        <v>152</v>
      </c>
      <c r="D7" s="146">
        <v>2429081.5134236766</v>
      </c>
      <c r="F7" s="12">
        <v>10200000</v>
      </c>
      <c r="G7" s="20">
        <f t="shared" si="0"/>
        <v>0.23814524641408594</v>
      </c>
    </row>
    <row r="8" spans="1:7" x14ac:dyDescent="0.25">
      <c r="A8" t="s">
        <v>152</v>
      </c>
      <c r="D8" s="146"/>
      <c r="F8" s="12"/>
      <c r="G8" s="20"/>
    </row>
    <row r="9" spans="1:7" x14ac:dyDescent="0.25">
      <c r="A9" s="2"/>
      <c r="B9" s="13">
        <v>0.75</v>
      </c>
      <c r="D9" s="147"/>
      <c r="F9" s="12"/>
      <c r="G9" s="20"/>
    </row>
    <row r="10" spans="1:7" x14ac:dyDescent="0.25">
      <c r="B10" t="s">
        <v>151</v>
      </c>
      <c r="D10" s="146">
        <v>285220.44016152946</v>
      </c>
      <c r="F10" s="12">
        <v>11000000</v>
      </c>
      <c r="G10" s="20">
        <f t="shared" si="0"/>
        <v>2.5929130923775405E-2</v>
      </c>
    </row>
    <row r="11" spans="1:7" x14ac:dyDescent="0.25">
      <c r="B11" t="s">
        <v>150</v>
      </c>
      <c r="D11" s="146">
        <v>1140881.7606461179</v>
      </c>
      <c r="F11" s="12">
        <v>11000000</v>
      </c>
      <c r="G11" s="20">
        <f t="shared" si="0"/>
        <v>0.10371652369510162</v>
      </c>
    </row>
    <row r="12" spans="1:7" x14ac:dyDescent="0.25">
      <c r="B12" t="s">
        <v>153</v>
      </c>
      <c r="D12" s="146">
        <v>1732403.582268148</v>
      </c>
      <c r="F12" s="12">
        <v>12000000</v>
      </c>
      <c r="G12" s="20">
        <f t="shared" si="0"/>
        <v>0.14436696518901232</v>
      </c>
    </row>
    <row r="13" spans="1:7" x14ac:dyDescent="0.25">
      <c r="B13" t="s">
        <v>152</v>
      </c>
      <c r="D13" s="146">
        <v>2946726.0729314061</v>
      </c>
      <c r="F13" s="12">
        <v>12000000</v>
      </c>
      <c r="G13" s="20">
        <f t="shared" si="0"/>
        <v>0.24556050607761717</v>
      </c>
    </row>
    <row r="14" spans="1:7" x14ac:dyDescent="0.25">
      <c r="D14" s="146"/>
      <c r="F14" s="12"/>
      <c r="G14" s="20"/>
    </row>
    <row r="15" spans="1:7" x14ac:dyDescent="0.25">
      <c r="B15" s="13">
        <v>1</v>
      </c>
      <c r="D15" s="146"/>
      <c r="F15" s="12"/>
      <c r="G15" s="20"/>
    </row>
    <row r="16" spans="1:7" x14ac:dyDescent="0.25">
      <c r="B16" t="s">
        <v>151</v>
      </c>
      <c r="D16" s="146">
        <v>358586.45769445703</v>
      </c>
      <c r="F16" s="12">
        <v>13300000</v>
      </c>
      <c r="G16" s="20">
        <f t="shared" si="0"/>
        <v>2.6961387796575715E-2</v>
      </c>
    </row>
    <row r="17" spans="2:7" x14ac:dyDescent="0.25">
      <c r="B17" t="s">
        <v>150</v>
      </c>
      <c r="D17" s="146">
        <v>1434345.8307778281</v>
      </c>
      <c r="F17" s="12">
        <v>13300000</v>
      </c>
      <c r="G17" s="20">
        <f t="shared" si="0"/>
        <v>0.10784555118630286</v>
      </c>
    </row>
    <row r="18" spans="2:7" x14ac:dyDescent="0.25">
      <c r="B18" t="s">
        <v>153</v>
      </c>
      <c r="D18" s="146">
        <v>2049056.482077763</v>
      </c>
      <c r="F18" s="12">
        <v>14300000</v>
      </c>
      <c r="G18" s="20">
        <f t="shared" si="0"/>
        <v>0.14329066308236105</v>
      </c>
    </row>
    <row r="19" spans="2:7" x14ac:dyDescent="0.25">
      <c r="B19" t="s">
        <v>152</v>
      </c>
      <c r="D19" s="146">
        <v>3487924.5033982713</v>
      </c>
      <c r="F19" s="12">
        <v>14300000</v>
      </c>
      <c r="G19" s="20">
        <f t="shared" si="0"/>
        <v>0.24391080443344554</v>
      </c>
    </row>
    <row r="20" spans="2:7" x14ac:dyDescent="0.25">
      <c r="D20" s="147"/>
      <c r="F20" s="12"/>
      <c r="G20" s="20"/>
    </row>
    <row r="21" spans="2:7" x14ac:dyDescent="0.25">
      <c r="B21" s="14">
        <v>2.5</v>
      </c>
      <c r="D21" s="147"/>
      <c r="F21" s="12"/>
      <c r="G21" s="20"/>
    </row>
    <row r="22" spans="2:7" x14ac:dyDescent="0.25">
      <c r="B22" t="s">
        <v>151</v>
      </c>
      <c r="D22" s="146">
        <v>903617</v>
      </c>
      <c r="F22" s="12">
        <v>22500000</v>
      </c>
      <c r="G22" s="20">
        <f>D22/F22</f>
        <v>4.0160755555555552E-2</v>
      </c>
    </row>
    <row r="23" spans="2:7" x14ac:dyDescent="0.25">
      <c r="B23" t="s">
        <v>150</v>
      </c>
      <c r="D23" s="146">
        <v>3614470</v>
      </c>
      <c r="F23" s="12">
        <v>22500000</v>
      </c>
      <c r="G23" s="20">
        <f t="shared" ref="G23:G25" si="1">D23/F23</f>
        <v>0.1606431111111111</v>
      </c>
    </row>
    <row r="24" spans="2:7" x14ac:dyDescent="0.25">
      <c r="B24" t="s">
        <v>153</v>
      </c>
      <c r="D24" s="146">
        <v>4204699</v>
      </c>
      <c r="F24" s="12">
        <v>24100000</v>
      </c>
      <c r="G24" s="20">
        <f t="shared" si="1"/>
        <v>0.17446883817427386</v>
      </c>
    </row>
    <row r="25" spans="2:7" x14ac:dyDescent="0.25">
      <c r="B25" t="s">
        <v>152</v>
      </c>
      <c r="D25" s="146">
        <v>7474667</v>
      </c>
      <c r="F25" s="12">
        <v>24100000</v>
      </c>
      <c r="G25" s="20">
        <f t="shared" si="1"/>
        <v>0.31015215767634857</v>
      </c>
    </row>
    <row r="26" spans="2:7" x14ac:dyDescent="0.25">
      <c r="F26" s="12"/>
      <c r="G26" s="20"/>
    </row>
    <row r="27" spans="2:7" x14ac:dyDescent="0.25">
      <c r="B27" s="13">
        <v>5</v>
      </c>
      <c r="D27" s="147"/>
      <c r="F27" s="12"/>
      <c r="G27" s="20"/>
    </row>
    <row r="28" spans="2:7" x14ac:dyDescent="0.25">
      <c r="B28" t="s">
        <v>151</v>
      </c>
      <c r="D28" s="12">
        <v>1645895</v>
      </c>
      <c r="F28" s="12">
        <v>33700000</v>
      </c>
      <c r="G28" s="20">
        <f>D28/F28</f>
        <v>4.8839614243323441E-2</v>
      </c>
    </row>
    <row r="29" spans="2:7" x14ac:dyDescent="0.25">
      <c r="B29" t="s">
        <v>150</v>
      </c>
      <c r="D29" s="146">
        <v>6583580</v>
      </c>
      <c r="F29" s="12">
        <v>33700000</v>
      </c>
      <c r="G29" s="20">
        <f t="shared" ref="G29:G31" si="2">D29/F29</f>
        <v>0.19535845697329376</v>
      </c>
    </row>
    <row r="30" spans="2:7" x14ac:dyDescent="0.25">
      <c r="B30" t="s">
        <v>153</v>
      </c>
      <c r="D30" s="12">
        <v>7448159</v>
      </c>
      <c r="F30" s="12">
        <v>38200000</v>
      </c>
      <c r="G30" s="20">
        <f t="shared" si="2"/>
        <v>0.19497798429319371</v>
      </c>
    </row>
    <row r="31" spans="2:7" x14ac:dyDescent="0.25">
      <c r="B31" t="s">
        <v>152</v>
      </c>
      <c r="D31" s="146">
        <v>13481444</v>
      </c>
      <c r="F31" s="12">
        <v>38200000</v>
      </c>
      <c r="G31" s="20">
        <f t="shared" si="2"/>
        <v>0.35291738219895286</v>
      </c>
    </row>
    <row r="32" spans="2:7" x14ac:dyDescent="0.25">
      <c r="F32" s="12"/>
      <c r="G32" s="20"/>
    </row>
    <row r="33" spans="2:7" x14ac:dyDescent="0.25">
      <c r="B33" s="13">
        <v>7.5</v>
      </c>
      <c r="F33" s="12"/>
      <c r="G33" s="20"/>
    </row>
    <row r="34" spans="2:7" x14ac:dyDescent="0.25">
      <c r="B34" t="s">
        <v>151</v>
      </c>
      <c r="D34" s="12">
        <v>2239233</v>
      </c>
      <c r="F34" s="12">
        <v>43600000</v>
      </c>
      <c r="G34" s="20">
        <f>D34/F34</f>
        <v>5.1358555045871557E-2</v>
      </c>
    </row>
    <row r="35" spans="2:7" x14ac:dyDescent="0.25">
      <c r="B35" t="s">
        <v>150</v>
      </c>
      <c r="D35" s="12">
        <v>8956930</v>
      </c>
      <c r="F35" s="12">
        <v>43600000</v>
      </c>
      <c r="G35" s="20">
        <f t="shared" ref="G35:G37" si="3">D35/F35</f>
        <v>0.20543417431192659</v>
      </c>
    </row>
    <row r="36" spans="2:7" x14ac:dyDescent="0.25">
      <c r="B36" t="s">
        <v>153</v>
      </c>
      <c r="D36" s="12">
        <v>9685485</v>
      </c>
      <c r="F36" s="12">
        <v>48500000</v>
      </c>
      <c r="G36" s="20">
        <f t="shared" si="3"/>
        <v>0.19970072164948455</v>
      </c>
    </row>
    <row r="37" spans="2:7" x14ac:dyDescent="0.25">
      <c r="B37" t="s">
        <v>152</v>
      </c>
      <c r="D37" s="12">
        <v>17583050</v>
      </c>
      <c r="F37" s="12">
        <v>48500000</v>
      </c>
      <c r="G37" s="20">
        <f t="shared" si="3"/>
        <v>0.36253711340206185</v>
      </c>
    </row>
    <row r="38" spans="2:7" x14ac:dyDescent="0.25">
      <c r="F38" s="12"/>
      <c r="G38" s="20"/>
    </row>
    <row r="39" spans="2:7" x14ac:dyDescent="0.25">
      <c r="B39" s="13">
        <v>10</v>
      </c>
      <c r="F39" s="12"/>
      <c r="G39" s="20"/>
    </row>
    <row r="40" spans="2:7" x14ac:dyDescent="0.25">
      <c r="B40" t="s">
        <v>151</v>
      </c>
      <c r="D40" s="12">
        <v>2794322</v>
      </c>
      <c r="F40" s="12">
        <v>51800000</v>
      </c>
      <c r="G40" s="20">
        <f t="shared" ref="G40:G43" si="4">D40/F40</f>
        <v>5.3944440154440151E-2</v>
      </c>
    </row>
    <row r="41" spans="2:7" x14ac:dyDescent="0.25">
      <c r="B41" t="s">
        <v>150</v>
      </c>
      <c r="D41" s="12">
        <v>11177290</v>
      </c>
      <c r="F41" s="12">
        <v>51800000</v>
      </c>
      <c r="G41" s="20">
        <f t="shared" si="4"/>
        <v>0.21577779922779922</v>
      </c>
    </row>
    <row r="42" spans="2:7" x14ac:dyDescent="0.25">
      <c r="B42" t="s">
        <v>153</v>
      </c>
      <c r="D42" s="12">
        <v>12679013</v>
      </c>
      <c r="F42" s="12">
        <v>59600000</v>
      </c>
      <c r="G42" s="20">
        <f t="shared" si="4"/>
        <v>0.21273511744966442</v>
      </c>
    </row>
    <row r="43" spans="2:7" x14ac:dyDescent="0.25">
      <c r="B43" t="s">
        <v>152</v>
      </c>
      <c r="D43" s="12">
        <v>23316119</v>
      </c>
      <c r="F43" s="12">
        <v>59600000</v>
      </c>
      <c r="G43" s="20">
        <f t="shared" si="4"/>
        <v>0.39121005033557049</v>
      </c>
    </row>
    <row r="44" spans="2:7" x14ac:dyDescent="0.25">
      <c r="F44" s="12"/>
      <c r="G44" s="20"/>
    </row>
    <row r="45" spans="2:7" x14ac:dyDescent="0.25">
      <c r="B45" s="13">
        <v>20</v>
      </c>
      <c r="F45" s="12"/>
      <c r="G45" s="20"/>
    </row>
    <row r="46" spans="2:7" x14ac:dyDescent="0.25">
      <c r="B46" t="s">
        <v>151</v>
      </c>
      <c r="D46" s="12">
        <v>4853226</v>
      </c>
      <c r="F46" s="12">
        <v>87900000</v>
      </c>
      <c r="G46" s="20">
        <f t="shared" ref="G46:G49" si="5">D46/F46</f>
        <v>5.5213037542662116E-2</v>
      </c>
    </row>
    <row r="47" spans="2:7" x14ac:dyDescent="0.25">
      <c r="B47" t="s">
        <v>150</v>
      </c>
      <c r="D47" s="12">
        <v>19412904</v>
      </c>
      <c r="F47" s="12">
        <v>87900000</v>
      </c>
      <c r="G47" s="20">
        <f t="shared" si="5"/>
        <v>0.22085215017064846</v>
      </c>
    </row>
    <row r="48" spans="2:7" x14ac:dyDescent="0.25">
      <c r="B48" t="s">
        <v>153</v>
      </c>
      <c r="D48" s="12">
        <v>21749248</v>
      </c>
      <c r="F48" s="12">
        <v>99200000</v>
      </c>
      <c r="G48" s="20">
        <f t="shared" si="5"/>
        <v>0.21924645161290324</v>
      </c>
    </row>
    <row r="49" spans="2:7" x14ac:dyDescent="0.25">
      <c r="B49" t="s">
        <v>152</v>
      </c>
      <c r="D49" s="12">
        <v>39836576</v>
      </c>
      <c r="F49" s="12">
        <v>99200000</v>
      </c>
      <c r="G49" s="20">
        <f t="shared" si="5"/>
        <v>0.40157838709677418</v>
      </c>
    </row>
    <row r="50" spans="2:7" x14ac:dyDescent="0.25">
      <c r="D50" s="145"/>
      <c r="F50" s="12"/>
      <c r="G50" s="20"/>
    </row>
    <row r="51" spans="2:7" x14ac:dyDescent="0.25">
      <c r="B51" s="13">
        <v>30</v>
      </c>
      <c r="D51" s="145"/>
      <c r="F51" s="12"/>
      <c r="G51" s="20"/>
    </row>
    <row r="52" spans="2:7" x14ac:dyDescent="0.25">
      <c r="B52" t="s">
        <v>151</v>
      </c>
      <c r="D52" s="12">
        <v>6793384</v>
      </c>
      <c r="F52" s="12">
        <v>124000000</v>
      </c>
      <c r="G52" s="20">
        <f t="shared" ref="G52:G55" si="6">D52/F52</f>
        <v>5.4785354838709679E-2</v>
      </c>
    </row>
    <row r="53" spans="2:7" x14ac:dyDescent="0.25">
      <c r="B53" t="s">
        <v>150</v>
      </c>
      <c r="D53" s="12">
        <v>27173537</v>
      </c>
      <c r="F53" s="12">
        <v>124000000</v>
      </c>
      <c r="G53" s="20">
        <f t="shared" si="6"/>
        <v>0.21914142741935483</v>
      </c>
    </row>
    <row r="54" spans="2:7" x14ac:dyDescent="0.25">
      <c r="B54" t="s">
        <v>153</v>
      </c>
      <c r="D54" s="12">
        <v>31141519</v>
      </c>
      <c r="F54" s="12">
        <v>140000000</v>
      </c>
      <c r="G54" s="20">
        <f t="shared" si="6"/>
        <v>0.22243942142857143</v>
      </c>
    </row>
    <row r="55" spans="2:7" x14ac:dyDescent="0.25">
      <c r="B55" t="s">
        <v>152</v>
      </c>
      <c r="D55" s="12">
        <v>56582936</v>
      </c>
      <c r="F55" s="12">
        <v>140000000</v>
      </c>
      <c r="G55" s="20">
        <f t="shared" si="6"/>
        <v>0.40416382857142857</v>
      </c>
    </row>
    <row r="56" spans="2:7" x14ac:dyDescent="0.25">
      <c r="F56" s="12"/>
      <c r="G56" s="20"/>
    </row>
    <row r="57" spans="2:7" x14ac:dyDescent="0.25">
      <c r="B57" s="13">
        <v>40</v>
      </c>
      <c r="D57" s="145"/>
      <c r="F57" s="12"/>
      <c r="G57" s="20"/>
    </row>
    <row r="58" spans="2:7" x14ac:dyDescent="0.25">
      <c r="B58" t="s">
        <v>151</v>
      </c>
      <c r="D58" s="12">
        <v>8634434</v>
      </c>
      <c r="F58" s="12">
        <v>156000000</v>
      </c>
      <c r="G58" s="20">
        <f t="shared" ref="G58:G61" si="7">D58/F58</f>
        <v>5.5348935897435898E-2</v>
      </c>
    </row>
    <row r="59" spans="2:7" x14ac:dyDescent="0.25">
      <c r="B59" t="s">
        <v>150</v>
      </c>
      <c r="D59" s="12">
        <v>34537735</v>
      </c>
      <c r="F59" s="12">
        <v>156000000</v>
      </c>
      <c r="G59" s="20">
        <f t="shared" si="7"/>
        <v>0.22139573717948718</v>
      </c>
    </row>
    <row r="60" spans="2:7" x14ac:dyDescent="0.25">
      <c r="B60" t="s">
        <v>153</v>
      </c>
      <c r="D60" s="12">
        <v>39888668</v>
      </c>
      <c r="F60" s="12">
        <v>181000000</v>
      </c>
      <c r="G60" s="20">
        <f t="shared" si="7"/>
        <v>0.2203793812154696</v>
      </c>
    </row>
    <row r="61" spans="2:7" x14ac:dyDescent="0.25">
      <c r="B61" t="s">
        <v>152</v>
      </c>
      <c r="D61" s="12">
        <v>72705999</v>
      </c>
      <c r="F61" s="12">
        <v>181000000</v>
      </c>
      <c r="G61" s="20">
        <f t="shared" si="7"/>
        <v>0.40169060220994474</v>
      </c>
    </row>
    <row r="62" spans="2:7" x14ac:dyDescent="0.25">
      <c r="F62" s="12"/>
      <c r="G62" s="20"/>
    </row>
    <row r="63" spans="2:7" x14ac:dyDescent="0.25">
      <c r="B63" s="13">
        <v>50</v>
      </c>
      <c r="D63" s="145"/>
      <c r="F63" s="12"/>
      <c r="G63" s="20"/>
    </row>
    <row r="64" spans="2:7" x14ac:dyDescent="0.25">
      <c r="B64" t="s">
        <v>151</v>
      </c>
      <c r="D64" s="12">
        <v>10334334</v>
      </c>
      <c r="F64" s="12">
        <v>181000000</v>
      </c>
      <c r="G64" s="20">
        <f t="shared" ref="G64:G67" si="8">D64/F64</f>
        <v>5.7095767955801104E-2</v>
      </c>
    </row>
    <row r="65" spans="2:7" x14ac:dyDescent="0.25">
      <c r="B65" t="s">
        <v>150</v>
      </c>
      <c r="D65" s="12">
        <v>41337335</v>
      </c>
      <c r="F65" s="12">
        <v>181000000</v>
      </c>
      <c r="G65" s="20">
        <f t="shared" si="8"/>
        <v>0.22838306629834254</v>
      </c>
    </row>
    <row r="66" spans="2:7" x14ac:dyDescent="0.25">
      <c r="B66" t="s">
        <v>153</v>
      </c>
      <c r="D66" s="12">
        <v>47608053</v>
      </c>
      <c r="F66" s="12">
        <v>213000000</v>
      </c>
      <c r="G66" s="20">
        <f t="shared" si="8"/>
        <v>0.22351198591549296</v>
      </c>
    </row>
    <row r="67" spans="2:7" x14ac:dyDescent="0.25">
      <c r="B67" t="s">
        <v>152</v>
      </c>
      <c r="D67" s="12">
        <v>87008214</v>
      </c>
      <c r="F67" s="12">
        <v>213000000</v>
      </c>
      <c r="G67" s="20">
        <f t="shared" si="8"/>
        <v>0.40848926760563381</v>
      </c>
    </row>
    <row r="69" spans="2:7" x14ac:dyDescent="0.25">
      <c r="D69" s="145"/>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278F3-A732-4321-91A4-3676521D1464}">
  <dimension ref="B2:M13"/>
  <sheetViews>
    <sheetView workbookViewId="0">
      <selection activeCell="C43" sqref="C43"/>
    </sheetView>
  </sheetViews>
  <sheetFormatPr defaultRowHeight="15" x14ac:dyDescent="0.25"/>
  <cols>
    <col min="3" max="4" width="23.85546875" bestFit="1" customWidth="1"/>
    <col min="5" max="6" width="28.42578125" bestFit="1" customWidth="1"/>
    <col min="8" max="8" width="20.5703125" bestFit="1" customWidth="1"/>
    <col min="10" max="11" width="24.140625" bestFit="1" customWidth="1"/>
    <col min="12" max="13" width="28.85546875" bestFit="1" customWidth="1"/>
  </cols>
  <sheetData>
    <row r="2" spans="2:13" x14ac:dyDescent="0.25">
      <c r="C2" s="2" t="s">
        <v>151</v>
      </c>
      <c r="D2" s="2" t="s">
        <v>150</v>
      </c>
      <c r="E2" s="2" t="s">
        <v>153</v>
      </c>
      <c r="F2" s="2" t="s">
        <v>152</v>
      </c>
      <c r="H2" s="2" t="s">
        <v>160</v>
      </c>
    </row>
    <row r="3" spans="2:13" x14ac:dyDescent="0.25">
      <c r="B3" s="2">
        <v>0.5</v>
      </c>
      <c r="C3" s="146">
        <v>217720.88633088517</v>
      </c>
      <c r="D3" s="146">
        <v>870883.54532354069</v>
      </c>
      <c r="E3" s="146">
        <v>1430332.9330895599</v>
      </c>
      <c r="F3" s="146">
        <v>2429081.5134236766</v>
      </c>
    </row>
    <row r="4" spans="2:13" x14ac:dyDescent="0.25">
      <c r="B4" s="2">
        <v>0.75</v>
      </c>
      <c r="C4" s="146">
        <v>285220.44016152946</v>
      </c>
      <c r="D4" s="146">
        <v>1140881.7606461179</v>
      </c>
      <c r="E4" s="146">
        <v>1732403.582268148</v>
      </c>
      <c r="F4" s="146">
        <v>2946726.0729314061</v>
      </c>
      <c r="J4" s="2" t="s">
        <v>151</v>
      </c>
      <c r="K4" s="2" t="s">
        <v>150</v>
      </c>
      <c r="L4" s="2" t="s">
        <v>153</v>
      </c>
      <c r="M4" s="2" t="s">
        <v>152</v>
      </c>
    </row>
    <row r="5" spans="2:13" x14ac:dyDescent="0.25">
      <c r="B5" s="2">
        <v>1</v>
      </c>
      <c r="C5" s="146">
        <v>358586.45769445703</v>
      </c>
      <c r="D5" s="146">
        <v>1434345.8307778281</v>
      </c>
      <c r="E5" s="146">
        <v>2049056.482077763</v>
      </c>
      <c r="F5" s="146">
        <v>3487924.5033982713</v>
      </c>
      <c r="H5" s="118" t="s">
        <v>126</v>
      </c>
      <c r="I5" s="118" t="s">
        <v>118</v>
      </c>
      <c r="J5" s="118">
        <v>8.5</v>
      </c>
      <c r="K5" s="118">
        <v>6.5</v>
      </c>
      <c r="L5" s="118">
        <v>6.5</v>
      </c>
      <c r="M5" s="118">
        <v>8.5</v>
      </c>
    </row>
    <row r="6" spans="2:13" x14ac:dyDescent="0.25">
      <c r="B6" s="2">
        <v>2.5</v>
      </c>
      <c r="C6" s="146">
        <v>903617</v>
      </c>
      <c r="D6" s="146">
        <v>3614470</v>
      </c>
      <c r="E6" s="146">
        <v>4204699</v>
      </c>
      <c r="F6" s="146">
        <v>7474667</v>
      </c>
      <c r="H6" s="116" t="s">
        <v>182</v>
      </c>
      <c r="I6" s="116" t="s">
        <v>119</v>
      </c>
      <c r="J6" s="117">
        <f>J9+(J5-J7)*((J10-J9)/(J8-J7))</f>
        <v>2461268.6</v>
      </c>
      <c r="K6" s="117">
        <f>K9+(K5-K7)*((K10-K9)/(K8-K7))</f>
        <v>8007590</v>
      </c>
      <c r="L6" s="117">
        <f t="shared" ref="L6:M6" si="0">L9+(L5-L7)*((L10-L9)/(L8-L7))</f>
        <v>8790554.5999999996</v>
      </c>
      <c r="M6" s="117">
        <f t="shared" si="0"/>
        <v>19876277.600000001</v>
      </c>
    </row>
    <row r="7" spans="2:13" x14ac:dyDescent="0.25">
      <c r="B7" s="2">
        <v>5</v>
      </c>
      <c r="C7" s="12">
        <v>1645895</v>
      </c>
      <c r="D7" s="146">
        <v>6583580</v>
      </c>
      <c r="E7" s="12">
        <v>7448159</v>
      </c>
      <c r="F7" s="146">
        <v>13481444</v>
      </c>
      <c r="I7" t="s">
        <v>120</v>
      </c>
      <c r="J7">
        <f>VLOOKUP(J5,$B$3:$B$13,1,TRUE)</f>
        <v>7.5</v>
      </c>
      <c r="K7">
        <f t="shared" ref="K7:M7" si="1">VLOOKUP(K5,$B$3:$B$13,1,TRUE)</f>
        <v>5</v>
      </c>
      <c r="L7">
        <f t="shared" si="1"/>
        <v>5</v>
      </c>
      <c r="M7">
        <f t="shared" si="1"/>
        <v>7.5</v>
      </c>
    </row>
    <row r="8" spans="2:13" x14ac:dyDescent="0.25">
      <c r="B8" s="2">
        <v>7.5</v>
      </c>
      <c r="C8" s="12">
        <v>2239233</v>
      </c>
      <c r="D8" s="12">
        <v>8956930</v>
      </c>
      <c r="E8" s="12">
        <v>9685485</v>
      </c>
      <c r="F8" s="12">
        <v>17583050</v>
      </c>
      <c r="I8" t="s">
        <v>122</v>
      </c>
      <c r="J8" cm="1">
        <f t="array" ref="J8">INDEX($B$3:$B$13,MATCH(J5,$B$3:$B$13)+1)</f>
        <v>10</v>
      </c>
      <c r="K8" cm="1">
        <f t="array" ref="K8">INDEX($B$3:$B$13,MATCH(K5,$B$3:$B$13)+1)</f>
        <v>7.5</v>
      </c>
      <c r="L8" cm="1">
        <f t="array" ref="L8">INDEX($B$3:$B$13,MATCH(L5,$B$3:$B$13)+1)</f>
        <v>7.5</v>
      </c>
      <c r="M8" cm="1">
        <f t="array" ref="M8">INDEX($B$3:$B$13,MATCH(M5,$B$3:$B$13)+1)</f>
        <v>10</v>
      </c>
    </row>
    <row r="9" spans="2:13" x14ac:dyDescent="0.25">
      <c r="B9" s="2">
        <v>10</v>
      </c>
      <c r="C9" s="12">
        <v>2794322</v>
      </c>
      <c r="D9" s="12">
        <v>11177290</v>
      </c>
      <c r="E9" s="12">
        <v>12679013</v>
      </c>
      <c r="F9" s="12">
        <v>23316119</v>
      </c>
      <c r="I9" t="s">
        <v>121</v>
      </c>
      <c r="J9" s="12">
        <f>VLOOKUP(J5,B3:C13,2,TRUE)</f>
        <v>2239233</v>
      </c>
      <c r="K9" s="12">
        <f>VLOOKUP(K5,B3:D13,3,TRUE)</f>
        <v>6583580</v>
      </c>
      <c r="L9" s="12">
        <f>VLOOKUP(L5,B3:E13,4,TRUE)</f>
        <v>7448159</v>
      </c>
      <c r="M9" s="12">
        <f>VLOOKUP(M5,B3:F13,5,TRUE)</f>
        <v>17583050</v>
      </c>
    </row>
    <row r="10" spans="2:13" x14ac:dyDescent="0.25">
      <c r="B10" s="2">
        <v>20</v>
      </c>
      <c r="C10" s="12">
        <v>4853226</v>
      </c>
      <c r="D10" s="12">
        <v>19412904</v>
      </c>
      <c r="E10" s="12">
        <v>21749248</v>
      </c>
      <c r="F10" s="12">
        <v>39836576</v>
      </c>
      <c r="I10" t="s">
        <v>123</v>
      </c>
      <c r="J10" s="12" cm="1">
        <f t="array" ref="J10">INDEX(C3:C13,MATCH(J9,C3:C13)+1)</f>
        <v>2794322</v>
      </c>
      <c r="K10" s="12" cm="1">
        <f t="array" ref="K10">INDEX(D3:D13,MATCH(K9,D3:D13)+1)</f>
        <v>8956930</v>
      </c>
      <c r="L10" s="12" cm="1">
        <f t="array" ref="L10">INDEX(E3:E13,MATCH(L9,E3:E13)+1)</f>
        <v>9685485</v>
      </c>
      <c r="M10" s="12" cm="1">
        <f t="array" ref="M10">INDEX(F3:F13,MATCH(M9,F3:F13)+1)</f>
        <v>23316119</v>
      </c>
    </row>
    <row r="11" spans="2:13" x14ac:dyDescent="0.25">
      <c r="B11" s="2">
        <v>30</v>
      </c>
      <c r="C11" s="12">
        <v>6793384</v>
      </c>
      <c r="D11" s="12">
        <v>27173537</v>
      </c>
      <c r="E11" s="12">
        <v>31141519</v>
      </c>
      <c r="F11" s="12">
        <v>56582936</v>
      </c>
    </row>
    <row r="12" spans="2:13" x14ac:dyDescent="0.25">
      <c r="B12" s="2">
        <v>40</v>
      </c>
      <c r="C12" s="12">
        <v>8634434</v>
      </c>
      <c r="D12" s="12">
        <v>34537735</v>
      </c>
      <c r="E12" s="12">
        <v>39888668</v>
      </c>
      <c r="F12" s="12">
        <v>72705999</v>
      </c>
    </row>
    <row r="13" spans="2:13" x14ac:dyDescent="0.25">
      <c r="B13" s="2">
        <v>50</v>
      </c>
      <c r="C13" s="12">
        <v>10334334</v>
      </c>
      <c r="D13" s="12">
        <v>41337335</v>
      </c>
      <c r="E13" s="12">
        <v>47608053</v>
      </c>
      <c r="F13" s="12">
        <v>87008214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6394CC-B22A-4BDA-B725-8B5FD0CF1133}">
  <dimension ref="A1:Q56"/>
  <sheetViews>
    <sheetView topLeftCell="E38" workbookViewId="0">
      <selection activeCell="A6" sqref="A6"/>
    </sheetView>
  </sheetViews>
  <sheetFormatPr defaultRowHeight="15" x14ac:dyDescent="0.25"/>
  <cols>
    <col min="1" max="1" width="29.140625" customWidth="1"/>
    <col min="2" max="2" width="21.5703125" customWidth="1"/>
    <col min="3" max="8" width="17.5703125" customWidth="1"/>
    <col min="9" max="9" width="4.140625" customWidth="1"/>
    <col min="10" max="10" width="13.140625" customWidth="1"/>
    <col min="11" max="11" width="15.85546875" customWidth="1"/>
    <col min="12" max="12" width="12.85546875" customWidth="1"/>
    <col min="13" max="13" width="12" style="1" customWidth="1"/>
    <col min="14" max="14" width="11.5703125" customWidth="1"/>
    <col min="15" max="15" width="11" customWidth="1"/>
    <col min="16" max="16" width="10.140625" customWidth="1"/>
  </cols>
  <sheetData>
    <row r="1" spans="1:17" ht="16.5" thickTop="1" x14ac:dyDescent="0.25">
      <c r="C1" s="218" t="s">
        <v>158</v>
      </c>
      <c r="D1" s="219"/>
      <c r="E1" s="219"/>
      <c r="F1" s="219"/>
      <c r="G1" s="219"/>
      <c r="H1" s="220"/>
    </row>
    <row r="2" spans="1:17" ht="75.75" thickBot="1" x14ac:dyDescent="0.3">
      <c r="C2" s="22" t="s">
        <v>86</v>
      </c>
      <c r="D2" s="23" t="s">
        <v>85</v>
      </c>
      <c r="E2" s="23" t="s">
        <v>84</v>
      </c>
      <c r="F2" s="23" t="s">
        <v>83</v>
      </c>
      <c r="G2" s="23" t="s">
        <v>82</v>
      </c>
      <c r="H2" s="24" t="s">
        <v>81</v>
      </c>
      <c r="J2" s="19" t="s">
        <v>88</v>
      </c>
      <c r="K2" s="19" t="s">
        <v>80</v>
      </c>
      <c r="L2" s="18" t="s">
        <v>79</v>
      </c>
      <c r="M2" s="17" t="s">
        <v>78</v>
      </c>
      <c r="N2" s="21" t="s">
        <v>87</v>
      </c>
    </row>
    <row r="3" spans="1:17" ht="15.75" thickTop="1" x14ac:dyDescent="0.25">
      <c r="C3" s="132"/>
      <c r="D3" s="132"/>
      <c r="E3" s="132"/>
      <c r="F3" s="132"/>
      <c r="G3" s="132"/>
      <c r="H3" s="132"/>
      <c r="J3" s="19"/>
      <c r="K3" s="19"/>
      <c r="L3" s="18"/>
      <c r="M3" s="17"/>
      <c r="N3" s="21"/>
      <c r="P3" s="30" t="s">
        <v>98</v>
      </c>
      <c r="Q3" s="30" t="s">
        <v>98</v>
      </c>
    </row>
    <row r="4" spans="1:17" x14ac:dyDescent="0.25">
      <c r="A4" s="2" t="s">
        <v>92</v>
      </c>
      <c r="B4" s="14">
        <v>0.5</v>
      </c>
      <c r="C4" s="132"/>
      <c r="D4" s="132"/>
      <c r="E4" s="132"/>
      <c r="F4" s="132"/>
      <c r="G4" s="132"/>
      <c r="H4" s="132"/>
      <c r="J4" s="19"/>
      <c r="K4" s="19"/>
      <c r="L4" s="18"/>
      <c r="M4" s="17"/>
      <c r="N4" s="21"/>
      <c r="P4" s="10">
        <f>AVERAGE(L5,L9,L13,L17,L21,L25,L29,L33,L37,L41,L45)</f>
        <v>0.67066129822643183</v>
      </c>
      <c r="Q4" s="10">
        <f>AVERAGE(M5,M9,M13,M17,M21,M25,M29,M33,M37,M41,M45)</f>
        <v>0.32933870177356811</v>
      </c>
    </row>
    <row r="5" spans="1:17" x14ac:dyDescent="0.25">
      <c r="A5" t="s">
        <v>18</v>
      </c>
      <c r="B5" t="s">
        <v>99</v>
      </c>
      <c r="C5" s="133">
        <v>18500</v>
      </c>
      <c r="D5" s="133">
        <v>6600</v>
      </c>
      <c r="E5" s="133">
        <v>0</v>
      </c>
      <c r="F5" s="133">
        <v>0</v>
      </c>
      <c r="G5" s="133">
        <v>5200</v>
      </c>
      <c r="H5" s="12">
        <f>SUM(C5:G5)</f>
        <v>30300</v>
      </c>
      <c r="J5" s="135">
        <v>777994</v>
      </c>
      <c r="K5" s="11">
        <f t="shared" ref="K5" si="0">H5/(B4*1000)</f>
        <v>60.6</v>
      </c>
      <c r="L5" s="10">
        <f>(C5+D5)/(C5+D5+G5)</f>
        <v>0.82838283828382842</v>
      </c>
      <c r="M5" s="9">
        <f>G5/(C5+D5+G5)</f>
        <v>0.17161716171617161</v>
      </c>
      <c r="N5" s="20">
        <f>H5/J5</f>
        <v>3.8946315781355642E-2</v>
      </c>
      <c r="P5" s="10">
        <f>AVERAGE(L6,L10,L14,L18,L22,L26,L30,L34,L38,L42,L46)</f>
        <v>0.52080927795023979</v>
      </c>
      <c r="Q5" s="10">
        <f>AVERAGE(M6,M10,M14,M18,M22,M26,M30,M34,M38,M42,M46)</f>
        <v>0.47919072204976004</v>
      </c>
    </row>
    <row r="6" spans="1:17" x14ac:dyDescent="0.25">
      <c r="A6" t="s">
        <v>151</v>
      </c>
      <c r="B6" t="s">
        <v>100</v>
      </c>
      <c r="C6" s="133">
        <v>63800</v>
      </c>
      <c r="D6" s="133">
        <v>35500</v>
      </c>
      <c r="E6" s="133">
        <v>13250</v>
      </c>
      <c r="F6" s="133">
        <v>0</v>
      </c>
      <c r="G6" s="133">
        <v>12100</v>
      </c>
      <c r="H6" s="12">
        <f>SUM(C6:G6)</f>
        <v>124650</v>
      </c>
      <c r="J6" s="135">
        <v>864078</v>
      </c>
      <c r="K6" s="11">
        <f>H6/(B4*1000)</f>
        <v>249.3</v>
      </c>
      <c r="L6" s="10">
        <f>(C6+D6)/(C6+D6+G6)</f>
        <v>0.89138240574506289</v>
      </c>
      <c r="M6" s="9">
        <f>G6/(C6+D6+G6)</f>
        <v>0.10861759425493717</v>
      </c>
      <c r="N6" s="20">
        <f t="shared" ref="N6" si="1">H6/J6</f>
        <v>0.14425781005881413</v>
      </c>
      <c r="P6" s="29">
        <f>AVERAGE(P4:P5)</f>
        <v>0.59573528808833576</v>
      </c>
      <c r="Q6" s="29">
        <f>AVERAGE(Q4:Q5)</f>
        <v>0.40426471191166408</v>
      </c>
    </row>
    <row r="7" spans="1:17" x14ac:dyDescent="0.25">
      <c r="A7" t="s">
        <v>150</v>
      </c>
      <c r="C7" s="134"/>
      <c r="D7" s="134"/>
      <c r="E7" s="134"/>
      <c r="F7" s="134"/>
      <c r="G7" s="134"/>
      <c r="H7" s="134"/>
      <c r="J7" s="19"/>
      <c r="K7" s="19"/>
      <c r="L7" s="18"/>
      <c r="M7" s="17"/>
      <c r="N7" s="21"/>
    </row>
    <row r="8" spans="1:17" x14ac:dyDescent="0.25">
      <c r="A8" t="s">
        <v>153</v>
      </c>
      <c r="B8" s="14">
        <v>0.75</v>
      </c>
      <c r="C8" s="134"/>
      <c r="D8" s="134"/>
      <c r="E8" s="134"/>
      <c r="F8" s="134"/>
      <c r="G8" s="134"/>
      <c r="H8" s="134"/>
      <c r="J8" s="19"/>
      <c r="K8" s="19"/>
      <c r="L8" s="18"/>
      <c r="M8" s="17"/>
      <c r="N8" s="21"/>
    </row>
    <row r="9" spans="1:17" x14ac:dyDescent="0.25">
      <c r="A9" t="s">
        <v>152</v>
      </c>
      <c r="B9" t="s">
        <v>99</v>
      </c>
      <c r="C9" s="133">
        <v>20600</v>
      </c>
      <c r="D9" s="133">
        <v>7400</v>
      </c>
      <c r="E9" s="133">
        <v>0</v>
      </c>
      <c r="F9" s="133">
        <v>0</v>
      </c>
      <c r="G9" s="133">
        <v>4000</v>
      </c>
      <c r="H9" s="12">
        <f t="shared" ref="H9:H10" si="2">SUM(C9:G9)</f>
        <v>32000</v>
      </c>
      <c r="J9" s="135">
        <v>872861</v>
      </c>
      <c r="K9" s="11">
        <f t="shared" ref="K9" si="3">H9/(B8*1000)</f>
        <v>42.666666666666664</v>
      </c>
      <c r="L9" s="10">
        <f>(C9+D9)/(C9+D9+G9)</f>
        <v>0.875</v>
      </c>
      <c r="M9" s="9">
        <f>G9/(C9+D9+G9)</f>
        <v>0.125</v>
      </c>
      <c r="N9" s="20">
        <f>H9/J9</f>
        <v>3.6661049124660172E-2</v>
      </c>
    </row>
    <row r="10" spans="1:17" x14ac:dyDescent="0.25">
      <c r="B10" t="s">
        <v>100</v>
      </c>
      <c r="C10" s="133">
        <v>71500</v>
      </c>
      <c r="D10" s="133">
        <v>39600</v>
      </c>
      <c r="E10" s="133">
        <v>15700</v>
      </c>
      <c r="F10" s="133">
        <v>0</v>
      </c>
      <c r="G10" s="133">
        <v>15700</v>
      </c>
      <c r="H10" s="12">
        <f t="shared" si="2"/>
        <v>142500</v>
      </c>
      <c r="J10" s="135">
        <v>977121</v>
      </c>
      <c r="K10" s="11">
        <f>H10/(B8*1000)</f>
        <v>190</v>
      </c>
      <c r="L10" s="10">
        <f>(C10+D10)/(C10+D10+G10)</f>
        <v>0.87618296529968454</v>
      </c>
      <c r="M10" s="9">
        <f>G10/(C10+D10+G10)</f>
        <v>0.12381703470031545</v>
      </c>
      <c r="N10" s="20">
        <f t="shared" ref="N10" si="4">H10/J10</f>
        <v>0.14583659546770564</v>
      </c>
    </row>
    <row r="11" spans="1:17" x14ac:dyDescent="0.25">
      <c r="C11" s="134"/>
      <c r="D11" s="134"/>
      <c r="E11" s="134"/>
      <c r="F11" s="134"/>
      <c r="G11" s="134"/>
      <c r="H11" s="134"/>
      <c r="J11" s="19"/>
      <c r="K11" s="19"/>
      <c r="L11" s="18"/>
      <c r="M11" s="17"/>
      <c r="N11" s="21"/>
    </row>
    <row r="12" spans="1:17" x14ac:dyDescent="0.25">
      <c r="B12" s="13">
        <v>1</v>
      </c>
      <c r="L12" s="16"/>
      <c r="M12" s="15"/>
      <c r="Q12" s="30"/>
    </row>
    <row r="13" spans="1:17" x14ac:dyDescent="0.25">
      <c r="B13" t="s">
        <v>99</v>
      </c>
      <c r="C13" s="12">
        <v>22200</v>
      </c>
      <c r="D13" s="12">
        <v>8200</v>
      </c>
      <c r="E13" s="12">
        <v>0</v>
      </c>
      <c r="F13" s="12">
        <v>0</v>
      </c>
      <c r="G13" s="12">
        <v>6900</v>
      </c>
      <c r="H13" s="12">
        <f>SUM(C13:G13)</f>
        <v>37300</v>
      </c>
      <c r="J13" s="12">
        <v>972687</v>
      </c>
      <c r="K13" s="11">
        <f>H13/(B12*1000)</f>
        <v>37.299999999999997</v>
      </c>
      <c r="L13" s="10">
        <f>(C13+D13)/(C13+D13+G13)</f>
        <v>0.81501340482573725</v>
      </c>
      <c r="M13" s="9">
        <f>G13/(C13+D13+G13)</f>
        <v>0.18498659517426275</v>
      </c>
      <c r="N13" s="20">
        <f>H13/J13</f>
        <v>3.8347382045817412E-2</v>
      </c>
    </row>
    <row r="14" spans="1:17" x14ac:dyDescent="0.25">
      <c r="B14" t="s">
        <v>100</v>
      </c>
      <c r="C14" s="12">
        <v>72600</v>
      </c>
      <c r="D14" s="12">
        <v>40800</v>
      </c>
      <c r="E14" s="12">
        <v>17900</v>
      </c>
      <c r="F14" s="12">
        <v>0</v>
      </c>
      <c r="G14" s="12">
        <v>21400</v>
      </c>
      <c r="H14" s="12">
        <f>SUM(C14:G14)</f>
        <v>152700</v>
      </c>
      <c r="J14" s="12">
        <v>1073354</v>
      </c>
      <c r="K14" s="11">
        <f>H14/(B12*1000)</f>
        <v>152.69999999999999</v>
      </c>
      <c r="L14" s="10">
        <f>(C14+D14)/(C14+D14+G14)</f>
        <v>0.84124629080118696</v>
      </c>
      <c r="M14" s="9">
        <f>G14/(C14+D14+G14)</f>
        <v>0.15875370919881307</v>
      </c>
      <c r="N14" s="20">
        <f t="shared" ref="N14:N46" si="5">H14/J14</f>
        <v>0.14226434149404577</v>
      </c>
    </row>
    <row r="15" spans="1:17" x14ac:dyDescent="0.25">
      <c r="J15" s="12"/>
      <c r="L15" s="10"/>
      <c r="M15" s="9"/>
      <c r="N15" s="20"/>
    </row>
    <row r="16" spans="1:17" x14ac:dyDescent="0.25">
      <c r="B16" s="14">
        <v>2.5</v>
      </c>
      <c r="J16" s="12"/>
      <c r="L16" s="10"/>
      <c r="M16" s="9"/>
      <c r="N16" s="20"/>
    </row>
    <row r="17" spans="2:14" x14ac:dyDescent="0.25">
      <c r="B17" t="s">
        <v>77</v>
      </c>
      <c r="C17" s="12">
        <v>33900</v>
      </c>
      <c r="D17" s="12">
        <v>13000</v>
      </c>
      <c r="E17" s="12">
        <v>0</v>
      </c>
      <c r="F17" s="12">
        <v>0</v>
      </c>
      <c r="G17" s="12">
        <v>13300</v>
      </c>
      <c r="H17" s="12">
        <f>SUM(C17:G17)</f>
        <v>60200</v>
      </c>
      <c r="J17" s="12">
        <v>1439822</v>
      </c>
      <c r="K17" s="11">
        <f>H17/(B16*1000)</f>
        <v>24.08</v>
      </c>
      <c r="L17" s="10">
        <f>(C17+D17)/(C17+D17+G17)</f>
        <v>0.77906976744186052</v>
      </c>
      <c r="M17" s="9">
        <f>G17/(C17+D17+G17)</f>
        <v>0.22093023255813954</v>
      </c>
      <c r="N17" s="20">
        <f t="shared" si="5"/>
        <v>4.1810723825583998E-2</v>
      </c>
    </row>
    <row r="18" spans="2:14" x14ac:dyDescent="0.25">
      <c r="B18" t="s">
        <v>76</v>
      </c>
      <c r="C18" s="12">
        <v>74900</v>
      </c>
      <c r="D18" s="12">
        <v>43200</v>
      </c>
      <c r="E18" s="12">
        <v>30450</v>
      </c>
      <c r="F18" s="12">
        <v>0</v>
      </c>
      <c r="G18" s="12">
        <v>52500</v>
      </c>
      <c r="H18" s="12">
        <f>SUM(C18:G18)</f>
        <v>201050</v>
      </c>
      <c r="J18" s="12">
        <v>1534159</v>
      </c>
      <c r="K18" s="11">
        <f>H18/(B16*1000)</f>
        <v>80.42</v>
      </c>
      <c r="L18" s="10">
        <f>(C18+D18)/(C18+D18+G18)</f>
        <v>0.69226260257913252</v>
      </c>
      <c r="M18" s="9">
        <f>G18/(C18+D18+G18)</f>
        <v>0.30773739742086753</v>
      </c>
      <c r="N18" s="20">
        <f t="shared" si="5"/>
        <v>0.13104899818076224</v>
      </c>
    </row>
    <row r="19" spans="2:14" x14ac:dyDescent="0.25">
      <c r="J19" s="12"/>
      <c r="L19" s="10"/>
      <c r="M19" s="9"/>
      <c r="N19" s="20"/>
    </row>
    <row r="20" spans="2:14" x14ac:dyDescent="0.25">
      <c r="B20" s="13">
        <v>5</v>
      </c>
      <c r="J20" s="12"/>
      <c r="L20" s="10"/>
      <c r="M20" s="9"/>
      <c r="N20" s="20"/>
    </row>
    <row r="21" spans="2:14" x14ac:dyDescent="0.25">
      <c r="B21" t="s">
        <v>77</v>
      </c>
      <c r="C21" s="12">
        <v>40000</v>
      </c>
      <c r="D21" s="12">
        <v>15800</v>
      </c>
      <c r="E21" s="12">
        <v>0</v>
      </c>
      <c r="F21" s="12">
        <v>0</v>
      </c>
      <c r="G21" s="12">
        <v>19000</v>
      </c>
      <c r="H21" s="12">
        <f>SUM(C21:G21)</f>
        <v>74800</v>
      </c>
      <c r="J21" s="12">
        <v>2087784</v>
      </c>
      <c r="K21" s="11">
        <f>H21/(B20*1000)</f>
        <v>14.96</v>
      </c>
      <c r="L21" s="10">
        <f>(C21+D21)/(C21+D21+G21)</f>
        <v>0.74598930481283421</v>
      </c>
      <c r="M21" s="9">
        <f>G21/(C21+D21+G21)</f>
        <v>0.25401069518716579</v>
      </c>
      <c r="N21" s="20">
        <f t="shared" si="5"/>
        <v>3.5827461078349103E-2</v>
      </c>
    </row>
    <row r="22" spans="2:14" x14ac:dyDescent="0.25">
      <c r="B22" t="s">
        <v>76</v>
      </c>
      <c r="C22" s="12">
        <v>94000</v>
      </c>
      <c r="D22" s="12">
        <v>51500</v>
      </c>
      <c r="E22" s="12">
        <v>61500</v>
      </c>
      <c r="F22" s="12">
        <v>0</v>
      </c>
      <c r="G22" s="12">
        <v>100000</v>
      </c>
      <c r="H22" s="12">
        <f>SUM(C22:G22)</f>
        <v>307000</v>
      </c>
      <c r="J22" s="12">
        <v>2289877</v>
      </c>
      <c r="K22" s="11">
        <f>H22/(B20*1000)</f>
        <v>61.4</v>
      </c>
      <c r="L22" s="10">
        <f>(C22+D22)/(C22+D22+G22)</f>
        <v>0.59266802443991851</v>
      </c>
      <c r="M22" s="9">
        <f>G22/(C22+D22+G22)</f>
        <v>0.40733197556008149</v>
      </c>
      <c r="N22" s="20">
        <f t="shared" si="5"/>
        <v>0.13406833642156327</v>
      </c>
    </row>
    <row r="23" spans="2:14" x14ac:dyDescent="0.25">
      <c r="J23" s="12"/>
      <c r="L23" s="10"/>
      <c r="M23" s="9"/>
      <c r="N23" s="20"/>
    </row>
    <row r="24" spans="2:14" x14ac:dyDescent="0.25">
      <c r="B24" s="13">
        <v>7.5</v>
      </c>
      <c r="J24" s="12"/>
      <c r="L24" s="10"/>
      <c r="M24" s="9"/>
      <c r="N24" s="20"/>
    </row>
    <row r="25" spans="2:14" x14ac:dyDescent="0.25">
      <c r="B25" t="s">
        <v>99</v>
      </c>
      <c r="C25" s="12">
        <v>48000</v>
      </c>
      <c r="D25" s="12">
        <v>20100</v>
      </c>
      <c r="E25" s="12">
        <v>0</v>
      </c>
      <c r="F25" s="12">
        <v>0</v>
      </c>
      <c r="G25" s="12">
        <v>33000</v>
      </c>
      <c r="H25" s="12">
        <f>SUM(C25:G25)</f>
        <v>101100</v>
      </c>
      <c r="J25" s="12">
        <v>2665819</v>
      </c>
      <c r="K25" s="11">
        <f>H25/(B24*1000)</f>
        <v>13.48</v>
      </c>
      <c r="L25" s="10">
        <f>(C25+D25)/(C25+D25+G25)</f>
        <v>0.67359050445103863</v>
      </c>
      <c r="M25" s="9">
        <f>G25/(C25+D25+G25)</f>
        <v>0.32640949554896143</v>
      </c>
      <c r="N25" s="20">
        <f t="shared" si="5"/>
        <v>3.7924555268005818E-2</v>
      </c>
    </row>
    <row r="26" spans="2:14" x14ac:dyDescent="0.25">
      <c r="B26" t="s">
        <v>100</v>
      </c>
      <c r="C26" s="12">
        <v>98000</v>
      </c>
      <c r="D26" s="12">
        <v>56300</v>
      </c>
      <c r="E26" s="12">
        <v>77000</v>
      </c>
      <c r="F26" s="12">
        <v>0</v>
      </c>
      <c r="G26" s="12">
        <v>151500</v>
      </c>
      <c r="H26" s="12">
        <f>SUM(C26:G26)</f>
        <v>382800</v>
      </c>
      <c r="J26" s="12">
        <v>2892140</v>
      </c>
      <c r="K26" s="11">
        <f>H26/(B24*1000)</f>
        <v>51.04</v>
      </c>
      <c r="L26" s="10">
        <f>(C26+D26)/(C26+D26+G26)</f>
        <v>0.50457815565729236</v>
      </c>
      <c r="M26" s="9">
        <f>G26/(C26+D26+G26)</f>
        <v>0.49542184434270764</v>
      </c>
      <c r="N26" s="20">
        <f t="shared" si="5"/>
        <v>0.13235873782043747</v>
      </c>
    </row>
    <row r="27" spans="2:14" x14ac:dyDescent="0.25">
      <c r="J27" s="12"/>
      <c r="L27" s="10"/>
      <c r="M27" s="9"/>
      <c r="N27" s="20"/>
    </row>
    <row r="28" spans="2:14" x14ac:dyDescent="0.25">
      <c r="B28" s="13">
        <v>10</v>
      </c>
      <c r="J28" s="12"/>
      <c r="L28" s="10"/>
      <c r="M28" s="9"/>
      <c r="N28" s="20"/>
    </row>
    <row r="29" spans="2:14" x14ac:dyDescent="0.25">
      <c r="B29" t="s">
        <v>99</v>
      </c>
      <c r="C29" s="12">
        <v>48000</v>
      </c>
      <c r="D29" s="12">
        <v>20900</v>
      </c>
      <c r="E29" s="12">
        <v>0</v>
      </c>
      <c r="F29" s="12">
        <v>0</v>
      </c>
      <c r="G29" s="12">
        <v>35000</v>
      </c>
      <c r="H29" s="12">
        <f>SUM(C29:G29)</f>
        <v>103900</v>
      </c>
      <c r="J29" s="12">
        <v>3177461</v>
      </c>
      <c r="K29" s="11">
        <f>H29/(B28*1000)</f>
        <v>10.39</v>
      </c>
      <c r="L29" s="10">
        <f>(C29+D29)/(C29+D29+G29)</f>
        <v>0.66313763233878731</v>
      </c>
      <c r="M29" s="9">
        <f>G29/(C29+D29+G29)</f>
        <v>0.33686236766121269</v>
      </c>
      <c r="N29" s="20">
        <f t="shared" si="5"/>
        <v>3.2699063812270238E-2</v>
      </c>
    </row>
    <row r="30" spans="2:14" x14ac:dyDescent="0.25">
      <c r="B30" t="s">
        <v>100</v>
      </c>
      <c r="C30" s="12">
        <v>96000</v>
      </c>
      <c r="D30" s="12">
        <v>55900</v>
      </c>
      <c r="E30" s="12">
        <v>91000</v>
      </c>
      <c r="F30" s="12">
        <v>0</v>
      </c>
      <c r="G30" s="12">
        <v>197000</v>
      </c>
      <c r="H30" s="12">
        <f>SUM(C30:G30)</f>
        <v>439900</v>
      </c>
      <c r="J30" s="12">
        <v>3438500</v>
      </c>
      <c r="K30" s="11">
        <f>H30/(B28*1000)</f>
        <v>43.99</v>
      </c>
      <c r="L30" s="10">
        <f>(C30+D30)/(C30+D30+G30)</f>
        <v>0.4353683003725996</v>
      </c>
      <c r="M30" s="9">
        <f>G30/(C30+D30+G30)</f>
        <v>0.56463169962740045</v>
      </c>
      <c r="N30" s="20">
        <f t="shared" si="5"/>
        <v>0.12793369201686783</v>
      </c>
    </row>
    <row r="31" spans="2:14" x14ac:dyDescent="0.25">
      <c r="J31" s="12"/>
      <c r="L31" s="10"/>
      <c r="M31" s="9"/>
      <c r="N31" s="20"/>
    </row>
    <row r="32" spans="2:14" x14ac:dyDescent="0.25">
      <c r="B32" s="13">
        <v>20</v>
      </c>
      <c r="J32" s="12"/>
      <c r="L32" s="10"/>
      <c r="M32" s="9"/>
      <c r="N32" s="20"/>
    </row>
    <row r="33" spans="2:14" x14ac:dyDescent="0.25">
      <c r="B33" t="s">
        <v>99</v>
      </c>
      <c r="C33" s="12">
        <v>58000</v>
      </c>
      <c r="D33" s="12">
        <v>27000</v>
      </c>
      <c r="E33" s="12">
        <v>0</v>
      </c>
      <c r="F33" s="12">
        <v>0</v>
      </c>
      <c r="G33" s="12">
        <v>65000</v>
      </c>
      <c r="H33" s="12">
        <f>SUM(C33:G33)</f>
        <v>150000</v>
      </c>
      <c r="J33" s="12">
        <v>5247340</v>
      </c>
      <c r="K33" s="11">
        <f>H33/(B32*1000)</f>
        <v>7.5</v>
      </c>
      <c r="L33" s="10">
        <f>(C33+D33)/(C33+D33+G33)</f>
        <v>0.56666666666666665</v>
      </c>
      <c r="M33" s="9">
        <f>G33/(C33+D33+G33)</f>
        <v>0.43333333333333335</v>
      </c>
      <c r="N33" s="20">
        <f t="shared" si="5"/>
        <v>2.858591210022602E-2</v>
      </c>
    </row>
    <row r="34" spans="2:14" x14ac:dyDescent="0.25">
      <c r="B34" t="s">
        <v>100</v>
      </c>
      <c r="C34" s="12">
        <v>106000</v>
      </c>
      <c r="D34" s="12">
        <v>62000</v>
      </c>
      <c r="E34" s="12">
        <v>136000</v>
      </c>
      <c r="F34" s="12">
        <v>0</v>
      </c>
      <c r="G34" s="12">
        <v>390000</v>
      </c>
      <c r="H34" s="12">
        <f>SUM(C34:G34)</f>
        <v>694000</v>
      </c>
      <c r="J34" s="12">
        <v>5580090</v>
      </c>
      <c r="K34" s="11">
        <f>H34/(B32*1000)</f>
        <v>34.700000000000003</v>
      </c>
      <c r="L34" s="10">
        <f>(C34+D34)/(C34+D34+G34)</f>
        <v>0.30107526881720431</v>
      </c>
      <c r="M34" s="9">
        <f>G34/(C34+D34+G34)</f>
        <v>0.69892473118279574</v>
      </c>
      <c r="N34" s="20">
        <f t="shared" si="5"/>
        <v>0.12437075387672959</v>
      </c>
    </row>
    <row r="35" spans="2:14" x14ac:dyDescent="0.25">
      <c r="J35" s="12"/>
      <c r="L35" s="10"/>
      <c r="M35" s="9"/>
      <c r="N35" s="20"/>
    </row>
    <row r="36" spans="2:14" x14ac:dyDescent="0.25">
      <c r="B36" s="13">
        <v>30</v>
      </c>
      <c r="J36" s="12"/>
      <c r="L36" s="10"/>
      <c r="M36" s="9"/>
      <c r="N36" s="20"/>
    </row>
    <row r="37" spans="2:14" x14ac:dyDescent="0.25">
      <c r="B37" t="s">
        <v>99</v>
      </c>
      <c r="C37" s="12">
        <v>65000</v>
      </c>
      <c r="D37" s="12">
        <v>30000</v>
      </c>
      <c r="E37" s="12">
        <v>0</v>
      </c>
      <c r="F37" s="12">
        <v>0</v>
      </c>
      <c r="G37" s="12">
        <v>80000</v>
      </c>
      <c r="H37" s="12">
        <f>SUM(C37:G37)</f>
        <v>175000</v>
      </c>
      <c r="J37" s="12">
        <v>7256650</v>
      </c>
      <c r="K37" s="11">
        <f>H37/(B36*1000)</f>
        <v>5.833333333333333</v>
      </c>
      <c r="L37" s="10">
        <f>(C37+D37)/(C37+D37+G37)</f>
        <v>0.54285714285714282</v>
      </c>
      <c r="M37" s="9">
        <f>G37/(C37+D37+G37)</f>
        <v>0.45714285714285713</v>
      </c>
      <c r="N37" s="20">
        <f t="shared" si="5"/>
        <v>2.4115811014724424E-2</v>
      </c>
    </row>
    <row r="38" spans="2:14" x14ac:dyDescent="0.25">
      <c r="B38" t="s">
        <v>100</v>
      </c>
      <c r="C38" s="12">
        <v>114000</v>
      </c>
      <c r="D38" s="12">
        <v>66000</v>
      </c>
      <c r="E38" s="12">
        <v>175000</v>
      </c>
      <c r="F38" s="12">
        <v>0</v>
      </c>
      <c r="G38" s="12">
        <v>575000</v>
      </c>
      <c r="H38" s="12">
        <f>SUM(C38:G38)</f>
        <v>930000</v>
      </c>
      <c r="J38" s="12">
        <v>7674780</v>
      </c>
      <c r="K38" s="12">
        <f>H38/(B36*1000)</f>
        <v>31</v>
      </c>
      <c r="L38" s="10">
        <f>(C38+D38)/(C38+D38+G38)</f>
        <v>0.23841059602649006</v>
      </c>
      <c r="M38" s="9">
        <f>G38/(C38+D38+G38)</f>
        <v>0.76158940397350994</v>
      </c>
      <c r="N38" s="20">
        <f t="shared" si="5"/>
        <v>0.12117611188854925</v>
      </c>
    </row>
    <row r="39" spans="2:14" x14ac:dyDescent="0.25">
      <c r="J39" s="12"/>
      <c r="L39" s="10"/>
      <c r="M39" s="9"/>
      <c r="N39" s="20"/>
    </row>
    <row r="40" spans="2:14" x14ac:dyDescent="0.25">
      <c r="B40" s="13">
        <v>40</v>
      </c>
      <c r="J40" s="12"/>
      <c r="L40" s="10"/>
      <c r="M40" s="9"/>
      <c r="N40" s="20"/>
    </row>
    <row r="41" spans="2:14" x14ac:dyDescent="0.25">
      <c r="B41" t="s">
        <v>99</v>
      </c>
      <c r="C41" s="12">
        <v>72000</v>
      </c>
      <c r="D41" s="12">
        <v>35000</v>
      </c>
      <c r="E41" s="12">
        <v>0</v>
      </c>
      <c r="F41" s="12">
        <v>0</v>
      </c>
      <c r="G41" s="12">
        <v>130000</v>
      </c>
      <c r="H41" s="12">
        <f>SUM(C41:G41)</f>
        <v>237000</v>
      </c>
      <c r="J41" s="12">
        <v>9162220</v>
      </c>
      <c r="K41" s="11">
        <f>H41/(B40*1000)</f>
        <v>5.9249999999999998</v>
      </c>
      <c r="L41" s="10">
        <f>(C41+D41)/(C41+D41+G41)</f>
        <v>0.45147679324894513</v>
      </c>
      <c r="M41" s="9">
        <f>G41/(C41+D41+G41)</f>
        <v>0.54852320675105481</v>
      </c>
      <c r="N41" s="20">
        <f t="shared" si="5"/>
        <v>2.5867093346372386E-2</v>
      </c>
    </row>
    <row r="42" spans="2:14" x14ac:dyDescent="0.25">
      <c r="B42" t="s">
        <v>100</v>
      </c>
      <c r="C42" s="12">
        <v>113000</v>
      </c>
      <c r="D42" s="12">
        <v>68000</v>
      </c>
      <c r="E42" s="12">
        <v>214500</v>
      </c>
      <c r="F42" s="12">
        <v>0</v>
      </c>
      <c r="G42" s="12">
        <v>780000</v>
      </c>
      <c r="H42" s="12">
        <f>SUM(C42:G42)</f>
        <v>1175500</v>
      </c>
      <c r="J42" s="12">
        <v>9700420</v>
      </c>
      <c r="K42" s="11">
        <f>H42/(B40*1000)</f>
        <v>29.387499999999999</v>
      </c>
      <c r="L42" s="10">
        <f>(C42+D42)/(C42+D42+G42)</f>
        <v>0.18834547346514047</v>
      </c>
      <c r="M42" s="9">
        <f>G42/(C42+D42+G42)</f>
        <v>0.81165452653485948</v>
      </c>
      <c r="N42" s="20">
        <f t="shared" si="5"/>
        <v>0.12118032002738026</v>
      </c>
    </row>
    <row r="43" spans="2:14" x14ac:dyDescent="0.25">
      <c r="J43" s="12"/>
      <c r="L43" s="10"/>
      <c r="M43" s="9"/>
      <c r="N43" s="20"/>
    </row>
    <row r="44" spans="2:14" x14ac:dyDescent="0.25">
      <c r="B44" s="13">
        <v>50</v>
      </c>
      <c r="J44" s="12"/>
      <c r="L44" s="10"/>
      <c r="M44" s="9"/>
      <c r="N44" s="20"/>
    </row>
    <row r="45" spans="2:14" x14ac:dyDescent="0.25">
      <c r="B45" t="s">
        <v>99</v>
      </c>
      <c r="C45" s="12">
        <v>77000</v>
      </c>
      <c r="D45" s="12">
        <v>39000</v>
      </c>
      <c r="E45" s="12">
        <v>0</v>
      </c>
      <c r="F45" s="12">
        <v>0</v>
      </c>
      <c r="G45" s="12">
        <v>150000</v>
      </c>
      <c r="H45" s="12">
        <f>SUM(C45:G45)</f>
        <v>266000</v>
      </c>
      <c r="J45" s="12">
        <v>10928370</v>
      </c>
      <c r="K45" s="11">
        <f>H45/(B44*1000)</f>
        <v>5.32</v>
      </c>
      <c r="L45" s="10">
        <f>(C45+D45)/(C45+D45+G45)</f>
        <v>0.43609022556390975</v>
      </c>
      <c r="M45" s="9">
        <f>G45/(C45+D45+G45)</f>
        <v>0.56390977443609025</v>
      </c>
      <c r="N45" s="20">
        <f t="shared" si="5"/>
        <v>2.4340317906513049E-2</v>
      </c>
    </row>
    <row r="46" spans="2:14" x14ac:dyDescent="0.25">
      <c r="B46" t="s">
        <v>100</v>
      </c>
      <c r="C46" s="12">
        <v>123000</v>
      </c>
      <c r="D46" s="12">
        <v>72000</v>
      </c>
      <c r="E46" s="12">
        <v>249500</v>
      </c>
      <c r="F46" s="12">
        <v>0</v>
      </c>
      <c r="G46" s="12">
        <v>970000</v>
      </c>
      <c r="H46" s="12">
        <f>SUM(C46:G46)</f>
        <v>1414500</v>
      </c>
      <c r="J46" s="12">
        <v>11506100</v>
      </c>
      <c r="K46" s="11">
        <f>H46/(B44*1000)</f>
        <v>28.29</v>
      </c>
      <c r="L46" s="10">
        <f>(C46+D46)/(C46+D46+G46)</f>
        <v>0.16738197424892703</v>
      </c>
      <c r="M46" s="9">
        <f>G46/(C46+D46+G46)</f>
        <v>0.83261802575107291</v>
      </c>
      <c r="N46" s="20">
        <f t="shared" si="5"/>
        <v>0.12293479111080209</v>
      </c>
    </row>
    <row r="49" spans="13:15" ht="14.45" customHeight="1" x14ac:dyDescent="0.25">
      <c r="M49" s="26"/>
      <c r="N49" s="25">
        <f>AVERAGE(N5,N9,N13,N17,N21,N25,N29,N33,N37,N41,N45)</f>
        <v>3.3193244118534387E-2</v>
      </c>
      <c r="O49" s="221" t="s">
        <v>89</v>
      </c>
    </row>
    <row r="50" spans="13:15" x14ac:dyDescent="0.25">
      <c r="M50" s="27"/>
      <c r="N50" s="25">
        <f>AVERAGE(N6,N10,N14,N18,N22,N26,N30,N34,N38,N42,N46)</f>
        <v>0.13158458985124158</v>
      </c>
      <c r="O50" s="222"/>
    </row>
    <row r="51" spans="13:15" x14ac:dyDescent="0.25">
      <c r="M51" s="27"/>
      <c r="O51" s="27"/>
    </row>
    <row r="52" spans="13:15" ht="14.45" customHeight="1" x14ac:dyDescent="0.25">
      <c r="M52" s="26"/>
      <c r="N52" s="25">
        <f>AVERAGE(N5,N9,N13,N17,N21,N25,N29)</f>
        <v>3.7459507276577479E-2</v>
      </c>
      <c r="O52" s="221" t="s">
        <v>91</v>
      </c>
    </row>
    <row r="53" spans="13:15" x14ac:dyDescent="0.25">
      <c r="M53" s="27"/>
      <c r="N53" s="25">
        <f>AVERAGE(N6,N10,N14,N18,N22,N26,N30)</f>
        <v>0.13682407306574235</v>
      </c>
      <c r="O53" s="222"/>
    </row>
    <row r="54" spans="13:15" x14ac:dyDescent="0.25">
      <c r="M54" s="27"/>
      <c r="O54" s="27"/>
    </row>
    <row r="55" spans="13:15" ht="14.45" customHeight="1" x14ac:dyDescent="0.25">
      <c r="M55" s="26"/>
      <c r="N55" s="25">
        <f>AVERAGE(N33,N37,N41,N45)</f>
        <v>2.5727283591958968E-2</v>
      </c>
      <c r="O55" s="221" t="s">
        <v>90</v>
      </c>
    </row>
    <row r="56" spans="13:15" x14ac:dyDescent="0.25">
      <c r="M56" s="27"/>
      <c r="N56" s="25">
        <f>AVERAGE(N34,N38,N42,N46)</f>
        <v>0.1224154942258653</v>
      </c>
      <c r="O56" s="222"/>
    </row>
  </sheetData>
  <mergeCells count="4">
    <mergeCell ref="C1:H1"/>
    <mergeCell ref="O49:O50"/>
    <mergeCell ref="O52:O53"/>
    <mergeCell ref="O55:O56"/>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5a91bacc-39eb-4e58-a265-0178c3e7f151" xsi:nil="true"/>
    <lcf76f155ced4ddcb4097134ff3c332f xmlns="98fd6406-5bea-42ba-b375-702012f7fb0e">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0E97D931D010F45B4AA2AC7CAD11197" ma:contentTypeVersion="13" ma:contentTypeDescription="Create a new document." ma:contentTypeScope="" ma:versionID="528fee35d4c7d3d4bcadf052bd152b43">
  <xsd:schema xmlns:xsd="http://www.w3.org/2001/XMLSchema" xmlns:xs="http://www.w3.org/2001/XMLSchema" xmlns:p="http://schemas.microsoft.com/office/2006/metadata/properties" xmlns:ns2="98fd6406-5bea-42ba-b375-702012f7fb0e" xmlns:ns3="5a91bacc-39eb-4e58-a265-0178c3e7f151" targetNamespace="http://schemas.microsoft.com/office/2006/metadata/properties" ma:root="true" ma:fieldsID="e98e80954c615c554bb4ce6da7be86a2" ns2:_="" ns3:_="">
    <xsd:import namespace="98fd6406-5bea-42ba-b375-702012f7fb0e"/>
    <xsd:import namespace="5a91bacc-39eb-4e58-a265-0178c3e7f15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8fd6406-5bea-42ba-b375-702012f7fb0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0ffb2afa-0461-4a25-b7e7-e28982f86d9a"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a91bacc-39eb-4e58-a265-0178c3e7f15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1e4f31f3-cd4d-460a-939a-6645219cfb61}" ma:internalName="TaxCatchAll" ma:showField="CatchAllData" ma:web="5a91bacc-39eb-4e58-a265-0178c3e7f15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D404C41-0D27-403E-A3DE-29A3BDEDEDC2}">
  <ds:schemaRefs>
    <ds:schemaRef ds:uri="http://schemas.microsoft.com/sharepoint/v3/contenttype/forms"/>
  </ds:schemaRefs>
</ds:datastoreItem>
</file>

<file path=customXml/itemProps2.xml><?xml version="1.0" encoding="utf-8"?>
<ds:datastoreItem xmlns:ds="http://schemas.openxmlformats.org/officeDocument/2006/customXml" ds:itemID="{C18AE3FB-DC0B-4D90-AC5C-B0926EE75BB4}">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5a91bacc-39eb-4e58-a265-0178c3e7f151"/>
    <ds:schemaRef ds:uri="98fd6406-5bea-42ba-b375-702012f7fb0e"/>
    <ds:schemaRef ds:uri="http://www.w3.org/XML/1998/namespace"/>
    <ds:schemaRef ds:uri="http://purl.org/dc/dcmitype/"/>
  </ds:schemaRefs>
</ds:datastoreItem>
</file>

<file path=customXml/itemProps3.xml><?xml version="1.0" encoding="utf-8"?>
<ds:datastoreItem xmlns:ds="http://schemas.openxmlformats.org/officeDocument/2006/customXml" ds:itemID="{B84CFB6A-83C0-49FB-B4D3-970716A383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8fd6406-5bea-42ba-b375-702012f7fb0e"/>
    <ds:schemaRef ds:uri="5a91bacc-39eb-4e58-a265-0178c3e7f1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README</vt:lpstr>
      <vt:lpstr>Performance</vt:lpstr>
      <vt:lpstr>Loading Actual Flow</vt:lpstr>
      <vt:lpstr>Loading Design Flow</vt:lpstr>
      <vt:lpstr>Estimated Capital Cost</vt:lpstr>
      <vt:lpstr>Estimated O&amp;M Cost</vt:lpstr>
      <vt:lpstr>Incremental Capital OH 2022</vt:lpstr>
      <vt:lpstr>Interpolation of Capital Costs</vt:lpstr>
      <vt:lpstr>Incremental O&amp;M OH 2022</vt:lpstr>
      <vt:lpstr>Interpolation of O&amp;M Costs</vt:lpstr>
      <vt:lpstr>Adjustment</vt:lpstr>
      <vt:lpstr>Unit Cost Actual Flow</vt:lpstr>
      <vt:lpstr>Unit Cost Design Flow</vt:lpstr>
    </vt:vector>
  </TitlesOfParts>
  <Manager/>
  <Company>Tetra Tech Inc.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Currey, Gregory</dc:creator>
  <cp:keywords/>
  <dc:description/>
  <cp:lastModifiedBy>Fricke, Jinny (MPCA)</cp:lastModifiedBy>
  <cp:revision/>
  <dcterms:created xsi:type="dcterms:W3CDTF">2024-09-11T20:21:16Z</dcterms:created>
  <dcterms:modified xsi:type="dcterms:W3CDTF">2025-07-08T19:13:23Z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0x01010080E97D931D010F45B4AA2AC7CAD11197</vt:lpwstr>
  </property>
  <property fmtid="{D5CDD505-2E9C-101B-9397-08002B2CF9AE}" pid="3" name="MediaServiceImageTags">
    <vt:lpwstr/>
  </property>
</Properties>
</file>