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Agency_Files\Prevention_and_Assistance\Environmental Business Assistance Section\Business Assistance First Link Unit\SBEAP\Calculators_SBEAP\Calculators - final as posted\"/>
    </mc:Choice>
  </mc:AlternateContent>
  <bookViews>
    <workbookView xWindow="-6280" yWindow="20" windowWidth="23260" windowHeight="12580" tabRatio="860"/>
  </bookViews>
  <sheets>
    <sheet name="Instructions" sheetId="13" r:id="rId1"/>
    <sheet name="Insignificant activities" sheetId="23" r:id="rId2"/>
    <sheet name="Vertical tank 1" sheetId="19" r:id="rId3"/>
    <sheet name="Vertical tank 2" sheetId="21" r:id="rId4"/>
    <sheet name="Vertical tank 3" sheetId="22" r:id="rId5"/>
    <sheet name="VOC emission total" sheetId="17" r:id="rId6"/>
    <sheet name="Tables" sheetId="16" r:id="rId7"/>
  </sheets>
  <definedNames>
    <definedName name="_xlnm.Print_Area" localSheetId="1">'Insignificant activities'!$B$1:$J$35</definedName>
    <definedName name="_xlnm.Print_Area" localSheetId="0">Instructions!$B$1:$O$28</definedName>
    <definedName name="_xlnm.Print_Area" localSheetId="6">Tables!$B$1:$G$51</definedName>
    <definedName name="_xlnm.Print_Area" localSheetId="2">'Vertical tank 1'!$B$1:$L$79</definedName>
    <definedName name="_xlnm.Print_Area" localSheetId="3">'Vertical tank 2'!$B$1:$L$79</definedName>
    <definedName name="_xlnm.Print_Area" localSheetId="4">'Vertical tank 3'!$B$1:$L$79</definedName>
    <definedName name="_xlnm.Print_Area" localSheetId="5">'VOC emission total'!$B$1:$E$17</definedName>
    <definedName name="_xlnm.Print_Titles" localSheetId="2">'Vertical tank 1'!$2:$2</definedName>
    <definedName name="_xlnm.Print_Titles" localSheetId="3">'Vertical tank 2'!$2:$2</definedName>
    <definedName name="_xlnm.Print_Titles" localSheetId="4">'Vertical tank 3'!$2:$2</definedName>
    <definedName name="Title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6" i="22" l="1"/>
  <c r="D56" i="21"/>
  <c r="D56" i="19"/>
  <c r="D69" i="22" l="1"/>
  <c r="D69" i="21"/>
  <c r="D61" i="22" l="1"/>
  <c r="D61" i="21"/>
  <c r="D61" i="19"/>
  <c r="D55" i="22"/>
  <c r="D55" i="21"/>
  <c r="D69" i="19" l="1"/>
  <c r="D55" i="19"/>
  <c r="J1" i="23" l="1"/>
  <c r="D80" i="22" l="1"/>
  <c r="D79" i="22"/>
  <c r="D78" i="22"/>
  <c r="D63" i="22"/>
  <c r="D64" i="22" s="1"/>
  <c r="D60" i="22"/>
  <c r="D46" i="22"/>
  <c r="D45" i="22"/>
  <c r="D44" i="22"/>
  <c r="D74" i="22" s="1"/>
  <c r="D43" i="22"/>
  <c r="D73" i="22" s="1"/>
  <c r="D36" i="22"/>
  <c r="D35" i="22"/>
  <c r="D34" i="22"/>
  <c r="D25" i="22"/>
  <c r="D28" i="22" s="1"/>
  <c r="D17" i="22"/>
  <c r="C9" i="17" s="1"/>
  <c r="D15" i="22"/>
  <c r="D18" i="22" s="1"/>
  <c r="D9" i="17" s="1"/>
  <c r="E1" i="22"/>
  <c r="D80" i="21"/>
  <c r="D79" i="21"/>
  <c r="D78" i="21"/>
  <c r="D63" i="21"/>
  <c r="D64" i="21" s="1"/>
  <c r="D60" i="21"/>
  <c r="D46" i="21"/>
  <c r="D45" i="21"/>
  <c r="D44" i="21"/>
  <c r="D74" i="21" s="1"/>
  <c r="D43" i="21"/>
  <c r="D73" i="21" s="1"/>
  <c r="D36" i="21"/>
  <c r="D35" i="21"/>
  <c r="D34" i="21"/>
  <c r="D25" i="21"/>
  <c r="D28" i="21" s="1"/>
  <c r="D17" i="21"/>
  <c r="C8" i="17" s="1"/>
  <c r="D15" i="21"/>
  <c r="D18" i="21" s="1"/>
  <c r="D8" i="17" s="1"/>
  <c r="E1" i="21"/>
  <c r="D36" i="19"/>
  <c r="D29" i="22" l="1"/>
  <c r="D30" i="22"/>
  <c r="D72" i="22"/>
  <c r="D71" i="22" s="1"/>
  <c r="D75" i="22"/>
  <c r="D62" i="22"/>
  <c r="D66" i="22"/>
  <c r="D29" i="21"/>
  <c r="D30" i="21"/>
  <c r="D62" i="21"/>
  <c r="D66" i="21"/>
  <c r="D75" i="21"/>
  <c r="D72" i="21"/>
  <c r="D71" i="21" s="1"/>
  <c r="D80" i="19"/>
  <c r="D79" i="19"/>
  <c r="D60" i="19"/>
  <c r="D78" i="19"/>
  <c r="D57" i="22" l="1"/>
  <c r="D76" i="22"/>
  <c r="D59" i="22" s="1"/>
  <c r="D70" i="22"/>
  <c r="D58" i="22"/>
  <c r="D58" i="21"/>
  <c r="D57" i="21"/>
  <c r="D76" i="21"/>
  <c r="D70" i="21" s="1"/>
  <c r="D46" i="19"/>
  <c r="D45" i="19"/>
  <c r="D44" i="19"/>
  <c r="D74" i="19" s="1"/>
  <c r="D43" i="19"/>
  <c r="D73" i="19" s="1"/>
  <c r="D59" i="21" l="1"/>
  <c r="D54" i="22"/>
  <c r="D83" i="22"/>
  <c r="D81" i="22" s="1"/>
  <c r="D84" i="22"/>
  <c r="D82" i="22" s="1"/>
  <c r="D53" i="22"/>
  <c r="D83" i="21"/>
  <c r="D81" i="21" s="1"/>
  <c r="D77" i="21" s="1"/>
  <c r="D65" i="21" s="1"/>
  <c r="D52" i="21" s="1"/>
  <c r="D84" i="21"/>
  <c r="D82" i="21" s="1"/>
  <c r="D54" i="21"/>
  <c r="D53" i="21"/>
  <c r="D75" i="19"/>
  <c r="D76" i="19" s="1"/>
  <c r="E1" i="17"/>
  <c r="G1" i="16"/>
  <c r="D35" i="19"/>
  <c r="D34" i="19" s="1"/>
  <c r="D25" i="19"/>
  <c r="D28" i="19" s="1"/>
  <c r="D29" i="19" s="1"/>
  <c r="D15" i="19"/>
  <c r="E1" i="19"/>
  <c r="D77" i="22" l="1"/>
  <c r="D65" i="22" s="1"/>
  <c r="D52" i="22" s="1"/>
  <c r="D50" i="21"/>
  <c r="D51" i="21"/>
  <c r="D57" i="19"/>
  <c r="D30" i="19"/>
  <c r="D72" i="19"/>
  <c r="D71" i="19" s="1"/>
  <c r="D50" i="22" l="1"/>
  <c r="D51" i="22"/>
  <c r="D58" i="19"/>
  <c r="D70" i="19"/>
  <c r="D84" i="19" l="1"/>
  <c r="D82" i="19" s="1"/>
  <c r="D83" i="19"/>
  <c r="D81" i="19" s="1"/>
  <c r="D59" i="19"/>
  <c r="D53" i="19" s="1"/>
  <c r="D77" i="19" l="1"/>
  <c r="D65" i="19" s="1"/>
  <c r="D54" i="19"/>
  <c r="D63" i="19"/>
  <c r="D64" i="19" s="1"/>
  <c r="D66" i="19" l="1"/>
  <c r="D62" i="19"/>
  <c r="D52" i="19" l="1"/>
  <c r="D51" i="19" s="1"/>
  <c r="D18" i="19" s="1"/>
  <c r="D7" i="17" s="1"/>
  <c r="D10" i="17" s="1"/>
  <c r="D50" i="19"/>
  <c r="D17" i="19" s="1"/>
  <c r="C7" i="17" s="1"/>
  <c r="C10" i="17" s="1"/>
</calcChain>
</file>

<file path=xl/sharedStrings.xml><?xml version="1.0" encoding="utf-8"?>
<sst xmlns="http://schemas.openxmlformats.org/spreadsheetml/2006/main" count="1072" uniqueCount="373">
  <si>
    <t>Blue</t>
  </si>
  <si>
    <t>Enter information for your facility in the blue boxes.</t>
  </si>
  <si>
    <t>Orange</t>
  </si>
  <si>
    <t>White</t>
  </si>
  <si>
    <t>Green</t>
  </si>
  <si>
    <t>Your emission totals are in green boxes. These are automatically calculated based on information entered in blue boxes.</t>
  </si>
  <si>
    <t>Yellow</t>
  </si>
  <si>
    <t>Blue Text</t>
  </si>
  <si>
    <t>Key information</t>
  </si>
  <si>
    <t>Assistance</t>
  </si>
  <si>
    <t>We provide free, confidential, environmental assistance to small businesses. For more information:</t>
  </si>
  <si>
    <t>Call:</t>
  </si>
  <si>
    <t>Email:</t>
  </si>
  <si>
    <t>smallbizhelp.pca@state.mn.us</t>
  </si>
  <si>
    <t xml:space="preserve">Online at the MPCA website at: </t>
  </si>
  <si>
    <t>https://www.pca.state.mn.us/smallbizhelp</t>
  </si>
  <si>
    <t>Tank ID</t>
  </si>
  <si>
    <t>Description</t>
  </si>
  <si>
    <t>Value</t>
  </si>
  <si>
    <t>Calculated value</t>
  </si>
  <si>
    <t>Capacity</t>
  </si>
  <si>
    <t xml:space="preserve">Notes </t>
  </si>
  <si>
    <t>White/NA</t>
  </si>
  <si>
    <t>Color</t>
  </si>
  <si>
    <t>Location</t>
  </si>
  <si>
    <t>Tank contents</t>
  </si>
  <si>
    <t>Equation 1-2</t>
  </si>
  <si>
    <t>Equation 1-21</t>
  </si>
  <si>
    <t>Equation 1-3</t>
  </si>
  <si>
    <t>Equation 1-33</t>
  </si>
  <si>
    <t>Equation 1-28</t>
  </si>
  <si>
    <t>Equation 1-7</t>
  </si>
  <si>
    <t>Equation 1-10</t>
  </si>
  <si>
    <t>Equation 1-5</t>
  </si>
  <si>
    <t>Equation 1-1</t>
  </si>
  <si>
    <t>Instructions</t>
  </si>
  <si>
    <t>2) Review the 'Insignificant activities' tab for Minnesota Rules that may apply to the tanks at your facility.</t>
  </si>
  <si>
    <t xml:space="preserve">4) Continue to 'Vertical tank 2' and 'Vertical tank 3' tabs for additional tanks and enter applicable data into the blue boxes. </t>
  </si>
  <si>
    <t>5) Go to 'VOC emission total' tab for a summary of all the tanks entered into this calculator.</t>
  </si>
  <si>
    <t>Color key</t>
  </si>
  <si>
    <t xml:space="preserve">Do not change the values/formulas in white boxes. White boxes contain intermediate calculations for determining emissions.  </t>
  </si>
  <si>
    <t>Permit and insignificant activity thresholds.</t>
  </si>
  <si>
    <t>Orange boxes are filled with standard values. You may change them if you have test results that provide data specific to your site.</t>
  </si>
  <si>
    <t>This calculator was created by the Minnesota Pollution Control Agency's (MPCA) Small Business Environmental Assistance Program (SBEAP).</t>
  </si>
  <si>
    <t>651/282-6143</t>
  </si>
  <si>
    <t>800/657-3938</t>
  </si>
  <si>
    <t>Tank information</t>
  </si>
  <si>
    <t>Tank identification</t>
  </si>
  <si>
    <t>Location (city)</t>
  </si>
  <si>
    <t>Fuel type</t>
  </si>
  <si>
    <t>Potential throughput</t>
  </si>
  <si>
    <t>Actual throughput</t>
  </si>
  <si>
    <t>gal/yr</t>
  </si>
  <si>
    <t>Actual hours operated</t>
  </si>
  <si>
    <t>hours/year</t>
  </si>
  <si>
    <t>Physical properties of the tank</t>
  </si>
  <si>
    <t>Property</t>
  </si>
  <si>
    <t>Units</t>
  </si>
  <si>
    <t>feet</t>
  </si>
  <si>
    <t>gallons</t>
  </si>
  <si>
    <t>Maximum liquid height</t>
  </si>
  <si>
    <t>D</t>
  </si>
  <si>
    <t>α</t>
  </si>
  <si>
    <t>psia</t>
  </si>
  <si>
    <t>Paint solar absorptance</t>
  </si>
  <si>
    <t>Type of roof</t>
  </si>
  <si>
    <t>R</t>
  </si>
  <si>
    <t>I</t>
  </si>
  <si>
    <t>Roof height</t>
  </si>
  <si>
    <t>Shell height</t>
  </si>
  <si>
    <t>Shell diameter</t>
  </si>
  <si>
    <t>Shell radius</t>
  </si>
  <si>
    <t>Average liquid height</t>
  </si>
  <si>
    <t>Working volume</t>
  </si>
  <si>
    <t>Shell color/shade</t>
  </si>
  <si>
    <t xml:space="preserve">select one </t>
  </si>
  <si>
    <t>Shell condition</t>
  </si>
  <si>
    <r>
      <t>H</t>
    </r>
    <r>
      <rPr>
        <vertAlign val="subscript"/>
        <sz val="10"/>
        <rFont val="Arial"/>
        <family val="2"/>
      </rPr>
      <t>S</t>
    </r>
  </si>
  <si>
    <r>
      <t>R</t>
    </r>
    <r>
      <rPr>
        <vertAlign val="subscript"/>
        <sz val="10"/>
        <rFont val="Arial"/>
        <family val="2"/>
      </rPr>
      <t>S</t>
    </r>
  </si>
  <si>
    <r>
      <t>H</t>
    </r>
    <r>
      <rPr>
        <vertAlign val="subscript"/>
        <sz val="10"/>
        <rFont val="Arial"/>
        <family val="2"/>
      </rPr>
      <t>L</t>
    </r>
  </si>
  <si>
    <r>
      <t>P</t>
    </r>
    <r>
      <rPr>
        <vertAlign val="subscript"/>
        <sz val="10"/>
        <rFont val="Arial"/>
        <family val="2"/>
      </rPr>
      <t>VA</t>
    </r>
  </si>
  <si>
    <r>
      <t>H</t>
    </r>
    <r>
      <rPr>
        <vertAlign val="subscript"/>
        <sz val="10"/>
        <rFont val="Arial"/>
        <family val="2"/>
      </rPr>
      <t>R</t>
    </r>
  </si>
  <si>
    <t>psig</t>
  </si>
  <si>
    <t>Vacuum setting</t>
  </si>
  <si>
    <t>Pressure setting</t>
  </si>
  <si>
    <t>Atmospheric pressure</t>
  </si>
  <si>
    <t>Variable</t>
  </si>
  <si>
    <t>VOC emissions from vertical, fixed roof tank #1</t>
  </si>
  <si>
    <t>lb/yr</t>
  </si>
  <si>
    <t>dimensionless</t>
  </si>
  <si>
    <t>bbl/yr</t>
  </si>
  <si>
    <t>lb/lb-mole</t>
  </si>
  <si>
    <t>Q</t>
  </si>
  <si>
    <t xml:space="preserve"> °R</t>
  </si>
  <si>
    <t>B</t>
  </si>
  <si>
    <t>psi</t>
  </si>
  <si>
    <r>
      <t xml:space="preserve"> L</t>
    </r>
    <r>
      <rPr>
        <vertAlign val="subscript"/>
        <sz val="10"/>
        <rFont val="Arial"/>
        <family val="2"/>
        <charset val="1"/>
      </rPr>
      <t>T</t>
    </r>
  </si>
  <si>
    <r>
      <t>L</t>
    </r>
    <r>
      <rPr>
        <vertAlign val="subscript"/>
        <sz val="10"/>
        <rFont val="Arial"/>
        <family val="2"/>
        <charset val="1"/>
      </rPr>
      <t>S</t>
    </r>
  </si>
  <si>
    <r>
      <t>L</t>
    </r>
    <r>
      <rPr>
        <vertAlign val="subscript"/>
        <sz val="10"/>
        <rFont val="Arial"/>
        <family val="2"/>
        <charset val="1"/>
      </rPr>
      <t>W</t>
    </r>
  </si>
  <si>
    <r>
      <t>W</t>
    </r>
    <r>
      <rPr>
        <vertAlign val="subscript"/>
        <sz val="10"/>
        <rFont val="Arial"/>
        <family val="2"/>
        <charset val="1"/>
      </rPr>
      <t>V</t>
    </r>
    <r>
      <rPr>
        <sz val="10"/>
        <rFont val="Arial"/>
        <family val="2"/>
        <charset val="1"/>
      </rPr>
      <t/>
    </r>
  </si>
  <si>
    <r>
      <t>lb/ft</t>
    </r>
    <r>
      <rPr>
        <vertAlign val="superscript"/>
        <sz val="10"/>
        <rFont val="Arial"/>
        <family val="2"/>
        <charset val="1"/>
      </rPr>
      <t>3</t>
    </r>
  </si>
  <si>
    <r>
      <t>ft</t>
    </r>
    <r>
      <rPr>
        <vertAlign val="superscript"/>
        <sz val="10"/>
        <rFont val="Arial"/>
        <family val="2"/>
        <charset val="1"/>
      </rPr>
      <t>3</t>
    </r>
  </si>
  <si>
    <r>
      <t>K</t>
    </r>
    <r>
      <rPr>
        <vertAlign val="subscript"/>
        <sz val="10"/>
        <rFont val="Arial"/>
        <family val="2"/>
        <charset val="1"/>
      </rPr>
      <t>S</t>
    </r>
  </si>
  <si>
    <r>
      <t>K</t>
    </r>
    <r>
      <rPr>
        <vertAlign val="subscript"/>
        <sz val="10"/>
        <rFont val="Arial"/>
        <family val="2"/>
        <charset val="1"/>
      </rPr>
      <t>N</t>
    </r>
  </si>
  <si>
    <r>
      <t>K</t>
    </r>
    <r>
      <rPr>
        <vertAlign val="subscript"/>
        <sz val="10"/>
        <rFont val="Arial"/>
        <family val="2"/>
        <charset val="1"/>
      </rPr>
      <t>P</t>
    </r>
  </si>
  <si>
    <r>
      <t>T</t>
    </r>
    <r>
      <rPr>
        <vertAlign val="subscript"/>
        <sz val="10"/>
        <rFont val="Arial"/>
        <family val="2"/>
        <charset val="1"/>
      </rPr>
      <t>LA</t>
    </r>
  </si>
  <si>
    <r>
      <t>ΔT</t>
    </r>
    <r>
      <rPr>
        <vertAlign val="subscript"/>
        <sz val="10"/>
        <rFont val="Arial"/>
        <family val="2"/>
        <charset val="1"/>
      </rPr>
      <t>V</t>
    </r>
  </si>
  <si>
    <r>
      <t>ΔT</t>
    </r>
    <r>
      <rPr>
        <vertAlign val="subscript"/>
        <sz val="10"/>
        <rFont val="Arial"/>
        <family val="2"/>
        <charset val="1"/>
      </rPr>
      <t>A</t>
    </r>
  </si>
  <si>
    <r>
      <t>T</t>
    </r>
    <r>
      <rPr>
        <vertAlign val="subscript"/>
        <sz val="10"/>
        <rFont val="Arial"/>
        <family val="2"/>
        <charset val="1"/>
      </rPr>
      <t>AX</t>
    </r>
  </si>
  <si>
    <r>
      <t>T</t>
    </r>
    <r>
      <rPr>
        <vertAlign val="subscript"/>
        <sz val="10"/>
        <rFont val="Arial"/>
        <family val="2"/>
        <charset val="1"/>
      </rPr>
      <t>AN</t>
    </r>
  </si>
  <si>
    <r>
      <t>T</t>
    </r>
    <r>
      <rPr>
        <vertAlign val="subscript"/>
        <sz val="10"/>
        <rFont val="Arial"/>
        <family val="2"/>
        <charset val="1"/>
      </rPr>
      <t>AA</t>
    </r>
  </si>
  <si>
    <r>
      <t>T</t>
    </r>
    <r>
      <rPr>
        <vertAlign val="subscript"/>
        <sz val="10"/>
        <rFont val="Arial"/>
        <family val="2"/>
        <charset val="1"/>
      </rPr>
      <t>B</t>
    </r>
  </si>
  <si>
    <r>
      <t>ΔP</t>
    </r>
    <r>
      <rPr>
        <vertAlign val="subscript"/>
        <sz val="10"/>
        <rFont val="Arial"/>
        <family val="2"/>
        <charset val="1"/>
      </rPr>
      <t>V</t>
    </r>
  </si>
  <si>
    <t>Daily vapor pressure range</t>
  </si>
  <si>
    <t>Liquid bulk temperature</t>
  </si>
  <si>
    <t>Daily minimum ambient temperature</t>
  </si>
  <si>
    <t>Daily average ambient temperature</t>
  </si>
  <si>
    <t>Daily maximum ambient temperature</t>
  </si>
  <si>
    <t>Daily ambient temperature range</t>
  </si>
  <si>
    <t>Daily average liquid surface temperature</t>
  </si>
  <si>
    <t>Ideal gas constant</t>
  </si>
  <si>
    <t>Working loss product factor</t>
  </si>
  <si>
    <t>Vented vapor saturation factor</t>
  </si>
  <si>
    <t>Vapor space volume</t>
  </si>
  <si>
    <t>Stock vapor density</t>
  </si>
  <si>
    <t>Standing storage losses</t>
  </si>
  <si>
    <r>
      <t>Calculation of VOC Emission = Total Losses (L</t>
    </r>
    <r>
      <rPr>
        <b/>
        <vertAlign val="subscript"/>
        <sz val="11"/>
        <rFont val="Arial"/>
        <family val="2"/>
      </rPr>
      <t>T</t>
    </r>
    <r>
      <rPr>
        <b/>
        <sz val="11"/>
        <rFont val="Arial"/>
        <family val="2"/>
      </rPr>
      <t>)</t>
    </r>
  </si>
  <si>
    <r>
      <t>M</t>
    </r>
    <r>
      <rPr>
        <vertAlign val="subscript"/>
        <sz val="10"/>
        <rFont val="Arial"/>
        <family val="2"/>
      </rPr>
      <t>V</t>
    </r>
  </si>
  <si>
    <r>
      <t>V</t>
    </r>
    <r>
      <rPr>
        <vertAlign val="subscript"/>
        <sz val="10"/>
        <rFont val="Arial"/>
        <family val="2"/>
      </rPr>
      <t>V</t>
    </r>
  </si>
  <si>
    <r>
      <t>H</t>
    </r>
    <r>
      <rPr>
        <vertAlign val="subscript"/>
        <sz val="10"/>
        <rFont val="Arial"/>
        <family val="2"/>
      </rPr>
      <t>VO</t>
    </r>
  </si>
  <si>
    <r>
      <t>K</t>
    </r>
    <r>
      <rPr>
        <vertAlign val="subscript"/>
        <sz val="10"/>
        <rFont val="Arial"/>
        <family val="2"/>
      </rPr>
      <t>E</t>
    </r>
  </si>
  <si>
    <t xml:space="preserve"> °F</t>
  </si>
  <si>
    <t>Enter tank specific information in all blue cells.</t>
  </si>
  <si>
    <t>This is the width of the cylindrical shell.</t>
  </si>
  <si>
    <t>This is actual length of the tank.</t>
  </si>
  <si>
    <r>
      <t xml:space="preserve">The </t>
    </r>
    <r>
      <rPr>
        <b/>
        <sz val="10"/>
        <rFont val="Arial"/>
        <family val="2"/>
      </rPr>
      <t>shell diameter</t>
    </r>
    <r>
      <rPr>
        <sz val="10"/>
        <rFont val="Arial"/>
        <family val="2"/>
      </rPr>
      <t xml:space="preserve"> divided by 2.</t>
    </r>
  </si>
  <si>
    <t>Maximum height of the liquid within the tank shell.</t>
  </si>
  <si>
    <t>Average height of the liquid within the tank shell.</t>
  </si>
  <si>
    <r>
      <t>Should be less than or equal to</t>
    </r>
    <r>
      <rPr>
        <i/>
        <sz val="10"/>
        <rFont val="Arial"/>
        <family val="2"/>
        <charset val="1"/>
      </rPr>
      <t xml:space="preserve"> </t>
    </r>
    <r>
      <rPr>
        <b/>
        <sz val="10"/>
        <rFont val="Arial"/>
        <family val="2"/>
      </rPr>
      <t>maximum liquid height</t>
    </r>
    <r>
      <rPr>
        <b/>
        <i/>
        <sz val="10"/>
        <rFont val="Arial"/>
        <family val="2"/>
        <charset val="1"/>
      </rPr>
      <t>.</t>
    </r>
  </si>
  <si>
    <r>
      <t xml:space="preserve">Should be equal or less than </t>
    </r>
    <r>
      <rPr>
        <b/>
        <sz val="10"/>
        <rFont val="Arial"/>
        <family val="2"/>
      </rPr>
      <t>shell height</t>
    </r>
    <r>
      <rPr>
        <b/>
        <i/>
        <sz val="10"/>
        <rFont val="Arial"/>
        <family val="2"/>
        <charset val="1"/>
      </rPr>
      <t>.</t>
    </r>
  </si>
  <si>
    <t>Calculated radius</t>
  </si>
  <si>
    <t>Calculated volume</t>
  </si>
  <si>
    <t xml:space="preserve">Calculated number the tank is emptied and refilled, annually. </t>
  </si>
  <si>
    <t xml:space="preserve">Calculated radius. Only applies to a "Dome" roof. </t>
  </si>
  <si>
    <t>Vacuum setting is a value set for the tank at the facility.</t>
  </si>
  <si>
    <t>Must be between 0 and 1 psig. Default value is 0.03 psig.</t>
  </si>
  <si>
    <t>Must be between 0 and -1 psig. Default value is -0.03 psig.</t>
  </si>
  <si>
    <t xml:space="preserve">Breather vent pressure is a reading from the tank monitoring system. </t>
  </si>
  <si>
    <t>Barometric pressure of 29.9 inches of mercury is approximately 14.7 psia.</t>
  </si>
  <si>
    <t xml:space="preserve">Total for a horizontal surface. </t>
  </si>
  <si>
    <r>
      <t>H</t>
    </r>
    <r>
      <rPr>
        <vertAlign val="subscript"/>
        <sz val="10"/>
        <rFont val="Arial"/>
        <family val="2"/>
      </rPr>
      <t>RO</t>
    </r>
  </si>
  <si>
    <t>Weather data</t>
  </si>
  <si>
    <t>Notes (equations are from AP-42, Chapter 7)</t>
  </si>
  <si>
    <t>Assume value of 1 for gasoline or diesel.</t>
  </si>
  <si>
    <t>Nearest major city</t>
  </si>
  <si>
    <t>Average annual maximum temperature</t>
  </si>
  <si>
    <t>Average annual minimum temperature</t>
  </si>
  <si>
    <t>Vapor Molecular Weight at 60 °F</t>
  </si>
  <si>
    <r>
      <t>Area (</t>
    </r>
    <r>
      <rPr>
        <sz val="8"/>
        <rFont val="Calibri"/>
        <family val="2"/>
      </rPr>
      <t>∏</t>
    </r>
    <r>
      <rPr>
        <sz val="10"/>
        <rFont val="Arial"/>
        <family val="2"/>
        <charset val="1"/>
      </rPr>
      <t>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  <r>
      <rPr>
        <sz val="10"/>
        <rFont val="Arial"/>
        <family val="2"/>
        <charset val="1"/>
      </rPr>
      <t xml:space="preserve"> multiplied by </t>
    </r>
    <r>
      <rPr>
        <b/>
        <sz val="10"/>
        <rFont val="Arial"/>
        <family val="2"/>
        <charset val="1"/>
      </rPr>
      <t>maximum liquid height</t>
    </r>
    <r>
      <rPr>
        <sz val="10"/>
        <rFont val="Arial"/>
        <family val="2"/>
        <charset val="1"/>
      </rPr>
      <t>. Conversion factor: 7.48 gallon/ft</t>
    </r>
    <r>
      <rPr>
        <vertAlign val="superscript"/>
        <sz val="10"/>
        <rFont val="Arial"/>
        <family val="2"/>
        <charset val="1"/>
      </rPr>
      <t>3</t>
    </r>
    <r>
      <rPr>
        <sz val="10"/>
        <rFont val="Arial"/>
        <family val="2"/>
        <charset val="1"/>
      </rPr>
      <t>.</t>
    </r>
  </si>
  <si>
    <t>Fixed roof structure.</t>
  </si>
  <si>
    <t>Use the outside height of the tank.</t>
  </si>
  <si>
    <t>Use the outside diameter of the tank.</t>
  </si>
  <si>
    <t>About the value</t>
  </si>
  <si>
    <r>
      <t xml:space="preserve">Tank shell color and shade are used to identify </t>
    </r>
    <r>
      <rPr>
        <b/>
        <sz val="10"/>
        <rFont val="Arial"/>
        <family val="2"/>
        <charset val="1"/>
      </rPr>
      <t>paint solar absorptance</t>
    </r>
    <r>
      <rPr>
        <sz val="10"/>
        <rFont val="Arial"/>
        <family val="2"/>
        <charset val="1"/>
      </rPr>
      <t>.</t>
    </r>
  </si>
  <si>
    <r>
      <t xml:space="preserve">Tank condition is used to identify </t>
    </r>
    <r>
      <rPr>
        <b/>
        <sz val="10"/>
        <rFont val="Arial"/>
        <family val="2"/>
        <charset val="1"/>
      </rPr>
      <t>paint solar absorptance</t>
    </r>
    <r>
      <rPr>
        <sz val="10"/>
        <rFont val="Arial"/>
        <family val="2"/>
        <charset val="1"/>
      </rPr>
      <t>.</t>
    </r>
  </si>
  <si>
    <t>ft/ft</t>
  </si>
  <si>
    <r>
      <t>Btu/(ft</t>
    </r>
    <r>
      <rPr>
        <vertAlign val="superscript"/>
        <sz val="10"/>
        <rFont val="Arial"/>
        <family val="2"/>
        <charset val="1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  <charset val="1"/>
      </rPr>
      <t>day)</t>
    </r>
  </si>
  <si>
    <r>
      <t>ΔP</t>
    </r>
    <r>
      <rPr>
        <vertAlign val="subscript"/>
        <sz val="11"/>
        <rFont val="Arial"/>
        <family val="2"/>
        <charset val="1"/>
      </rPr>
      <t>B</t>
    </r>
  </si>
  <si>
    <t>Breather vent pressure setting range</t>
  </si>
  <si>
    <t>Equation 1-9</t>
  </si>
  <si>
    <t>Turnovers per year (potential)</t>
  </si>
  <si>
    <t xml:space="preserve">Calculated number the tank could be emptied and refilled, annually. </t>
  </si>
  <si>
    <r>
      <rPr>
        <b/>
        <sz val="10"/>
        <rFont val="Arial"/>
        <family val="2"/>
      </rPr>
      <t>Actual throughput</t>
    </r>
    <r>
      <rPr>
        <sz val="10"/>
        <rFont val="Arial"/>
        <family val="2"/>
        <charset val="1"/>
      </rPr>
      <t xml:space="preserve"> and </t>
    </r>
    <r>
      <rPr>
        <b/>
        <sz val="10"/>
        <rFont val="Arial"/>
        <family val="2"/>
      </rPr>
      <t>working volume</t>
    </r>
    <r>
      <rPr>
        <sz val="10"/>
        <rFont val="Arial"/>
        <family val="2"/>
        <charset val="1"/>
      </rPr>
      <t>. Value = "0" if liquid is stored for an entire year.</t>
    </r>
  </si>
  <si>
    <r>
      <rPr>
        <b/>
        <sz val="10"/>
        <rFont val="Arial"/>
        <family val="2"/>
      </rPr>
      <t>Potential throughput</t>
    </r>
    <r>
      <rPr>
        <sz val="10"/>
        <rFont val="Arial"/>
        <family val="2"/>
        <charset val="1"/>
      </rPr>
      <t xml:space="preserve"> and </t>
    </r>
    <r>
      <rPr>
        <b/>
        <sz val="10"/>
        <rFont val="Arial"/>
        <family val="2"/>
      </rPr>
      <t>working volume</t>
    </r>
    <r>
      <rPr>
        <sz val="10"/>
        <rFont val="Arial"/>
        <family val="2"/>
        <charset val="1"/>
      </rPr>
      <t>. Value = "0" if liquid is stored for an entire year.</t>
    </r>
  </si>
  <si>
    <t>Turnovers per year (actual)</t>
  </si>
  <si>
    <t>Working losses (actual)</t>
  </si>
  <si>
    <t>Working losses (potential)</t>
  </si>
  <si>
    <t>Working loss turnover factor (potential)</t>
  </si>
  <si>
    <t>Working loss turnover factor (actual)</t>
  </si>
  <si>
    <t>Annual net throughput (actual)</t>
  </si>
  <si>
    <t>Annual net throughput (potential)</t>
  </si>
  <si>
    <t>Total losses (VOC actual emissions)</t>
  </si>
  <si>
    <t>Total losses (VOC potential emissions)</t>
  </si>
  <si>
    <t>Vapor space roof outage</t>
  </si>
  <si>
    <t>Vapor space tank outage</t>
  </si>
  <si>
    <t>VOC actual emissions</t>
  </si>
  <si>
    <t>VOC potential emissions</t>
  </si>
  <si>
    <t>ton/yr</t>
  </si>
  <si>
    <t>Petroleum liquid</t>
  </si>
  <si>
    <t>(lb/lb-mole)</t>
  </si>
  <si>
    <t>(lb/gal)</t>
  </si>
  <si>
    <t>Distillate fuel oil No. 2</t>
  </si>
  <si>
    <r>
      <t>M</t>
    </r>
    <r>
      <rPr>
        <vertAlign val="subscript"/>
        <sz val="10"/>
        <rFont val="Arial"/>
        <family val="2"/>
        <charset val="1"/>
      </rPr>
      <t>V</t>
    </r>
  </si>
  <si>
    <r>
      <t>W</t>
    </r>
    <r>
      <rPr>
        <vertAlign val="subscript"/>
        <sz val="10"/>
        <rFont val="Arial"/>
        <family val="2"/>
        <charset val="1"/>
      </rPr>
      <t>L</t>
    </r>
  </si>
  <si>
    <t>Paint Color</t>
  </si>
  <si>
    <t>Paint shade or type</t>
  </si>
  <si>
    <t>Aluminum</t>
  </si>
  <si>
    <t>Beige/Cream</t>
  </si>
  <si>
    <t>Black</t>
  </si>
  <si>
    <t>Brown</t>
  </si>
  <si>
    <t>Gray</t>
  </si>
  <si>
    <t>Red</t>
  </si>
  <si>
    <t>Rust</t>
  </si>
  <si>
    <t>Tan</t>
  </si>
  <si>
    <t>N/A not applicable</t>
  </si>
  <si>
    <t>Specular</t>
  </si>
  <si>
    <t>Diffuse</t>
  </si>
  <si>
    <t>Light</t>
  </si>
  <si>
    <t>Medium</t>
  </si>
  <si>
    <t>Dark</t>
  </si>
  <si>
    <t>Red iron oxide</t>
  </si>
  <si>
    <t>No shade</t>
  </si>
  <si>
    <t>Primer</t>
  </si>
  <si>
    <t>Table 7.1-6 Paint solar absorption for fixed roof tanks</t>
  </si>
  <si>
    <t>Solar insolation</t>
  </si>
  <si>
    <r>
      <t>T</t>
    </r>
    <r>
      <rPr>
        <vertAlign val="subscript"/>
        <sz val="10"/>
        <rFont val="Arial"/>
        <family val="2"/>
      </rPr>
      <t>AX</t>
    </r>
  </si>
  <si>
    <r>
      <t>T</t>
    </r>
    <r>
      <rPr>
        <vertAlign val="subscript"/>
        <sz val="10"/>
        <rFont val="Arial"/>
        <family val="2"/>
      </rPr>
      <t>AN</t>
    </r>
  </si>
  <si>
    <t>Insignificant activity - tanks</t>
  </si>
  <si>
    <t>Vertical or horizontal</t>
  </si>
  <si>
    <t>1) Read through the instructions and information in the 'Instructions' tab.</t>
  </si>
  <si>
    <t xml:space="preserve">Subpart 2(E) </t>
  </si>
  <si>
    <t>1.</t>
  </si>
  <si>
    <t>2.</t>
  </si>
  <si>
    <t>3.</t>
  </si>
  <si>
    <t>4.</t>
  </si>
  <si>
    <t>5.</t>
  </si>
  <si>
    <t>Pressurized storage tanks for anhydrous ammonia, liquid petroleum gas (LPG), liquid natural gas (LNG), or natural gas (NG)</t>
  </si>
  <si>
    <t>Storage tanks holding lubricating oils</t>
  </si>
  <si>
    <t>Above and below ground fuel oil storage tanks with a combined total tankage capacity less than 100,000 gallons</t>
  </si>
  <si>
    <t>Gasoline storage tanks with a combined total tankage capacity of less than 2,000 gallons</t>
  </si>
  <si>
    <t>Gasoline storage tanks with a combined total tankage capacity of not more than 10,000 gallons</t>
  </si>
  <si>
    <t xml:space="preserve">List tanks in the table below that qualify as an insignificant activity. </t>
  </si>
  <si>
    <t>Storage tanks holding inorganic liquids, including water, except for acids that volatilize hazardous air pollutants (HAPs) or volatile organic compounds (VOCs)</t>
  </si>
  <si>
    <t>Select one</t>
  </si>
  <si>
    <t>Reference tables from AP-42, chapter 7</t>
  </si>
  <si>
    <t>If your tank meets any of the following descriptions, it is not required to be listed on an air permit application.</t>
  </si>
  <si>
    <t>If your tank meets any of the following descriptions, it is required to be listed on an air permit application.</t>
  </si>
  <si>
    <t>(tons/year)</t>
  </si>
  <si>
    <t>Vertical tanks total</t>
  </si>
  <si>
    <t>VOC emission summary for vertical, fixed roof tanks</t>
  </si>
  <si>
    <t xml:space="preserve">Amount of VOCs potentially released over a 12-month period. </t>
  </si>
  <si>
    <t xml:space="preserve">Amount of VOC actually released over the 12-month period. </t>
  </si>
  <si>
    <t>Emissions are calculated based on the data entered into the blue cells on this tab.</t>
  </si>
  <si>
    <t>Type of fuel stored in the tank.</t>
  </si>
  <si>
    <t>select one</t>
  </si>
  <si>
    <t>Go to Table 7.1-7.</t>
  </si>
  <si>
    <r>
      <t>S</t>
    </r>
    <r>
      <rPr>
        <vertAlign val="subscript"/>
        <sz val="10"/>
        <rFont val="Arial"/>
        <family val="2"/>
      </rPr>
      <t>R</t>
    </r>
  </si>
  <si>
    <r>
      <t>R</t>
    </r>
    <r>
      <rPr>
        <vertAlign val="subscript"/>
        <sz val="10"/>
        <rFont val="Arial"/>
        <family val="2"/>
      </rPr>
      <t>R</t>
    </r>
  </si>
  <si>
    <t>Cone roof slope</t>
  </si>
  <si>
    <t>Dome roof radius</t>
  </si>
  <si>
    <t>Table 7.1-2</t>
  </si>
  <si>
    <t>Vapor pressure at 60 °F</t>
  </si>
  <si>
    <r>
      <t xml:space="preserve">Calculated as 0.8 times </t>
    </r>
    <r>
      <rPr>
        <b/>
        <sz val="10"/>
        <rFont val="Arial"/>
        <family val="2"/>
        <charset val="1"/>
      </rPr>
      <t>tank diameter</t>
    </r>
    <r>
      <rPr>
        <sz val="10"/>
        <rFont val="Arial"/>
        <family val="2"/>
      </rPr>
      <t>.</t>
    </r>
  </si>
  <si>
    <t>Number of hours the tank is being used.</t>
  </si>
  <si>
    <t>Gallons stored in his tank over the period of 12 consecutive months.</t>
  </si>
  <si>
    <t>Choose "Dome" or "Cone" from the drop-down box.</t>
  </si>
  <si>
    <t>Choose "Gasoline" or "Diesel" from the drop-down box.</t>
  </si>
  <si>
    <t>New</t>
  </si>
  <si>
    <t>Average</t>
  </si>
  <si>
    <t>Aged</t>
  </si>
  <si>
    <t>Mill-finish, unpainted</t>
  </si>
  <si>
    <t xml:space="preserve">New: For paint, paint still retains the fresh shine of having been recently applied; for mill-finished aluminum, surface is shiny. </t>
  </si>
  <si>
    <t xml:space="preserve">Average: For paint, paint is in good condition, but the initial shine has faded; for mill-finished aluminum, surface is oxidized but still bright. </t>
  </si>
  <si>
    <r>
      <t>Aluminum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</si>
  <si>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Reflective condition definitions</t>
    </r>
  </si>
  <si>
    <t xml:space="preserve">Go to Table 7.1-6. Default value is "White/NA". </t>
  </si>
  <si>
    <t>Go to Table 7.1-6. Default value is "Average".</t>
  </si>
  <si>
    <r>
      <t>P</t>
    </r>
    <r>
      <rPr>
        <vertAlign val="subscript"/>
        <sz val="10"/>
        <rFont val="Arial"/>
        <family val="2"/>
      </rPr>
      <t>A</t>
    </r>
  </si>
  <si>
    <t>Duluth, MN</t>
  </si>
  <si>
    <t>International Falls, MN</t>
  </si>
  <si>
    <r>
      <t>Btu/(ft</t>
    </r>
    <r>
      <rPr>
        <vertAlign val="superscript"/>
        <sz val="8"/>
        <rFont val="Arial"/>
        <family val="2"/>
        <charset val="1"/>
      </rPr>
      <t>2</t>
    </r>
    <r>
      <rPr>
        <sz val="8"/>
        <rFont val="Calibri"/>
        <family val="2"/>
      </rPr>
      <t>·</t>
    </r>
    <r>
      <rPr>
        <sz val="8"/>
        <rFont val="Arial"/>
        <family val="2"/>
        <charset val="1"/>
      </rPr>
      <t>day)</t>
    </r>
  </si>
  <si>
    <r>
      <t>psia (ln/in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</si>
  <si>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>Rochester, MN</t>
  </si>
  <si>
    <t>St. Cloud, MN</t>
  </si>
  <si>
    <t>Average solar insolation factor</t>
  </si>
  <si>
    <r>
      <t>Average daily maximum temperature</t>
    </r>
    <r>
      <rPr>
        <b/>
        <vertAlign val="superscript"/>
        <sz val="10"/>
        <rFont val="Arial"/>
        <family val="2"/>
      </rPr>
      <t>1</t>
    </r>
  </si>
  <si>
    <r>
      <t>Average daily minimum temperature</t>
    </r>
    <r>
      <rPr>
        <b/>
        <vertAlign val="superscript"/>
        <sz val="10"/>
        <rFont val="Arial"/>
        <family val="2"/>
      </rPr>
      <t>1</t>
    </r>
  </si>
  <si>
    <t>Minneapolis - St. Paul</t>
  </si>
  <si>
    <t>Nearest major city to the tank location.</t>
  </si>
  <si>
    <t>Average for the location.</t>
  </si>
  <si>
    <t>Average over a calendar year.</t>
  </si>
  <si>
    <t>Saturation; turnovers &gt;36 = (180 + N) / 6 * N; turnovers at 36 or lower = 1</t>
  </si>
  <si>
    <t>Vertical tank 1</t>
  </si>
  <si>
    <t>Vertical tank 2</t>
  </si>
  <si>
    <t>Vertical tank 3</t>
  </si>
  <si>
    <t>Check to box next to 'Create a Copy'</t>
  </si>
  <si>
    <t>Select 'Move or Copy'</t>
  </si>
  <si>
    <t>Right-click on the tab name (example 'Vertical tank 3')</t>
  </si>
  <si>
    <t>i.</t>
  </si>
  <si>
    <t>ii.</t>
  </si>
  <si>
    <t>iii.</t>
  </si>
  <si>
    <t>If there are more than 3 vertical tanks at the facility, you can copy/duplicate a blue tank tab:</t>
  </si>
  <si>
    <t xml:space="preserve">3) Start with 'Vertical tank 1' tab, enter the applicable data in the blue boxes. </t>
  </si>
  <si>
    <t xml:space="preserve">Subpart 3(C) </t>
  </si>
  <si>
    <t>Nonhazardous air pollutant VOC storage tanks with a combined total tankage capacity of not more than 10,000 gallons of nonhazardous air pollutants and with a vapor pressure of not more than 1.0 psia at 60 degrees Fahrenheit</t>
  </si>
  <si>
    <t xml:space="preserve">Calculated based on actual tank throughput divided by the hours operated and multiplied by 8760 hours/day. </t>
  </si>
  <si>
    <t>An additional 30% is added to the total to allow for variability and account for maximum capacity of the tank throughput.</t>
  </si>
  <si>
    <r>
      <rPr>
        <b/>
        <sz val="10"/>
        <color rgb="FF008EAA"/>
        <rFont val="Arial"/>
        <family val="2"/>
      </rPr>
      <t>Insert value from table 7.1-6.</t>
    </r>
    <r>
      <rPr>
        <sz val="10"/>
        <rFont val="Arial"/>
        <family val="2"/>
        <charset val="1"/>
      </rPr>
      <t xml:space="preserve"> Paint effectiveness in absorbing radiant energy.</t>
    </r>
  </si>
  <si>
    <r>
      <rPr>
        <b/>
        <sz val="10"/>
        <rFont val="Arial"/>
        <family val="2"/>
      </rPr>
      <t>Go to Table 7.1-6</t>
    </r>
    <r>
      <rPr>
        <sz val="10"/>
        <rFont val="Arial"/>
        <family val="2"/>
        <charset val="1"/>
      </rPr>
      <t xml:space="preserve">. Default value for "White/NA" and "Average" condition tank </t>
    </r>
    <r>
      <rPr>
        <sz val="10"/>
        <rFont val="Arial"/>
        <family val="2"/>
      </rPr>
      <t xml:space="preserve">is: 0.25. </t>
    </r>
  </si>
  <si>
    <t>Calculated using Pythagorean theorem.</t>
  </si>
  <si>
    <t>Aged: For paint, paint is noticeably faded and dull; for mill-finish aluminum, surface is dull.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</si>
  <si>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Refers to aluminum as the base metal, rather than aluminum colored paint. </t>
    </r>
  </si>
  <si>
    <t>Table 7.1-7 Daily average maximum, daily average minimum liquid temperature, and insolation factor in Minnesota</t>
  </si>
  <si>
    <r>
      <t>Reflective condition (α)</t>
    </r>
    <r>
      <rPr>
        <b/>
        <vertAlign val="superscript"/>
        <sz val="10"/>
        <rFont val="Arial"/>
        <family val="2"/>
      </rPr>
      <t>1</t>
    </r>
  </si>
  <si>
    <r>
      <t xml:space="preserve">Storage tanks air emissions calculator
</t>
    </r>
    <r>
      <rPr>
        <sz val="18"/>
        <color theme="1"/>
        <rFont val="Calibri"/>
        <family val="2"/>
        <scheme val="minor"/>
      </rPr>
      <t>fixed roof, vertical, cone or dome</t>
    </r>
  </si>
  <si>
    <t>Vapor molecular weight</t>
  </si>
  <si>
    <t>Liquid density</t>
  </si>
  <si>
    <t>True vapor pressure</t>
  </si>
  <si>
    <t>(psi)</t>
  </si>
  <si>
    <r>
      <t>1</t>
    </r>
    <r>
      <rPr>
        <sz val="8"/>
        <rFont val="Arial"/>
        <family val="2"/>
        <charset val="1"/>
      </rPr>
      <t>Ambient temperature</t>
    </r>
  </si>
  <si>
    <t>Table 7.1-2 Properties of selected petroleum liquids at 60°F</t>
  </si>
  <si>
    <t>Vapor space expansion factor</t>
  </si>
  <si>
    <t>Daily vapor temperature range</t>
  </si>
  <si>
    <t>Vapor pressure equation constant</t>
  </si>
  <si>
    <t>A</t>
  </si>
  <si>
    <t>Equation 1-9, note 5</t>
  </si>
  <si>
    <t xml:space="preserve">Equation 1-9, note to Figure 7.1-17 </t>
  </si>
  <si>
    <r>
      <t>T</t>
    </r>
    <r>
      <rPr>
        <vertAlign val="subscript"/>
        <sz val="10"/>
        <rFont val="Arial"/>
        <family val="2"/>
      </rPr>
      <t>LN</t>
    </r>
  </si>
  <si>
    <r>
      <t>T</t>
    </r>
    <r>
      <rPr>
        <vertAlign val="subscript"/>
        <sz val="10"/>
        <rFont val="Arial"/>
        <family val="2"/>
      </rPr>
      <t>LX</t>
    </r>
  </si>
  <si>
    <r>
      <t>P</t>
    </r>
    <r>
      <rPr>
        <vertAlign val="subscript"/>
        <sz val="10"/>
        <rFont val="Arial"/>
        <family val="2"/>
      </rPr>
      <t>VN</t>
    </r>
  </si>
  <si>
    <r>
      <t>P</t>
    </r>
    <r>
      <rPr>
        <vertAlign val="subscript"/>
        <sz val="10"/>
        <rFont val="Arial"/>
        <family val="2"/>
      </rPr>
      <t>VX</t>
    </r>
  </si>
  <si>
    <r>
      <t>P</t>
    </r>
    <r>
      <rPr>
        <vertAlign val="subscript"/>
        <sz val="10"/>
        <rFont val="Arial"/>
        <family val="2"/>
      </rPr>
      <t>BV</t>
    </r>
  </si>
  <si>
    <r>
      <t>P</t>
    </r>
    <r>
      <rPr>
        <vertAlign val="subscript"/>
        <sz val="10"/>
        <rFont val="Arial"/>
        <family val="2"/>
      </rPr>
      <t>BP</t>
    </r>
  </si>
  <si>
    <t>(dimensionless)</t>
  </si>
  <si>
    <t>(°R)</t>
  </si>
  <si>
    <t>Gasoline RVP 7</t>
  </si>
  <si>
    <t>Equation 1-11</t>
  </si>
  <si>
    <t>Equation 1-16, vertical</t>
  </si>
  <si>
    <t>Equation 1-17 Cone; Equation 1-19 Dome</t>
  </si>
  <si>
    <t>Calculated roof height.</t>
  </si>
  <si>
    <t>Equation 1-18 for cone roof; Equation 1-20 for dome roof</t>
  </si>
  <si>
    <t>Equation 1-22</t>
  </si>
  <si>
    <r>
      <t>T</t>
    </r>
    <r>
      <rPr>
        <vertAlign val="subscript"/>
        <sz val="10"/>
        <rFont val="Arial"/>
        <family val="2"/>
        <charset val="1"/>
      </rPr>
      <t>V</t>
    </r>
  </si>
  <si>
    <t>Average vapor temperature</t>
  </si>
  <si>
    <t>Constant, Equation 1-22</t>
  </si>
  <si>
    <t>Equation 1-30</t>
  </si>
  <si>
    <t>Table 7-1-7. Conversion factor: Rankine = Fahrenheit + 459.7</t>
  </si>
  <si>
    <t>Equation 1-31</t>
  </si>
  <si>
    <t>Equation 1-35</t>
  </si>
  <si>
    <t>N</t>
  </si>
  <si>
    <t>Saturation; turnovers &gt;36 = (180 + N) / 6 * N; turnovers at 36 or lower = 1; Equation 1-35</t>
  </si>
  <si>
    <r>
      <t>Vapor pressure at T</t>
    </r>
    <r>
      <rPr>
        <vertAlign val="subscript"/>
        <sz val="10"/>
        <rFont val="Arial"/>
        <family val="2"/>
      </rPr>
      <t>LX</t>
    </r>
  </si>
  <si>
    <r>
      <t>Vapor pressure at T</t>
    </r>
    <r>
      <rPr>
        <vertAlign val="subscript"/>
        <sz val="10"/>
        <rFont val="Arial"/>
        <family val="2"/>
      </rPr>
      <t>LN</t>
    </r>
  </si>
  <si>
    <r>
      <t>Maximum T</t>
    </r>
    <r>
      <rPr>
        <vertAlign val="subscript"/>
        <sz val="10"/>
        <rFont val="Arial"/>
        <family val="2"/>
      </rPr>
      <t>LA</t>
    </r>
  </si>
  <si>
    <r>
      <t>Minimum T</t>
    </r>
    <r>
      <rPr>
        <vertAlign val="subscript"/>
        <sz val="10"/>
        <rFont val="Arial"/>
        <family val="2"/>
      </rPr>
      <t>LA</t>
    </r>
  </si>
  <si>
    <r>
      <t>psia*ft</t>
    </r>
    <r>
      <rPr>
        <vertAlign val="superscript"/>
        <sz val="10"/>
        <rFont val="Arial"/>
        <family val="2"/>
        <charset val="1"/>
      </rPr>
      <t>3</t>
    </r>
    <r>
      <rPr>
        <sz val="10"/>
        <rFont val="Arial"/>
        <family val="2"/>
        <charset val="1"/>
      </rPr>
      <t>/lb-mole*°R</t>
    </r>
  </si>
  <si>
    <r>
      <t>H</t>
    </r>
    <r>
      <rPr>
        <vertAlign val="subscript"/>
        <sz val="10"/>
        <rFont val="Arial"/>
        <family val="2"/>
      </rPr>
      <t>LX</t>
    </r>
  </si>
  <si>
    <r>
      <t xml:space="preserve">If unknown = 0.0625. </t>
    </r>
    <r>
      <rPr>
        <sz val="10"/>
        <color rgb="FF008EAA"/>
        <rFont val="Arial"/>
        <family val="2"/>
      </rPr>
      <t>If known, insert value</t>
    </r>
    <r>
      <rPr>
        <sz val="10"/>
        <rFont val="Arial"/>
        <family val="2"/>
        <charset val="1"/>
      </rPr>
      <t xml:space="preserve">. Only applies to a "Cone" roof. </t>
    </r>
  </si>
  <si>
    <t>Minn. R. 7007.1300, subp. 2(E), 3(C), and 3(F)</t>
  </si>
  <si>
    <t xml:space="preserve">Subpart 3(F) </t>
  </si>
  <si>
    <t>Individual emissions units at a stationary source, each of which have a potential to emit the following pollutants in amounts less than:</t>
  </si>
  <si>
    <t>4,000 pounds per year of carbon monoxide</t>
  </si>
  <si>
    <t>2,000 pounds per year each of nitrogen oxide, sulfur dioxide, particulate matter, particulate matter less than ten microns, VOCs (including hazardous air pollutant-containing VOCs), and ozone</t>
  </si>
  <si>
    <r>
      <t>1,000 tons per year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  <charset val="1"/>
      </rPr>
      <t>e</t>
    </r>
  </si>
  <si>
    <t xml:space="preserve">Subject to subpart 2(E), 3(C), or 3(F) </t>
  </si>
  <si>
    <t>https://www3.epa.gov/ttn/chief/ap42/ch07/final/ch07s01.pdf</t>
  </si>
  <si>
    <t>Aluminum paint/Specular shade</t>
  </si>
  <si>
    <t>Aluminum paint/Diffuse shade</t>
  </si>
  <si>
    <t>Aluminum metal/unpainted</t>
  </si>
  <si>
    <t>Beige/Cream/no shade</t>
  </si>
  <si>
    <t>Black/no shade</t>
  </si>
  <si>
    <t>Brown/no shade</t>
  </si>
  <si>
    <t>Gray/Light shade</t>
  </si>
  <si>
    <t>Gray/Medium shade</t>
  </si>
  <si>
    <t>Green/Dark shade</t>
  </si>
  <si>
    <t>Red/Primer shade</t>
  </si>
  <si>
    <t>Rust/Red iron oxide shade</t>
  </si>
  <si>
    <t>Tan/no shade</t>
  </si>
  <si>
    <t>p-sbap5-42v  •  7/13/20</t>
  </si>
  <si>
    <r>
      <t>Equation 1-25, P</t>
    </r>
    <r>
      <rPr>
        <vertAlign val="subscript"/>
        <sz val="10"/>
        <rFont val="Arial"/>
        <family val="2"/>
      </rPr>
      <t>VA</t>
    </r>
    <r>
      <rPr>
        <sz val="10"/>
        <rFont val="Arial"/>
        <family val="2"/>
        <charset val="1"/>
      </rPr>
      <t xml:space="preserve"> based on T</t>
    </r>
    <r>
      <rPr>
        <vertAlign val="subscript"/>
        <sz val="10"/>
        <rFont val="Arial"/>
        <family val="2"/>
      </rPr>
      <t>LA</t>
    </r>
  </si>
  <si>
    <t>Based on actual throughput entered by user (gal/year) / 42 bbl/gal</t>
  </si>
  <si>
    <t>Based on calculated potential throughput (gal/year) / 42 bbl/gal</t>
  </si>
  <si>
    <t>AP-42, Chapter 7 (updated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</si>
</sst>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4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u/>
      <sz val="9"/>
      <color rgb="FF8E58B6"/>
      <name val="Arial"/>
      <family val="2"/>
      <charset val="1"/>
    </font>
    <font>
      <b/>
      <sz val="22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vertAlign val="subscript"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8EAA"/>
      <name val="Arial"/>
      <family val="2"/>
    </font>
    <font>
      <u/>
      <sz val="9"/>
      <color theme="4" tint="-0.24994659260841701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  <charset val="1"/>
    </font>
    <font>
      <b/>
      <i/>
      <sz val="10"/>
      <name val="Arial"/>
      <family val="2"/>
      <charset val="1"/>
    </font>
    <font>
      <vertAlign val="subscript"/>
      <sz val="10"/>
      <name val="Arial"/>
      <family val="2"/>
      <charset val="1"/>
    </font>
    <font>
      <vertAlign val="subscript"/>
      <sz val="10"/>
      <name val="Arial"/>
      <family val="2"/>
    </font>
    <font>
      <vertAlign val="superscript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Calibri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sz val="18"/>
      <color theme="1"/>
      <name val="Calibri"/>
      <family val="2"/>
      <scheme val="minor"/>
    </font>
    <font>
      <sz val="10"/>
      <color rgb="FF008EAA"/>
      <name val="Arial"/>
      <family val="2"/>
    </font>
    <font>
      <sz val="10"/>
      <color theme="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1EAFF"/>
        <bgColor rgb="FFCCFFFF"/>
      </patternFill>
    </fill>
    <fill>
      <patternFill patternType="solid">
        <fgColor rgb="FFFFEDC1"/>
        <bgColor rgb="FFFFFFCC"/>
      </patternFill>
    </fill>
    <fill>
      <patternFill patternType="solid">
        <fgColor rgb="FFD1EAFF"/>
        <bgColor indexed="64"/>
      </patternFill>
    </fill>
    <fill>
      <patternFill patternType="solid">
        <fgColor rgb="FFEAF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D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DC1"/>
        <bgColor rgb="FFCCFFFF"/>
      </patternFill>
    </fill>
    <fill>
      <patternFill patternType="solid">
        <fgColor rgb="FFE2EFD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11" fillId="2" borderId="0" applyBorder="0" applyProtection="0"/>
    <xf numFmtId="0" fontId="2" fillId="0" borderId="0" applyBorder="0" applyProtection="0">
      <alignment vertical="center"/>
    </xf>
    <xf numFmtId="0" fontId="3" fillId="0" borderId="0" applyBorder="0" applyProtection="0">
      <alignment vertical="center"/>
    </xf>
    <xf numFmtId="0" fontId="4" fillId="0" borderId="0" applyBorder="0" applyProtection="0">
      <alignment vertical="center"/>
    </xf>
    <xf numFmtId="0" fontId="5" fillId="0" borderId="0" applyBorder="0" applyProtection="0">
      <alignment vertical="center"/>
    </xf>
    <xf numFmtId="0" fontId="6" fillId="0" borderId="0" applyBorder="0" applyProtection="0">
      <alignment horizontal="right" vertical="center"/>
    </xf>
    <xf numFmtId="0" fontId="11" fillId="3" borderId="0" applyBorder="0" applyProtection="0"/>
    <xf numFmtId="0" fontId="1" fillId="0" borderId="0"/>
    <xf numFmtId="0" fontId="17" fillId="0" borderId="0" applyNumberFormat="0" applyFill="0" applyBorder="0" applyProtection="0">
      <alignment horizontal="right" vertical="center"/>
    </xf>
    <xf numFmtId="0" fontId="20" fillId="0" borderId="0" applyNumberForma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Protection="0">
      <alignment vertical="center"/>
    </xf>
  </cellStyleXfs>
  <cellXfs count="237">
    <xf numFmtId="0" fontId="0" fillId="0" borderId="0" xfId="0"/>
    <xf numFmtId="0" fontId="7" fillId="0" borderId="0" xfId="0" applyFont="1" applyAlignment="1">
      <alignment horizontal="left" wrapText="1" indent="5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12" fillId="0" borderId="0" xfId="0" applyFont="1"/>
    <xf numFmtId="0" fontId="1" fillId="0" borderId="0" xfId="8"/>
    <xf numFmtId="0" fontId="19" fillId="0" borderId="0" xfId="8" applyFont="1" applyBorder="1" applyAlignment="1">
      <alignment horizontal="right" vertical="center"/>
    </xf>
    <xf numFmtId="0" fontId="21" fillId="0" borderId="0" xfId="8" applyFont="1"/>
    <xf numFmtId="0" fontId="21" fillId="0" borderId="0" xfId="11" applyFont="1" applyBorder="1" applyAlignment="1">
      <alignment horizontal="left" vertical="center"/>
    </xf>
    <xf numFmtId="0" fontId="21" fillId="4" borderId="0" xfId="11" applyFont="1" applyFill="1" applyBorder="1">
      <alignment vertical="center"/>
    </xf>
    <xf numFmtId="0" fontId="21" fillId="0" borderId="0" xfId="11" applyFont="1" applyBorder="1">
      <alignment vertical="center"/>
    </xf>
    <xf numFmtId="0" fontId="21" fillId="5" borderId="0" xfId="11" applyFont="1" applyFill="1" applyBorder="1">
      <alignment vertical="center"/>
    </xf>
    <xf numFmtId="0" fontId="21" fillId="6" borderId="0" xfId="11" applyFont="1" applyFill="1" applyBorder="1">
      <alignment vertical="center"/>
    </xf>
    <xf numFmtId="0" fontId="21" fillId="7" borderId="0" xfId="11" applyFont="1" applyFill="1" applyBorder="1">
      <alignment vertical="center"/>
    </xf>
    <xf numFmtId="0" fontId="23" fillId="0" borderId="0" xfId="11" applyFont="1" applyFill="1" applyBorder="1">
      <alignment vertical="center"/>
    </xf>
    <xf numFmtId="0" fontId="21" fillId="0" borderId="0" xfId="11" applyFont="1" applyBorder="1" applyAlignment="1">
      <alignment vertical="center" wrapText="1"/>
    </xf>
    <xf numFmtId="0" fontId="21" fillId="0" borderId="0" xfId="11" applyFont="1" applyBorder="1" applyAlignment="1">
      <alignment horizontal="right" vertical="center"/>
    </xf>
    <xf numFmtId="0" fontId="7" fillId="0" borderId="0" xfId="0" applyFont="1"/>
    <xf numFmtId="0" fontId="20" fillId="0" borderId="0" xfId="14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0" applyNumberFormat="1" applyFont="1" applyFill="1" applyBorder="1" applyAlignment="1">
      <alignment horizontal="left" vertical="center"/>
    </xf>
    <xf numFmtId="2" fontId="7" fillId="0" borderId="0" xfId="7" applyNumberFormat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11" fontId="7" fillId="0" borderId="0" xfId="0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2" fontId="0" fillId="0" borderId="0" xfId="7" applyNumberFormat="1" applyFont="1" applyFill="1" applyBorder="1" applyAlignment="1" applyProtection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1" fontId="2" fillId="2" borderId="2" xfId="2" applyNumberFormat="1" applyFont="1" applyFill="1" applyBorder="1" applyAlignment="1" applyProtection="1">
      <alignment horizontal="center" vertical="center"/>
      <protection locked="0"/>
    </xf>
    <xf numFmtId="2" fontId="7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>
      <alignment horizontal="left" vertical="center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2" fontId="15" fillId="8" borderId="2" xfId="0" applyNumberFormat="1" applyFont="1" applyFill="1" applyBorder="1" applyAlignment="1">
      <alignment horizontal="center" vertical="center"/>
    </xf>
    <xf numFmtId="3" fontId="7" fillId="2" borderId="2" xfId="1" applyNumberFormat="1" applyFont="1" applyBorder="1" applyAlignment="1" applyProtection="1">
      <alignment horizontal="center" vertical="center"/>
    </xf>
    <xf numFmtId="0" fontId="33" fillId="0" borderId="0" xfId="0" applyFont="1" applyFill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2" fillId="0" borderId="2" xfId="2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  <protection locked="0"/>
    </xf>
    <xf numFmtId="0" fontId="7" fillId="2" borderId="2" xfId="1" applyFont="1" applyBorder="1" applyAlignment="1" applyProtection="1">
      <alignment horizontal="center" vertical="center" wrapText="1"/>
    </xf>
    <xf numFmtId="2" fontId="2" fillId="0" borderId="2" xfId="1" applyNumberFormat="1" applyFont="1" applyFill="1" applyBorder="1" applyAlignment="1" applyProtection="1">
      <alignment horizontal="center" vertical="center"/>
    </xf>
    <xf numFmtId="0" fontId="7" fillId="9" borderId="2" xfId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2" fontId="7" fillId="0" borderId="2" xfId="7" applyNumberFormat="1" applyFont="1" applyFill="1" applyBorder="1" applyAlignment="1" applyProtection="1">
      <alignment horizontal="center" vertical="center"/>
    </xf>
    <xf numFmtId="0" fontId="7" fillId="7" borderId="2" xfId="1" applyFont="1" applyFill="1" applyBorder="1" applyAlignment="1" applyProtection="1">
      <alignment horizontal="center" vertical="center"/>
    </xf>
    <xf numFmtId="0" fontId="7" fillId="7" borderId="2" xfId="7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64" fontId="7" fillId="3" borderId="2" xfId="7" applyNumberFormat="1" applyFont="1" applyBorder="1" applyAlignment="1" applyProtection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/>
    <xf numFmtId="2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7" fillId="2" borderId="2" xfId="2" applyFont="1" applyFill="1" applyBorder="1" applyAlignment="1" applyProtection="1">
      <alignment horizontal="left" vertical="center" wrapText="1"/>
      <protection locked="0"/>
    </xf>
    <xf numFmtId="0" fontId="37" fillId="2" borderId="2" xfId="2" applyFont="1" applyFill="1" applyBorder="1" applyAlignment="1" applyProtection="1">
      <alignment horizontal="center" vertical="center" wrapText="1"/>
      <protection locked="0"/>
    </xf>
    <xf numFmtId="2" fontId="14" fillId="8" borderId="5" xfId="0" applyNumberFormat="1" applyFont="1" applyFill="1" applyBorder="1" applyAlignment="1">
      <alignment horizontal="center" vertical="center"/>
    </xf>
    <xf numFmtId="2" fontId="14" fillId="8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wrapText="1" indent="5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Border="1"/>
    <xf numFmtId="0" fontId="38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2" fillId="0" borderId="3" xfId="2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0" fillId="0" borderId="0" xfId="0" applyFont="1" applyAlignment="1">
      <alignment horizontal="right" vertical="center" wrapText="1"/>
    </xf>
    <xf numFmtId="2" fontId="7" fillId="1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7" fillId="0" borderId="0" xfId="0" applyFont="1" applyBorder="1"/>
    <xf numFmtId="0" fontId="0" fillId="0" borderId="8" xfId="0" applyFont="1" applyBorder="1"/>
    <xf numFmtId="0" fontId="40" fillId="0" borderId="0" xfId="0" applyFont="1"/>
    <xf numFmtId="164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42" fillId="0" borderId="1" xfId="7" applyNumberFormat="1" applyFont="1" applyFill="1" applyBorder="1" applyAlignment="1" applyProtection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0" fontId="0" fillId="0" borderId="8" xfId="0" applyBorder="1"/>
    <xf numFmtId="2" fontId="7" fillId="9" borderId="2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3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2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right" vertical="center" wrapText="1"/>
    </xf>
    <xf numFmtId="2" fontId="7" fillId="0" borderId="2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2" borderId="2" xfId="1" applyFont="1" applyBorder="1" applyAlignment="1" applyProtection="1">
      <alignment horizontal="center" vertical="center"/>
    </xf>
    <xf numFmtId="0" fontId="37" fillId="2" borderId="7" xfId="2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/>
    <xf numFmtId="165" fontId="2" fillId="7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46" fillId="0" borderId="0" xfId="0" applyFont="1"/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21" fillId="0" borderId="0" xfId="11" applyFont="1" applyBorder="1" applyAlignment="1">
      <alignment horizontal="left" vertical="center"/>
    </xf>
    <xf numFmtId="0" fontId="25" fillId="0" borderId="0" xfId="12" applyFont="1" applyBorder="1">
      <alignment vertical="center"/>
    </xf>
    <xf numFmtId="0" fontId="21" fillId="0" borderId="0" xfId="11" applyFont="1" applyBorder="1" applyAlignment="1">
      <alignment vertical="center" wrapText="1"/>
    </xf>
    <xf numFmtId="0" fontId="20" fillId="0" borderId="1" xfId="10" applyBorder="1" applyAlignment="1">
      <alignment horizontal="left" vertical="center"/>
    </xf>
    <xf numFmtId="0" fontId="15" fillId="0" borderId="0" xfId="11" applyFont="1" applyBorder="1" applyAlignment="1">
      <alignment horizontal="left" vertical="center" wrapText="1"/>
    </xf>
    <xf numFmtId="0" fontId="1" fillId="0" borderId="0" xfId="8" applyAlignment="1">
      <alignment horizontal="center"/>
    </xf>
    <xf numFmtId="0" fontId="21" fillId="0" borderId="0" xfId="11" applyFont="1" applyBorder="1" applyAlignment="1">
      <alignment horizontal="left" vertical="center" wrapText="1"/>
    </xf>
    <xf numFmtId="0" fontId="1" fillId="0" borderId="0" xfId="8" applyBorder="1" applyAlignment="1">
      <alignment horizontal="center"/>
    </xf>
    <xf numFmtId="0" fontId="18" fillId="0" borderId="0" xfId="9" applyFont="1" applyAlignment="1">
      <alignment horizontal="right" vertical="center" wrapText="1"/>
    </xf>
    <xf numFmtId="0" fontId="19" fillId="0" borderId="0" xfId="8" applyFont="1" applyBorder="1" applyAlignment="1">
      <alignment horizontal="right" vertical="center"/>
    </xf>
    <xf numFmtId="0" fontId="21" fillId="0" borderId="3" xfId="11" applyFont="1" applyBorder="1" applyAlignment="1">
      <alignment horizontal="left" vertical="center"/>
    </xf>
    <xf numFmtId="0" fontId="37" fillId="2" borderId="6" xfId="2" applyFont="1" applyFill="1" applyBorder="1" applyAlignment="1" applyProtection="1">
      <alignment horizontal="center" vertical="center" wrapText="1"/>
      <protection locked="0"/>
    </xf>
    <xf numFmtId="0" fontId="37" fillId="2" borderId="7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8" fillId="0" borderId="0" xfId="0" applyFont="1"/>
    <xf numFmtId="0" fontId="15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0" fillId="0" borderId="4" xfId="14" applyFont="1" applyBorder="1" applyAlignment="1">
      <alignment horizontal="left" vertical="center"/>
    </xf>
    <xf numFmtId="0" fontId="0" fillId="0" borderId="12" xfId="0" applyBorder="1" applyAlignment="1"/>
    <xf numFmtId="0" fontId="15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2" borderId="6" xfId="2" applyFont="1" applyFill="1" applyBorder="1" applyAlignment="1" applyProtection="1">
      <alignment horizontal="left" vertical="center"/>
      <protection locked="0"/>
    </xf>
    <xf numFmtId="0" fontId="2" fillId="2" borderId="7" xfId="2" applyFont="1" applyFill="1" applyBorder="1" applyAlignment="1" applyProtection="1">
      <alignment horizontal="left" vertical="center"/>
      <protection locked="0"/>
    </xf>
    <xf numFmtId="0" fontId="20" fillId="0" borderId="4" xfId="14" applyFont="1" applyBorder="1" applyAlignment="1">
      <alignment vertical="center"/>
    </xf>
    <xf numFmtId="0" fontId="0" fillId="0" borderId="12" xfId="0" applyBorder="1"/>
    <xf numFmtId="0" fontId="12" fillId="0" borderId="0" xfId="0" applyFont="1" applyAlignment="1">
      <alignment horizontal="left" vertical="center"/>
    </xf>
    <xf numFmtId="0" fontId="2" fillId="2" borderId="2" xfId="2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4" fillId="0" borderId="0" xfId="0" applyFont="1" applyFill="1" applyAlignment="1">
      <alignment horizontal="center" wrapText="1"/>
    </xf>
  </cellXfs>
  <cellStyles count="15">
    <cellStyle name="Enter Info" xfId="1"/>
    <cellStyle name="Hyperlink 2" xfId="13"/>
    <cellStyle name="Normal" xfId="0" builtinId="0" customBuiltin="1"/>
    <cellStyle name="Normal 2" xfId="8"/>
    <cellStyle name="PCA Body Text" xfId="2"/>
    <cellStyle name="PCA Body Text 2" xfId="11"/>
    <cellStyle name="PCA Heading 1" xfId="14"/>
    <cellStyle name="PCA Heading 2" xfId="3"/>
    <cellStyle name="PCA Heading 2 2" xfId="10"/>
    <cellStyle name="PCA Heading 3" xfId="4"/>
    <cellStyle name="PCA Hyperlink" xfId="5"/>
    <cellStyle name="PCA Hyperlink 2" xfId="12"/>
    <cellStyle name="PCA Title" xfId="6"/>
    <cellStyle name="PCA Title 2" xfId="9"/>
    <cellStyle name="Standard Values" xfId="7"/>
  </cellStyles>
  <dxfs count="8">
    <dxf>
      <font>
        <b/>
        <i val="0"/>
        <color rgb="FFFF0000"/>
      </font>
      <fill>
        <patternFill>
          <bgColor rgb="FFFFC9C9"/>
        </patternFill>
      </fill>
    </dxf>
    <dxf>
      <font>
        <b/>
        <i val="0"/>
        <color rgb="FFFF0000"/>
      </font>
      <fill>
        <patternFill patternType="solid">
          <bgColor rgb="FFFFC9C9"/>
        </patternFill>
      </fill>
    </dxf>
    <dxf>
      <font>
        <b/>
        <i val="0"/>
        <color rgb="FFFF0000"/>
      </font>
      <fill>
        <patternFill>
          <bgColor rgb="FFFFC9C9"/>
        </patternFill>
      </fill>
    </dxf>
    <dxf>
      <font>
        <b/>
        <i val="0"/>
        <color rgb="FFFF0000"/>
      </font>
      <fill>
        <patternFill patternType="solid">
          <bgColor rgb="FFFFC9C9"/>
        </patternFill>
      </fill>
    </dxf>
    <dxf>
      <font>
        <b/>
        <i val="0"/>
        <color rgb="FFFF0000"/>
      </font>
      <fill>
        <patternFill>
          <bgColor rgb="FFFFC9C9"/>
        </patternFill>
      </fill>
    </dxf>
    <dxf>
      <font>
        <b/>
        <i val="0"/>
        <color rgb="FFFF0000"/>
      </font>
      <fill>
        <patternFill patternType="solid">
          <bgColor rgb="FFFFC9C9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"/>
      <tableStyleElement type="headerRow" dxfId="6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EAA"/>
      <rgbColor rgb="FFA5B592"/>
      <rgbColor rgb="FF808080"/>
      <rgbColor rgb="FF9999FF"/>
      <rgbColor rgb="FF993366"/>
      <rgbColor rgb="FFFFFFCC"/>
      <rgbColor rgb="FFD1EA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AF8D8"/>
      <rgbColor rgb="FFFFEDC1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E58B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EAFF"/>
      <color rgb="FFFF33CC"/>
      <color rgb="FFFFEDC1"/>
      <color rgb="FF008EAA"/>
      <color rgb="FF0000FF"/>
      <color rgb="FFE2EFDA"/>
      <color rgb="FFFFC9C9"/>
      <color rgb="FFFFFFFF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533400</xdr:colOff>
      <xdr:row>1</xdr:row>
      <xdr:rowOff>133350</xdr:rowOff>
    </xdr:to>
    <xdr:pic>
      <xdr:nvPicPr>
        <xdr:cNvPr id="2" name="Picture 1" descr="Minnesota Pollution Control Agency (MPCA), 520 Lafayette Road North, St. Paul, MN 55155-4194" title="Image of MPCA logo with St. Paul office addre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95250"/>
          <a:ext cx="23907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38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286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8</xdr:col>
      <xdr:colOff>419100</xdr:colOff>
      <xdr:row>39</xdr:row>
      <xdr:rowOff>9525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2755900" y="952500"/>
          <a:ext cx="8255000" cy="6486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ca.state.mn.us/smallbizhelp" TargetMode="External"/><Relationship Id="rId1" Type="http://schemas.openxmlformats.org/officeDocument/2006/relationships/hyperlink" Target="mailto:smallbizhelp.pca@state.mn.u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visor.mn.gov/rules/7007.130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3.epa.gov/ttn/chief/ap42/ch07/final/ch07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  <pageSetUpPr fitToPage="1"/>
  </sheetPr>
  <dimension ref="B1:O27"/>
  <sheetViews>
    <sheetView showGridLines="0" tabSelected="1" zoomScaleNormal="100" zoomScaleSheetLayoutView="100" workbookViewId="0">
      <selection activeCell="B4" sqref="B4:O4"/>
    </sheetView>
  </sheetViews>
  <sheetFormatPr defaultColWidth="9.1796875" defaultRowHeight="14.5" x14ac:dyDescent="0.35"/>
  <cols>
    <col min="1" max="1" width="3.1796875" style="5" customWidth="1"/>
    <col min="2" max="15" width="9.54296875" style="5" customWidth="1"/>
    <col min="16" max="16384" width="9.1796875" style="5"/>
  </cols>
  <sheetData>
    <row r="1" spans="2:15" ht="51" customHeight="1" x14ac:dyDescent="0.35">
      <c r="B1" s="189"/>
      <c r="C1" s="189"/>
      <c r="D1" s="189"/>
      <c r="E1" s="189"/>
      <c r="F1" s="189"/>
      <c r="G1" s="190" t="s">
        <v>304</v>
      </c>
      <c r="H1" s="190"/>
      <c r="I1" s="190"/>
      <c r="J1" s="190"/>
      <c r="K1" s="190"/>
      <c r="L1" s="190"/>
      <c r="M1" s="190"/>
      <c r="N1" s="190"/>
      <c r="O1" s="190"/>
    </row>
    <row r="2" spans="2:15" ht="16.5" customHeight="1" x14ac:dyDescent="0.35">
      <c r="B2" s="189"/>
      <c r="C2" s="189"/>
      <c r="D2" s="189"/>
      <c r="E2" s="189"/>
      <c r="F2" s="189"/>
      <c r="G2" s="6"/>
      <c r="H2" s="191" t="s">
        <v>368</v>
      </c>
      <c r="I2" s="191"/>
      <c r="J2" s="191"/>
      <c r="K2" s="191"/>
      <c r="L2" s="191"/>
      <c r="M2" s="191"/>
      <c r="N2" s="191"/>
      <c r="O2" s="191"/>
    </row>
    <row r="3" spans="2:15" x14ac:dyDescent="0.35">
      <c r="B3" s="189"/>
      <c r="C3" s="189"/>
      <c r="D3" s="189"/>
      <c r="E3" s="189"/>
      <c r="F3" s="189"/>
      <c r="G3" s="6"/>
      <c r="H3" s="191"/>
      <c r="I3" s="191"/>
      <c r="J3" s="191"/>
      <c r="K3" s="191"/>
      <c r="L3" s="191"/>
      <c r="M3" s="191"/>
      <c r="N3" s="191"/>
      <c r="O3" s="191"/>
    </row>
    <row r="4" spans="2:15" ht="18.5" x14ac:dyDescent="0.35">
      <c r="B4" s="185" t="s">
        <v>35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2:15" s="7" customFormat="1" ht="15" customHeight="1" x14ac:dyDescent="0.25">
      <c r="B5" s="192" t="s">
        <v>219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s="7" customFormat="1" ht="15" customHeight="1" x14ac:dyDescent="0.25">
      <c r="B6" s="8" t="s">
        <v>36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s="7" customFormat="1" ht="15" customHeight="1" x14ac:dyDescent="0.25">
      <c r="B7" s="182" t="s">
        <v>292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</row>
    <row r="8" spans="2:15" s="7" customFormat="1" ht="15" customHeight="1" x14ac:dyDescent="0.25">
      <c r="B8" s="186" t="s">
        <v>37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</row>
    <row r="9" spans="2:15" s="7" customFormat="1" ht="15" customHeight="1" x14ac:dyDescent="0.25">
      <c r="B9" s="186" t="s">
        <v>38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</row>
    <row r="10" spans="2:15" ht="15" customHeight="1" x14ac:dyDescent="0.35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2:15" ht="15" customHeight="1" x14ac:dyDescent="0.35"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</row>
    <row r="12" spans="2:15" ht="18.5" x14ac:dyDescent="0.35">
      <c r="B12" s="185" t="s">
        <v>39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</row>
    <row r="13" spans="2:15" s="7" customFormat="1" ht="15" customHeight="1" x14ac:dyDescent="0.25">
      <c r="B13" s="9" t="s">
        <v>0</v>
      </c>
      <c r="C13" s="184" t="s">
        <v>1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</row>
    <row r="14" spans="2:15" s="7" customFormat="1" ht="15" customHeight="1" x14ac:dyDescent="0.25">
      <c r="B14" s="10" t="s">
        <v>3</v>
      </c>
      <c r="C14" s="184" t="s">
        <v>40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</row>
    <row r="15" spans="2:15" s="7" customFormat="1" ht="15" customHeight="1" x14ac:dyDescent="0.25">
      <c r="B15" s="11" t="s">
        <v>4</v>
      </c>
      <c r="C15" s="184" t="s">
        <v>5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</row>
    <row r="16" spans="2:15" s="7" customFormat="1" ht="15" customHeight="1" x14ac:dyDescent="0.25">
      <c r="B16" s="12" t="s">
        <v>6</v>
      </c>
      <c r="C16" s="184" t="s">
        <v>41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</row>
    <row r="17" spans="2:15" s="7" customFormat="1" ht="15" customHeight="1" x14ac:dyDescent="0.25">
      <c r="B17" s="13" t="s">
        <v>2</v>
      </c>
      <c r="C17" s="184" t="s">
        <v>42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</row>
    <row r="18" spans="2:15" s="7" customFormat="1" ht="15" customHeight="1" x14ac:dyDescent="0.25">
      <c r="B18" s="14" t="s">
        <v>7</v>
      </c>
      <c r="C18" s="188" t="s">
        <v>8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</row>
    <row r="19" spans="2:15" ht="15" customHeight="1" x14ac:dyDescent="0.35"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5"/>
    </row>
    <row r="20" spans="2:15" ht="15" customHeight="1" x14ac:dyDescent="0.35"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5"/>
    </row>
    <row r="21" spans="2:15" ht="18.5" x14ac:dyDescent="0.35">
      <c r="B21" s="185" t="s">
        <v>9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</row>
    <row r="22" spans="2:15" s="7" customFormat="1" ht="15" customHeight="1" x14ac:dyDescent="0.25">
      <c r="B22" s="182" t="s">
        <v>43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2:15" s="7" customFormat="1" ht="15" customHeight="1" x14ac:dyDescent="0.25">
      <c r="B23" s="182" t="s">
        <v>10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</row>
    <row r="24" spans="2:15" s="7" customFormat="1" ht="15" customHeight="1" x14ac:dyDescent="0.25">
      <c r="B24" s="16" t="s">
        <v>11</v>
      </c>
      <c r="C24" s="182" t="s">
        <v>44</v>
      </c>
      <c r="D24" s="182"/>
      <c r="E24" s="16" t="s">
        <v>12</v>
      </c>
      <c r="F24" s="183" t="s">
        <v>13</v>
      </c>
      <c r="G24" s="183"/>
      <c r="H24" s="183"/>
      <c r="I24" s="183"/>
    </row>
    <row r="25" spans="2:15" s="7" customFormat="1" ht="15" customHeight="1" x14ac:dyDescent="0.25">
      <c r="B25" s="8"/>
      <c r="C25" s="182" t="s">
        <v>45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</row>
    <row r="26" spans="2:15" s="7" customFormat="1" ht="15" customHeight="1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2:15" ht="15" customHeight="1" x14ac:dyDescent="0.35">
      <c r="B27" s="7" t="s">
        <v>14</v>
      </c>
      <c r="E27" s="183" t="s">
        <v>15</v>
      </c>
      <c r="F27" s="183"/>
      <c r="G27" s="183"/>
      <c r="H27" s="183"/>
      <c r="I27" s="183"/>
    </row>
  </sheetData>
  <mergeCells count="26">
    <mergeCell ref="B7:O7"/>
    <mergeCell ref="B1:F3"/>
    <mergeCell ref="G1:O1"/>
    <mergeCell ref="H2:O3"/>
    <mergeCell ref="B4:O4"/>
    <mergeCell ref="B5:O5"/>
    <mergeCell ref="B19:N19"/>
    <mergeCell ref="B8:O8"/>
    <mergeCell ref="B9:O9"/>
    <mergeCell ref="B10:O11"/>
    <mergeCell ref="B12:O12"/>
    <mergeCell ref="C13:O13"/>
    <mergeCell ref="C14:O14"/>
    <mergeCell ref="C15:O15"/>
    <mergeCell ref="C16:O16"/>
    <mergeCell ref="C17:O17"/>
    <mergeCell ref="C18:O18"/>
    <mergeCell ref="C25:D25"/>
    <mergeCell ref="E25:O25"/>
    <mergeCell ref="E27:I27"/>
    <mergeCell ref="B20:N20"/>
    <mergeCell ref="B21:O21"/>
    <mergeCell ref="B22:O22"/>
    <mergeCell ref="B23:O23"/>
    <mergeCell ref="C24:D24"/>
    <mergeCell ref="F24:I24"/>
  </mergeCells>
  <hyperlinks>
    <hyperlink ref="F24" r:id="rId1"/>
    <hyperlink ref="E27" r:id="rId2"/>
  </hyperlinks>
  <pageMargins left="0.25" right="0.25" top="0.5" bottom="0.5" header="0.3" footer="0.3"/>
  <pageSetup orientation="landscape" r:id="rId3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  <firstFooter>&amp;L&amp;10Hot mix asphalt calculator - Instructions&amp;R&amp;10&amp;P</first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D1EAFF"/>
    <pageSetUpPr fitToPage="1"/>
  </sheetPr>
  <dimension ref="B1:K35"/>
  <sheetViews>
    <sheetView showGridLines="0" zoomScaleNormal="100" workbookViewId="0">
      <selection activeCell="B28" sqref="B28:C28"/>
    </sheetView>
  </sheetViews>
  <sheetFormatPr defaultRowHeight="15" customHeight="1" x14ac:dyDescent="0.25"/>
  <cols>
    <col min="1" max="1" width="3.453125" customWidth="1"/>
    <col min="2" max="2" width="5.54296875" customWidth="1"/>
    <col min="3" max="3" width="13.1796875" customWidth="1"/>
    <col min="4" max="4" width="13.54296875" customWidth="1"/>
    <col min="5" max="5" width="14.1796875" customWidth="1"/>
    <col min="6" max="6" width="13.1796875" customWidth="1"/>
    <col min="7" max="7" width="21.1796875" customWidth="1"/>
    <col min="8" max="9" width="11.1796875" customWidth="1"/>
    <col min="10" max="10" width="26.1796875" customWidth="1"/>
    <col min="11" max="11" width="8.81640625" customWidth="1"/>
    <col min="12" max="1029" width="9.81640625" customWidth="1"/>
  </cols>
  <sheetData>
    <row r="1" spans="2:10" ht="15" customHeight="1" x14ac:dyDescent="0.25">
      <c r="J1" s="87" t="str">
        <f>Instructions!H2</f>
        <v>p-sbap5-42v  •  7/13/20</v>
      </c>
    </row>
    <row r="2" spans="2:10" ht="19" thickBot="1" x14ac:dyDescent="0.3">
      <c r="B2" s="205" t="s">
        <v>217</v>
      </c>
      <c r="C2" s="205"/>
      <c r="D2" s="205"/>
      <c r="E2" s="205"/>
      <c r="F2" s="205"/>
      <c r="G2" s="205"/>
      <c r="H2" s="205"/>
      <c r="I2" s="205"/>
      <c r="J2" s="205"/>
    </row>
    <row r="3" spans="2:10" ht="15" customHeight="1" x14ac:dyDescent="0.25">
      <c r="B3" s="206" t="s">
        <v>231</v>
      </c>
      <c r="C3" s="206"/>
      <c r="D3" s="206"/>
      <c r="E3" s="206"/>
      <c r="F3" s="206"/>
      <c r="G3" s="183" t="s">
        <v>348</v>
      </c>
      <c r="H3" s="183"/>
      <c r="I3" s="183"/>
      <c r="J3" s="171"/>
    </row>
    <row r="5" spans="2:10" ht="15" customHeight="1" x14ac:dyDescent="0.3">
      <c r="B5" s="197" t="s">
        <v>220</v>
      </c>
      <c r="C5" s="197"/>
      <c r="D5" s="197"/>
      <c r="E5" s="197"/>
      <c r="F5" s="197"/>
      <c r="G5" s="197"/>
      <c r="H5" s="197"/>
      <c r="I5" s="197"/>
      <c r="J5" s="197"/>
    </row>
    <row r="6" spans="2:10" ht="15" customHeight="1" x14ac:dyDescent="0.25">
      <c r="B6" s="198" t="s">
        <v>235</v>
      </c>
      <c r="C6" s="198"/>
      <c r="D6" s="198"/>
      <c r="E6" s="198"/>
      <c r="F6" s="198"/>
      <c r="G6" s="198"/>
      <c r="H6" s="198"/>
      <c r="I6" s="198"/>
      <c r="J6" s="198"/>
    </row>
    <row r="7" spans="2:10" ht="15" customHeight="1" x14ac:dyDescent="0.25">
      <c r="B7" s="86" t="s">
        <v>221</v>
      </c>
      <c r="C7" s="195" t="s">
        <v>226</v>
      </c>
      <c r="D7" s="195"/>
      <c r="E7" s="195"/>
      <c r="F7" s="195"/>
      <c r="G7" s="195"/>
      <c r="H7" s="195"/>
      <c r="I7" s="195"/>
      <c r="J7" s="195"/>
    </row>
    <row r="8" spans="2:10" ht="15" customHeight="1" x14ac:dyDescent="0.25">
      <c r="B8" s="86" t="s">
        <v>222</v>
      </c>
      <c r="C8" s="195" t="s">
        <v>227</v>
      </c>
      <c r="D8" s="195"/>
      <c r="E8" s="195"/>
      <c r="F8" s="195"/>
      <c r="G8" s="195"/>
      <c r="H8" s="195"/>
      <c r="I8" s="195"/>
      <c r="J8" s="195"/>
    </row>
    <row r="9" spans="2:10" ht="15" customHeight="1" x14ac:dyDescent="0.25">
      <c r="B9" s="86" t="s">
        <v>223</v>
      </c>
      <c r="C9" s="195" t="s">
        <v>228</v>
      </c>
      <c r="D9" s="195"/>
      <c r="E9" s="195"/>
      <c r="F9" s="195"/>
      <c r="G9" s="195"/>
      <c r="H9" s="195"/>
      <c r="I9" s="195"/>
      <c r="J9" s="195"/>
    </row>
    <row r="10" spans="2:10" ht="15" customHeight="1" x14ac:dyDescent="0.25">
      <c r="B10" s="86" t="s">
        <v>224</v>
      </c>
      <c r="C10" s="195" t="s">
        <v>229</v>
      </c>
      <c r="D10" s="195"/>
      <c r="E10" s="195"/>
      <c r="F10" s="195"/>
      <c r="G10" s="195"/>
      <c r="H10" s="195"/>
      <c r="I10" s="195"/>
      <c r="J10" s="195"/>
    </row>
    <row r="11" spans="2:10" ht="15" customHeight="1" x14ac:dyDescent="0.25">
      <c r="B11" s="86" t="s">
        <v>225</v>
      </c>
      <c r="C11" s="195" t="s">
        <v>232</v>
      </c>
      <c r="D11" s="195"/>
      <c r="E11" s="195"/>
      <c r="F11" s="195"/>
      <c r="G11" s="195"/>
      <c r="H11" s="195"/>
      <c r="I11" s="195"/>
      <c r="J11" s="195"/>
    </row>
    <row r="13" spans="2:10" ht="15" customHeight="1" x14ac:dyDescent="0.3">
      <c r="B13" s="197" t="s">
        <v>293</v>
      </c>
      <c r="C13" s="197"/>
      <c r="D13" s="197"/>
      <c r="E13" s="197"/>
      <c r="F13" s="197"/>
      <c r="G13" s="197"/>
      <c r="H13" s="197"/>
      <c r="I13" s="197"/>
      <c r="J13" s="197"/>
    </row>
    <row r="14" spans="2:10" ht="15" customHeight="1" x14ac:dyDescent="0.25">
      <c r="B14" s="198" t="s">
        <v>236</v>
      </c>
      <c r="C14" s="198"/>
      <c r="D14" s="198"/>
      <c r="E14" s="198"/>
      <c r="F14" s="198"/>
      <c r="G14" s="198"/>
      <c r="H14" s="198"/>
      <c r="I14" s="198"/>
      <c r="J14" s="198"/>
    </row>
    <row r="15" spans="2:10" ht="15" customHeight="1" x14ac:dyDescent="0.25">
      <c r="B15" s="86" t="s">
        <v>221</v>
      </c>
      <c r="C15" s="195" t="s">
        <v>230</v>
      </c>
      <c r="D15" s="195"/>
      <c r="E15" s="195"/>
      <c r="F15" s="195"/>
      <c r="G15" s="195"/>
      <c r="H15" s="195"/>
      <c r="I15" s="195"/>
      <c r="J15" s="195"/>
    </row>
    <row r="16" spans="2:10" ht="15" customHeight="1" x14ac:dyDescent="0.25">
      <c r="B16" s="86" t="s">
        <v>222</v>
      </c>
      <c r="C16" s="196" t="s">
        <v>294</v>
      </c>
      <c r="D16" s="196"/>
      <c r="E16" s="196"/>
      <c r="F16" s="196"/>
      <c r="G16" s="196"/>
      <c r="H16" s="196"/>
      <c r="I16" s="196"/>
      <c r="J16" s="196"/>
    </row>
    <row r="17" spans="2:11" ht="15" customHeight="1" x14ac:dyDescent="0.25">
      <c r="C17" s="196"/>
      <c r="D17" s="196"/>
      <c r="E17" s="196"/>
      <c r="F17" s="196"/>
      <c r="G17" s="196"/>
      <c r="H17" s="196"/>
      <c r="I17" s="196"/>
      <c r="J17" s="196"/>
    </row>
    <row r="19" spans="2:11" ht="15" customHeight="1" x14ac:dyDescent="0.3">
      <c r="B19" s="197" t="s">
        <v>349</v>
      </c>
      <c r="C19" s="197"/>
      <c r="D19" s="197"/>
      <c r="E19" s="197"/>
      <c r="F19" s="197"/>
      <c r="G19" s="197"/>
      <c r="H19" s="197"/>
      <c r="I19" s="197"/>
      <c r="J19" s="197"/>
    </row>
    <row r="20" spans="2:11" ht="15" customHeight="1" x14ac:dyDescent="0.25">
      <c r="B20" s="198" t="s">
        <v>350</v>
      </c>
      <c r="C20" s="198"/>
      <c r="D20" s="198"/>
      <c r="E20" s="198"/>
      <c r="F20" s="198"/>
      <c r="G20" s="198"/>
      <c r="H20" s="198"/>
      <c r="I20" s="198"/>
      <c r="J20" s="198"/>
    </row>
    <row r="21" spans="2:11" ht="15" customHeight="1" x14ac:dyDescent="0.25">
      <c r="B21" s="86" t="s">
        <v>221</v>
      </c>
      <c r="C21" s="173" t="s">
        <v>351</v>
      </c>
    </row>
    <row r="22" spans="2:11" ht="15" customHeight="1" x14ac:dyDescent="0.25">
      <c r="B22" s="86" t="s">
        <v>222</v>
      </c>
      <c r="C22" s="196" t="s">
        <v>352</v>
      </c>
      <c r="D22" s="196"/>
      <c r="E22" s="196"/>
      <c r="F22" s="196"/>
      <c r="G22" s="196"/>
      <c r="H22" s="196"/>
      <c r="I22" s="196"/>
      <c r="J22" s="196"/>
    </row>
    <row r="23" spans="2:11" ht="15" customHeight="1" x14ac:dyDescent="0.25">
      <c r="B23" s="86"/>
      <c r="C23" s="196"/>
      <c r="D23" s="196"/>
      <c r="E23" s="196"/>
      <c r="F23" s="196"/>
      <c r="G23" s="196"/>
      <c r="H23" s="196"/>
      <c r="I23" s="196"/>
      <c r="J23" s="196"/>
    </row>
    <row r="24" spans="2:11" ht="15" customHeight="1" x14ac:dyDescent="0.4">
      <c r="B24" s="86" t="s">
        <v>223</v>
      </c>
      <c r="C24" t="s">
        <v>353</v>
      </c>
    </row>
    <row r="26" spans="2:11" s="1" customFormat="1" ht="15" customHeight="1" x14ac:dyDescent="0.25">
      <c r="B26" s="199" t="s">
        <v>354</v>
      </c>
      <c r="C26" s="200"/>
      <c r="D26" s="200" t="s">
        <v>16</v>
      </c>
      <c r="E26" s="203" t="s">
        <v>25</v>
      </c>
      <c r="F26" s="203" t="s">
        <v>20</v>
      </c>
      <c r="G26" s="203" t="s">
        <v>24</v>
      </c>
      <c r="H26" s="203" t="s">
        <v>23</v>
      </c>
      <c r="I26" s="203" t="s">
        <v>218</v>
      </c>
      <c r="J26" s="203" t="s">
        <v>21</v>
      </c>
      <c r="K26" s="92"/>
    </row>
    <row r="27" spans="2:11" s="1" customFormat="1" ht="15" customHeight="1" x14ac:dyDescent="0.25">
      <c r="B27" s="201"/>
      <c r="C27" s="202"/>
      <c r="D27" s="202"/>
      <c r="E27" s="204"/>
      <c r="F27" s="204"/>
      <c r="G27" s="204"/>
      <c r="H27" s="204"/>
      <c r="I27" s="204"/>
      <c r="J27" s="204"/>
    </row>
    <row r="28" spans="2:11" s="1" customFormat="1" ht="15" customHeight="1" x14ac:dyDescent="0.25">
      <c r="B28" s="193"/>
      <c r="C28" s="194"/>
      <c r="D28" s="170"/>
      <c r="E28" s="89"/>
      <c r="F28" s="89"/>
      <c r="G28" s="89"/>
      <c r="H28" s="89"/>
      <c r="I28" s="89"/>
      <c r="J28" s="88"/>
    </row>
    <row r="29" spans="2:11" s="1" customFormat="1" ht="15" customHeight="1" x14ac:dyDescent="0.25">
      <c r="B29" s="193"/>
      <c r="C29" s="194"/>
      <c r="D29" s="170"/>
      <c r="E29" s="89"/>
      <c r="F29" s="89"/>
      <c r="G29" s="89"/>
      <c r="H29" s="89"/>
      <c r="I29" s="89"/>
      <c r="J29" s="88"/>
    </row>
    <row r="30" spans="2:11" s="1" customFormat="1" ht="15" customHeight="1" x14ac:dyDescent="0.25">
      <c r="B30" s="193"/>
      <c r="C30" s="194"/>
      <c r="D30" s="170"/>
      <c r="E30" s="89"/>
      <c r="F30" s="89"/>
      <c r="G30" s="89"/>
      <c r="H30" s="89"/>
      <c r="I30" s="89"/>
      <c r="J30" s="88"/>
    </row>
    <row r="31" spans="2:11" s="1" customFormat="1" ht="15" customHeight="1" x14ac:dyDescent="0.25">
      <c r="B31" s="193"/>
      <c r="C31" s="194"/>
      <c r="D31" s="170"/>
      <c r="E31" s="89"/>
      <c r="F31" s="89"/>
      <c r="G31" s="89"/>
      <c r="H31" s="89"/>
      <c r="I31" s="89"/>
      <c r="J31" s="88"/>
    </row>
    <row r="32" spans="2:11" s="1" customFormat="1" ht="15" customHeight="1" x14ac:dyDescent="0.25">
      <c r="B32" s="193"/>
      <c r="C32" s="194"/>
      <c r="D32" s="170"/>
      <c r="E32" s="89"/>
      <c r="F32" s="89"/>
      <c r="G32" s="89"/>
      <c r="H32" s="89"/>
      <c r="I32" s="89"/>
      <c r="J32" s="88"/>
    </row>
    <row r="33" spans="2:10" s="1" customFormat="1" ht="15" customHeight="1" x14ac:dyDescent="0.25">
      <c r="B33" s="193"/>
      <c r="C33" s="194"/>
      <c r="D33" s="170"/>
      <c r="E33" s="89"/>
      <c r="F33" s="89"/>
      <c r="G33" s="89"/>
      <c r="H33" s="89"/>
      <c r="I33" s="89"/>
      <c r="J33" s="88"/>
    </row>
    <row r="34" spans="2:10" s="1" customFormat="1" ht="15" customHeight="1" x14ac:dyDescent="0.25">
      <c r="B34" s="193"/>
      <c r="C34" s="194"/>
      <c r="D34" s="170"/>
      <c r="E34" s="89"/>
      <c r="F34" s="89"/>
      <c r="G34" s="89"/>
      <c r="H34" s="89"/>
      <c r="I34" s="89"/>
      <c r="J34" s="88"/>
    </row>
    <row r="35" spans="2:10" s="1" customFormat="1" ht="15" customHeight="1" x14ac:dyDescent="0.25">
      <c r="B35" s="193"/>
      <c r="C35" s="194"/>
      <c r="D35" s="170"/>
      <c r="E35" s="89"/>
      <c r="F35" s="89"/>
      <c r="G35" s="89"/>
      <c r="H35" s="89"/>
      <c r="I35" s="89"/>
      <c r="J35" s="88"/>
    </row>
  </sheetData>
  <mergeCells count="33">
    <mergeCell ref="B14:J14"/>
    <mergeCell ref="B2:J2"/>
    <mergeCell ref="B3:F3"/>
    <mergeCell ref="G3:I3"/>
    <mergeCell ref="B5:J5"/>
    <mergeCell ref="B6:J6"/>
    <mergeCell ref="C7:J7"/>
    <mergeCell ref="C8:J8"/>
    <mergeCell ref="C9:J9"/>
    <mergeCell ref="C10:J10"/>
    <mergeCell ref="C11:J11"/>
    <mergeCell ref="B13:J13"/>
    <mergeCell ref="B30:C30"/>
    <mergeCell ref="C15:J15"/>
    <mergeCell ref="C16:J17"/>
    <mergeCell ref="B19:J19"/>
    <mergeCell ref="B20:J20"/>
    <mergeCell ref="C22:J23"/>
    <mergeCell ref="B26:C27"/>
    <mergeCell ref="D26:D27"/>
    <mergeCell ref="E26:E27"/>
    <mergeCell ref="F26:F27"/>
    <mergeCell ref="G26:G27"/>
    <mergeCell ref="H26:H27"/>
    <mergeCell ref="I26:I27"/>
    <mergeCell ref="J26:J27"/>
    <mergeCell ref="B28:C28"/>
    <mergeCell ref="B29:C29"/>
    <mergeCell ref="B31:C31"/>
    <mergeCell ref="B32:C32"/>
    <mergeCell ref="B33:C33"/>
    <mergeCell ref="B34:C34"/>
    <mergeCell ref="B35:C35"/>
  </mergeCells>
  <hyperlinks>
    <hyperlink ref="G3:H3" r:id="rId1" display="Minn. R. 7007.1300, subp. 2(E) and 3(C)"/>
  </hyperlinks>
  <pageMargins left="0.7" right="0.7" top="0.75" bottom="0.75" header="0.51180555555555496" footer="0.51180555555555496"/>
  <pageSetup scale="96" firstPageNumber="0" fitToHeight="0" orientation="landscape" horizontalDpi="300" verticalDpi="300" r:id="rId2"/>
  <headerFooter>
    <oddFooter>&amp;L&amp;"Arial,Italic"&amp;8p-sbap5-42h&amp;C&amp;"Arial,Italic"&amp;8https://www.pca.state.mn.us  •  Available in alternative formats  •  Use your preferred relay service&amp;R&amp;"Arial,Italic"&amp;8Page &amp;P of &amp;N</oddFooter>
  </headerFooter>
  <ignoredErrors>
    <ignoredError sqref="B7:B11 B15:B16 B21:B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D1EAFF"/>
  </sheetPr>
  <dimension ref="B1:M88"/>
  <sheetViews>
    <sheetView showGridLines="0" zoomScaleNormal="100" zoomScaleSheetLayoutView="7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6.1796875" customWidth="1"/>
    <col min="3" max="3" width="5" customWidth="1"/>
    <col min="4" max="4" width="20.81640625" customWidth="1"/>
    <col min="5" max="5" width="18.1796875" customWidth="1"/>
    <col min="6" max="8" width="22.81640625" customWidth="1"/>
    <col min="9" max="12" width="20.1796875" customWidth="1"/>
    <col min="13" max="13" width="8.81640625" customWidth="1"/>
    <col min="14" max="1024" width="9.81640625" customWidth="1"/>
  </cols>
  <sheetData>
    <row r="1" spans="2:13" ht="15" customHeight="1" x14ac:dyDescent="0.25">
      <c r="E1" s="87" t="str">
        <f>Instructions!H2</f>
        <v>p-sbap5-42v  •  7/13/20</v>
      </c>
      <c r="F1" s="96"/>
      <c r="G1" s="96"/>
      <c r="H1" s="96"/>
      <c r="I1" s="96"/>
      <c r="J1" s="96"/>
      <c r="K1" s="96"/>
      <c r="L1" s="96"/>
      <c r="M1" s="96"/>
    </row>
    <row r="2" spans="2:13" ht="15" customHeight="1" thickBot="1" x14ac:dyDescent="0.3">
      <c r="B2" s="226" t="s">
        <v>87</v>
      </c>
      <c r="C2" s="226"/>
      <c r="D2" s="226"/>
      <c r="E2" s="226"/>
      <c r="F2" s="18"/>
      <c r="G2" s="18"/>
      <c r="H2" s="18"/>
      <c r="I2" s="18"/>
      <c r="J2" s="18"/>
      <c r="K2" s="18"/>
      <c r="L2" s="18"/>
      <c r="M2" s="96"/>
    </row>
    <row r="3" spans="2:13" ht="15" customHeight="1" x14ac:dyDescent="0.25">
      <c r="B3" s="227" t="s">
        <v>132</v>
      </c>
      <c r="C3" s="227"/>
      <c r="F3" s="96"/>
      <c r="G3" s="96"/>
      <c r="H3" s="96"/>
      <c r="I3" s="96"/>
      <c r="J3" s="96"/>
      <c r="K3" s="96"/>
      <c r="L3" s="96"/>
      <c r="M3" s="96"/>
    </row>
    <row r="5" spans="2:13" s="104" customFormat="1" ht="15" customHeight="1" x14ac:dyDescent="0.25">
      <c r="B5" s="228" t="s">
        <v>46</v>
      </c>
      <c r="C5" s="228"/>
    </row>
    <row r="6" spans="2:13" s="104" customFormat="1" ht="15" customHeight="1" x14ac:dyDescent="0.25">
      <c r="C6" s="49" t="s">
        <v>47</v>
      </c>
      <c r="D6" s="229"/>
      <c r="E6" s="229"/>
    </row>
    <row r="7" spans="2:13" s="104" customFormat="1" ht="15" customHeight="1" x14ac:dyDescent="0.25">
      <c r="C7" s="49" t="s">
        <v>17</v>
      </c>
      <c r="D7" s="229"/>
      <c r="E7" s="229"/>
    </row>
    <row r="8" spans="2:13" s="104" customFormat="1" ht="15" customHeight="1" x14ac:dyDescent="0.25">
      <c r="C8" s="49" t="s">
        <v>48</v>
      </c>
      <c r="D8" s="224"/>
      <c r="E8" s="225"/>
    </row>
    <row r="9" spans="2:13" s="70" customFormat="1" ht="15" customHeight="1" x14ac:dyDescent="0.25">
      <c r="C9" s="51"/>
      <c r="D9" s="100"/>
      <c r="E9" s="38"/>
    </row>
    <row r="10" spans="2:13" s="104" customFormat="1" ht="15" customHeight="1" x14ac:dyDescent="0.25">
      <c r="B10" s="218" t="s">
        <v>56</v>
      </c>
      <c r="C10" s="218"/>
      <c r="D10" s="105" t="s">
        <v>18</v>
      </c>
      <c r="E10" s="105" t="s">
        <v>57</v>
      </c>
      <c r="F10" s="58" t="s">
        <v>17</v>
      </c>
      <c r="G10" s="59"/>
      <c r="H10" s="59"/>
      <c r="I10" s="58" t="s">
        <v>162</v>
      </c>
      <c r="J10" s="59"/>
      <c r="K10" s="59"/>
      <c r="L10" s="59"/>
    </row>
    <row r="11" spans="2:13" s="104" customFormat="1" ht="15" customHeight="1" x14ac:dyDescent="0.25">
      <c r="C11" s="49" t="s">
        <v>49</v>
      </c>
      <c r="D11" s="48" t="s">
        <v>233</v>
      </c>
      <c r="E11" s="133" t="s">
        <v>244</v>
      </c>
      <c r="F11" s="219" t="s">
        <v>243</v>
      </c>
      <c r="G11" s="219"/>
      <c r="H11" s="219"/>
      <c r="I11" s="219" t="s">
        <v>256</v>
      </c>
      <c r="J11" s="219"/>
      <c r="K11" s="219"/>
      <c r="L11" s="219"/>
    </row>
    <row r="12" spans="2:13" s="104" customFormat="1" ht="15" customHeight="1" x14ac:dyDescent="0.25">
      <c r="B12" s="179"/>
      <c r="C12" s="49" t="s">
        <v>65</v>
      </c>
      <c r="D12" s="169" t="s">
        <v>233</v>
      </c>
      <c r="E12" s="40" t="s">
        <v>75</v>
      </c>
      <c r="F12" s="212" t="s">
        <v>159</v>
      </c>
      <c r="G12" s="212"/>
      <c r="H12" s="212"/>
      <c r="I12" s="208" t="s">
        <v>255</v>
      </c>
      <c r="J12" s="208"/>
      <c r="K12" s="208"/>
      <c r="L12" s="208"/>
    </row>
    <row r="13" spans="2:13" s="104" customFormat="1" ht="15" customHeight="1" x14ac:dyDescent="0.25">
      <c r="C13" s="49" t="s">
        <v>51</v>
      </c>
      <c r="D13" s="53">
        <v>0</v>
      </c>
      <c r="E13" s="50" t="s">
        <v>52</v>
      </c>
      <c r="F13" s="220" t="s">
        <v>254</v>
      </c>
      <c r="G13" s="220"/>
      <c r="H13" s="220"/>
    </row>
    <row r="14" spans="2:13" s="104" customFormat="1" ht="15" customHeight="1" x14ac:dyDescent="0.25">
      <c r="C14" s="49" t="s">
        <v>53</v>
      </c>
      <c r="D14" s="45">
        <v>0</v>
      </c>
      <c r="E14" s="50" t="s">
        <v>54</v>
      </c>
      <c r="F14" s="221" t="s">
        <v>253</v>
      </c>
      <c r="G14" s="221"/>
      <c r="H14" s="221"/>
      <c r="I14" s="54"/>
      <c r="J14" s="54"/>
      <c r="K14" s="54"/>
      <c r="L14" s="54"/>
    </row>
    <row r="15" spans="2:13" s="104" customFormat="1" ht="15" customHeight="1" x14ac:dyDescent="0.25">
      <c r="C15" s="49" t="s">
        <v>50</v>
      </c>
      <c r="D15" s="55" t="str">
        <f>IFERROR((D13/D14*8760)*1.3,"--")</f>
        <v>--</v>
      </c>
      <c r="E15" s="50" t="s">
        <v>52</v>
      </c>
      <c r="F15" s="222" t="s">
        <v>295</v>
      </c>
      <c r="G15" s="222"/>
      <c r="H15" s="222"/>
      <c r="I15" s="222" t="s">
        <v>296</v>
      </c>
      <c r="J15" s="223"/>
      <c r="K15" s="223"/>
      <c r="L15" s="223"/>
    </row>
    <row r="16" spans="2:13" s="104" customFormat="1" ht="15" customHeight="1" x14ac:dyDescent="0.25">
      <c r="F16" s="222"/>
      <c r="G16" s="222"/>
      <c r="H16" s="222"/>
      <c r="I16" s="223"/>
      <c r="J16" s="223"/>
      <c r="K16" s="223"/>
      <c r="L16" s="223"/>
    </row>
    <row r="17" spans="2:12" s="104" customFormat="1" ht="15" customHeight="1" x14ac:dyDescent="0.25">
      <c r="C17" s="51" t="s">
        <v>185</v>
      </c>
      <c r="D17" s="91">
        <f>IF(OR(D13=0,D14=0),0,D50/2000)</f>
        <v>0</v>
      </c>
      <c r="E17" s="50" t="s">
        <v>187</v>
      </c>
      <c r="F17" s="217" t="s">
        <v>241</v>
      </c>
      <c r="G17" s="217"/>
      <c r="H17" s="217"/>
      <c r="I17" s="217" t="s">
        <v>242</v>
      </c>
      <c r="J17" s="217"/>
      <c r="K17" s="217"/>
      <c r="L17" s="217"/>
    </row>
    <row r="18" spans="2:12" s="104" customFormat="1" ht="15" customHeight="1" x14ac:dyDescent="0.25">
      <c r="C18" s="51" t="s">
        <v>186</v>
      </c>
      <c r="D18" s="91">
        <f>IF(D15="--",0,D51/2000)</f>
        <v>0</v>
      </c>
      <c r="E18" s="50" t="s">
        <v>187</v>
      </c>
      <c r="F18" s="217" t="s">
        <v>240</v>
      </c>
      <c r="G18" s="217"/>
      <c r="H18" s="217"/>
      <c r="I18" s="217" t="s">
        <v>242</v>
      </c>
      <c r="J18" s="217"/>
      <c r="K18" s="217"/>
      <c r="L18" s="217"/>
    </row>
    <row r="19" spans="2:12" s="136" customFormat="1" ht="15" customHeight="1" x14ac:dyDescent="0.25">
      <c r="D19" s="21"/>
    </row>
    <row r="20" spans="2:12" s="136" customFormat="1" ht="15" customHeight="1" x14ac:dyDescent="0.25">
      <c r="D20" s="21"/>
    </row>
    <row r="21" spans="2:12" s="104" customFormat="1" ht="15" customHeight="1" x14ac:dyDescent="0.25">
      <c r="B21" s="56" t="s">
        <v>55</v>
      </c>
      <c r="C21" s="56"/>
      <c r="D21" s="2"/>
    </row>
    <row r="22" spans="2:12" s="104" customFormat="1" ht="15" customHeight="1" x14ac:dyDescent="0.25">
      <c r="B22" s="105" t="s">
        <v>56</v>
      </c>
      <c r="C22" s="57"/>
      <c r="D22" s="105" t="s">
        <v>18</v>
      </c>
      <c r="E22" s="105" t="s">
        <v>57</v>
      </c>
      <c r="F22" s="58" t="s">
        <v>17</v>
      </c>
      <c r="G22" s="59"/>
      <c r="H22" s="59"/>
      <c r="I22" s="58" t="s">
        <v>162</v>
      </c>
      <c r="J22" s="59"/>
      <c r="K22" s="59"/>
      <c r="L22" s="59"/>
    </row>
    <row r="23" spans="2:12" s="104" customFormat="1" ht="15" customHeight="1" x14ac:dyDescent="0.25">
      <c r="B23" s="29" t="s">
        <v>69</v>
      </c>
      <c r="C23" s="22" t="s">
        <v>77</v>
      </c>
      <c r="D23" s="60">
        <v>0</v>
      </c>
      <c r="E23" s="38" t="s">
        <v>58</v>
      </c>
      <c r="F23" s="215" t="s">
        <v>134</v>
      </c>
      <c r="G23" s="215"/>
      <c r="H23" s="215"/>
      <c r="I23" s="216" t="s">
        <v>160</v>
      </c>
      <c r="J23" s="216"/>
      <c r="K23" s="216"/>
      <c r="L23" s="216"/>
    </row>
    <row r="24" spans="2:12" s="104" customFormat="1" ht="15" customHeight="1" x14ac:dyDescent="0.25">
      <c r="B24" s="29" t="s">
        <v>70</v>
      </c>
      <c r="C24" s="22" t="s">
        <v>61</v>
      </c>
      <c r="D24" s="48">
        <v>0</v>
      </c>
      <c r="E24" s="38" t="s">
        <v>58</v>
      </c>
      <c r="F24" s="212" t="s">
        <v>133</v>
      </c>
      <c r="G24" s="212"/>
      <c r="H24" s="212"/>
      <c r="I24" s="212" t="s">
        <v>161</v>
      </c>
      <c r="J24" s="212"/>
      <c r="K24" s="212"/>
      <c r="L24" s="212"/>
    </row>
    <row r="25" spans="2:12" s="104" customFormat="1" ht="15" customHeight="1" x14ac:dyDescent="0.25">
      <c r="B25" s="29" t="s">
        <v>71</v>
      </c>
      <c r="C25" s="22" t="s">
        <v>78</v>
      </c>
      <c r="D25" s="62">
        <f>D24/2</f>
        <v>0</v>
      </c>
      <c r="E25" s="39" t="s">
        <v>58</v>
      </c>
      <c r="F25" s="212" t="s">
        <v>140</v>
      </c>
      <c r="G25" s="212"/>
      <c r="H25" s="212"/>
      <c r="I25" s="212" t="s">
        <v>135</v>
      </c>
      <c r="J25" s="212"/>
      <c r="K25" s="212"/>
      <c r="L25" s="212"/>
    </row>
    <row r="26" spans="2:12" s="104" customFormat="1" ht="15" customHeight="1" x14ac:dyDescent="0.25">
      <c r="B26" s="29" t="s">
        <v>60</v>
      </c>
      <c r="C26" s="22" t="s">
        <v>346</v>
      </c>
      <c r="D26" s="63">
        <v>0</v>
      </c>
      <c r="E26" s="36" t="s">
        <v>58</v>
      </c>
      <c r="F26" s="212" t="s">
        <v>136</v>
      </c>
      <c r="G26" s="212"/>
      <c r="H26" s="212"/>
      <c r="I26" s="212" t="s">
        <v>139</v>
      </c>
      <c r="J26" s="212"/>
      <c r="K26" s="212"/>
      <c r="L26" s="212"/>
    </row>
    <row r="27" spans="2:12" s="104" customFormat="1" ht="15" customHeight="1" x14ac:dyDescent="0.25">
      <c r="B27" s="29" t="s">
        <v>72</v>
      </c>
      <c r="C27" s="22" t="s">
        <v>79</v>
      </c>
      <c r="D27" s="63">
        <v>0</v>
      </c>
      <c r="E27" s="36" t="s">
        <v>58</v>
      </c>
      <c r="F27" s="212" t="s">
        <v>137</v>
      </c>
      <c r="G27" s="212"/>
      <c r="H27" s="212"/>
      <c r="I27" s="212" t="s">
        <v>138</v>
      </c>
      <c r="J27" s="212"/>
      <c r="K27" s="212"/>
      <c r="L27" s="212"/>
    </row>
    <row r="28" spans="2:12" s="104" customFormat="1" ht="15" customHeight="1" x14ac:dyDescent="0.25">
      <c r="B28" s="157" t="s">
        <v>73</v>
      </c>
      <c r="C28" s="23"/>
      <c r="D28" s="64">
        <f xml:space="preserve"> (PI() * (D25^2)) * D26 * 7.48</f>
        <v>0</v>
      </c>
      <c r="E28" s="40" t="s">
        <v>59</v>
      </c>
      <c r="F28" s="212" t="s">
        <v>141</v>
      </c>
      <c r="G28" s="212"/>
      <c r="H28" s="212"/>
      <c r="I28" s="212" t="s">
        <v>158</v>
      </c>
      <c r="J28" s="212"/>
      <c r="K28" s="212"/>
      <c r="L28" s="212"/>
    </row>
    <row r="29" spans="2:12" s="104" customFormat="1" ht="15" customHeight="1" x14ac:dyDescent="0.25">
      <c r="B29" s="29" t="s">
        <v>174</v>
      </c>
      <c r="C29" s="23" t="s">
        <v>339</v>
      </c>
      <c r="D29" s="65">
        <f>IFERROR(D13/D28,0)</f>
        <v>0</v>
      </c>
      <c r="E29" s="139" t="s">
        <v>89</v>
      </c>
      <c r="F29" s="212" t="s">
        <v>142</v>
      </c>
      <c r="G29" s="212"/>
      <c r="H29" s="212"/>
      <c r="I29" s="212" t="s">
        <v>172</v>
      </c>
      <c r="J29" s="212"/>
      <c r="K29" s="212"/>
      <c r="L29" s="212"/>
    </row>
    <row r="30" spans="2:12" s="104" customFormat="1" ht="15" customHeight="1" x14ac:dyDescent="0.25">
      <c r="B30" s="29" t="s">
        <v>170</v>
      </c>
      <c r="C30" s="23" t="s">
        <v>339</v>
      </c>
      <c r="D30" s="65">
        <f>IFERROR(D15/D28,0)</f>
        <v>0</v>
      </c>
      <c r="E30" s="139" t="s">
        <v>89</v>
      </c>
      <c r="F30" s="212" t="s">
        <v>171</v>
      </c>
      <c r="G30" s="212"/>
      <c r="H30" s="212"/>
      <c r="I30" s="212" t="s">
        <v>173</v>
      </c>
      <c r="J30" s="212"/>
      <c r="K30" s="212"/>
      <c r="L30" s="212"/>
    </row>
    <row r="31" spans="2:12" s="104" customFormat="1" ht="15" customHeight="1" x14ac:dyDescent="0.25">
      <c r="B31" s="157" t="s">
        <v>74</v>
      </c>
      <c r="C31" s="23"/>
      <c r="D31" s="66" t="s">
        <v>22</v>
      </c>
      <c r="E31" s="40" t="s">
        <v>75</v>
      </c>
      <c r="F31" s="212" t="s">
        <v>163</v>
      </c>
      <c r="G31" s="212"/>
      <c r="H31" s="212"/>
      <c r="I31" s="212" t="s">
        <v>265</v>
      </c>
      <c r="J31" s="212"/>
      <c r="K31" s="212"/>
      <c r="L31" s="212"/>
    </row>
    <row r="32" spans="2:12" s="104" customFormat="1" ht="15" customHeight="1" x14ac:dyDescent="0.25">
      <c r="B32" s="29" t="s">
        <v>76</v>
      </c>
      <c r="C32" s="23"/>
      <c r="D32" s="63" t="s">
        <v>258</v>
      </c>
      <c r="E32" s="40" t="s">
        <v>75</v>
      </c>
      <c r="F32" s="212" t="s">
        <v>164</v>
      </c>
      <c r="G32" s="212"/>
      <c r="H32" s="212"/>
      <c r="I32" s="212" t="s">
        <v>266</v>
      </c>
      <c r="J32" s="212"/>
      <c r="K32" s="212"/>
      <c r="L32" s="212"/>
    </row>
    <row r="33" spans="2:12" s="104" customFormat="1" ht="15" customHeight="1" x14ac:dyDescent="0.25">
      <c r="B33" s="29" t="s">
        <v>64</v>
      </c>
      <c r="C33" s="22" t="s">
        <v>62</v>
      </c>
      <c r="D33" s="63">
        <v>0.25</v>
      </c>
      <c r="E33" s="139" t="s">
        <v>89</v>
      </c>
      <c r="F33" s="214" t="s">
        <v>297</v>
      </c>
      <c r="G33" s="212"/>
      <c r="H33" s="212"/>
      <c r="I33" s="214" t="s">
        <v>298</v>
      </c>
      <c r="J33" s="212"/>
      <c r="K33" s="212"/>
      <c r="L33" s="212"/>
    </row>
    <row r="34" spans="2:12" s="104" customFormat="1" ht="15" customHeight="1" x14ac:dyDescent="0.25">
      <c r="B34" s="29" t="s">
        <v>68</v>
      </c>
      <c r="C34" s="22" t="s">
        <v>81</v>
      </c>
      <c r="D34" s="158" t="str">
        <f>IF(D12="Cone",(0.00625*D25),IF(D12="Dome",(D35-(((D35^2)-(D25^2))^0.5)),"--"))</f>
        <v>--</v>
      </c>
      <c r="E34" s="36" t="s">
        <v>58</v>
      </c>
      <c r="F34" s="208" t="s">
        <v>329</v>
      </c>
      <c r="G34" s="212"/>
      <c r="H34" s="212"/>
      <c r="I34" s="208" t="s">
        <v>330</v>
      </c>
      <c r="J34" s="212"/>
      <c r="K34" s="212"/>
      <c r="L34" s="212"/>
    </row>
    <row r="35" spans="2:12" s="104" customFormat="1" ht="15" customHeight="1" x14ac:dyDescent="0.25">
      <c r="B35" s="29" t="s">
        <v>249</v>
      </c>
      <c r="C35" s="22" t="s">
        <v>247</v>
      </c>
      <c r="D35" s="67" t="str">
        <f xml:space="preserve"> IF(D12 ="Dome",(D24*0.8),"--")</f>
        <v>--</v>
      </c>
      <c r="E35" s="41" t="s">
        <v>58</v>
      </c>
      <c r="F35" s="212" t="s">
        <v>143</v>
      </c>
      <c r="G35" s="212"/>
      <c r="H35" s="212"/>
      <c r="I35" s="212" t="s">
        <v>252</v>
      </c>
      <c r="J35" s="212"/>
      <c r="K35" s="212"/>
      <c r="L35" s="212"/>
    </row>
    <row r="36" spans="2:12" s="104" customFormat="1" ht="15" customHeight="1" x14ac:dyDescent="0.25">
      <c r="B36" s="29" t="s">
        <v>248</v>
      </c>
      <c r="C36" s="22" t="s">
        <v>246</v>
      </c>
      <c r="D36" s="172" t="str">
        <f>IF(D12="Cone",0.0625,"--")</f>
        <v>--</v>
      </c>
      <c r="E36" s="46" t="s">
        <v>165</v>
      </c>
      <c r="F36" s="208" t="s">
        <v>347</v>
      </c>
      <c r="G36" s="212"/>
      <c r="H36" s="212"/>
      <c r="I36" s="208" t="s">
        <v>299</v>
      </c>
      <c r="J36" s="212"/>
      <c r="K36" s="212"/>
      <c r="L36" s="212"/>
    </row>
    <row r="37" spans="2:12" s="104" customFormat="1" ht="15" customHeight="1" x14ac:dyDescent="0.25">
      <c r="B37" s="29" t="s">
        <v>83</v>
      </c>
      <c r="C37" s="24" t="s">
        <v>321</v>
      </c>
      <c r="D37" s="68">
        <v>-0.03</v>
      </c>
      <c r="E37" s="36" t="s">
        <v>82</v>
      </c>
      <c r="F37" s="212" t="s">
        <v>144</v>
      </c>
      <c r="G37" s="212"/>
      <c r="H37" s="212"/>
      <c r="I37" s="212" t="s">
        <v>146</v>
      </c>
      <c r="J37" s="212"/>
      <c r="K37" s="212"/>
      <c r="L37" s="212"/>
    </row>
    <row r="38" spans="2:12" s="104" customFormat="1" ht="15" customHeight="1" x14ac:dyDescent="0.25">
      <c r="B38" s="29" t="s">
        <v>84</v>
      </c>
      <c r="C38" s="24" t="s">
        <v>322</v>
      </c>
      <c r="D38" s="68">
        <v>0.03</v>
      </c>
      <c r="E38" s="36" t="s">
        <v>82</v>
      </c>
      <c r="F38" s="212" t="s">
        <v>147</v>
      </c>
      <c r="G38" s="212"/>
      <c r="H38" s="212"/>
      <c r="I38" s="212" t="s">
        <v>145</v>
      </c>
      <c r="J38" s="212"/>
      <c r="K38" s="212"/>
      <c r="L38" s="212"/>
    </row>
    <row r="39" spans="2:12" s="104" customFormat="1" ht="15" customHeight="1" x14ac:dyDescent="0.25">
      <c r="C39" s="25"/>
      <c r="D39" s="69"/>
      <c r="E39" s="42"/>
      <c r="F39" s="131"/>
    </row>
    <row r="40" spans="2:12" s="104" customFormat="1" ht="15" customHeight="1" x14ac:dyDescent="0.25">
      <c r="B40" s="56" t="s">
        <v>151</v>
      </c>
      <c r="C40" s="26"/>
      <c r="D40" s="19"/>
      <c r="E40" s="42"/>
      <c r="F40" s="131"/>
    </row>
    <row r="41" spans="2:12" s="104" customFormat="1" ht="15" customHeight="1" x14ac:dyDescent="0.25">
      <c r="B41" s="105" t="s">
        <v>56</v>
      </c>
      <c r="C41" s="57"/>
      <c r="D41" s="105" t="s">
        <v>18</v>
      </c>
      <c r="E41" s="105" t="s">
        <v>57</v>
      </c>
      <c r="F41" s="58" t="s">
        <v>17</v>
      </c>
      <c r="G41" s="59"/>
      <c r="H41" s="59"/>
      <c r="I41" s="58" t="s">
        <v>162</v>
      </c>
      <c r="J41" s="59"/>
      <c r="K41" s="59"/>
      <c r="L41" s="59"/>
    </row>
    <row r="42" spans="2:12" s="61" customFormat="1" ht="15" customHeight="1" x14ac:dyDescent="0.25">
      <c r="B42" s="29" t="s">
        <v>154</v>
      </c>
      <c r="C42" s="27"/>
      <c r="D42" s="63" t="s">
        <v>277</v>
      </c>
      <c r="E42" s="43" t="s">
        <v>233</v>
      </c>
      <c r="F42" s="213" t="s">
        <v>278</v>
      </c>
      <c r="G42" s="213"/>
      <c r="H42" s="213"/>
      <c r="I42" s="133" t="s">
        <v>245</v>
      </c>
    </row>
    <row r="43" spans="2:12" s="104" customFormat="1" ht="15" customHeight="1" x14ac:dyDescent="0.25">
      <c r="B43" s="29" t="s">
        <v>155</v>
      </c>
      <c r="C43" s="122" t="s">
        <v>215</v>
      </c>
      <c r="D43" s="76">
        <f>VLOOKUP(D42,Tables!B46:F50,2,FALSE)</f>
        <v>54.2</v>
      </c>
      <c r="E43" s="43" t="s">
        <v>131</v>
      </c>
      <c r="F43" s="208" t="s">
        <v>280</v>
      </c>
      <c r="G43" s="208"/>
      <c r="H43" s="208"/>
      <c r="I43" s="133" t="s">
        <v>245</v>
      </c>
    </row>
    <row r="44" spans="2:12" s="104" customFormat="1" ht="15" customHeight="1" x14ac:dyDescent="0.25">
      <c r="B44" s="29" t="s">
        <v>156</v>
      </c>
      <c r="C44" s="122" t="s">
        <v>216</v>
      </c>
      <c r="D44" s="76">
        <f>VLOOKUP(D42,Tables!B46:F50,3,FALSE)</f>
        <v>35.200000000000003</v>
      </c>
      <c r="E44" s="43" t="s">
        <v>131</v>
      </c>
      <c r="F44" s="208" t="s">
        <v>280</v>
      </c>
      <c r="G44" s="208"/>
      <c r="H44" s="208"/>
      <c r="I44" s="133" t="s">
        <v>245</v>
      </c>
    </row>
    <row r="45" spans="2:12" s="104" customFormat="1" ht="15" customHeight="1" x14ac:dyDescent="0.25">
      <c r="B45" s="29" t="s">
        <v>85</v>
      </c>
      <c r="C45" s="24" t="s">
        <v>267</v>
      </c>
      <c r="D45" s="68">
        <f>VLOOKUP(D42,Tables!B46:F50,5,FALSE)</f>
        <v>14.26</v>
      </c>
      <c r="E45" s="36" t="s">
        <v>63</v>
      </c>
      <c r="F45" s="208" t="s">
        <v>279</v>
      </c>
      <c r="G45" s="208"/>
      <c r="H45" s="208"/>
      <c r="I45" s="211" t="s">
        <v>148</v>
      </c>
      <c r="J45" s="211"/>
      <c r="K45" s="211"/>
    </row>
    <row r="46" spans="2:12" s="104" customFormat="1" ht="15" customHeight="1" x14ac:dyDescent="0.25">
      <c r="B46" s="29" t="s">
        <v>214</v>
      </c>
      <c r="C46" s="24" t="s">
        <v>67</v>
      </c>
      <c r="D46" s="130">
        <f>VLOOKUP(D42,Tables!B46:F50,4,FALSE)</f>
        <v>1170</v>
      </c>
      <c r="E46" s="47" t="s">
        <v>166</v>
      </c>
      <c r="F46" s="208" t="s">
        <v>149</v>
      </c>
      <c r="G46" s="208"/>
      <c r="H46" s="208"/>
      <c r="I46" s="132" t="s">
        <v>245</v>
      </c>
    </row>
    <row r="47" spans="2:12" s="104" customFormat="1" ht="15" customHeight="1" x14ac:dyDescent="0.25">
      <c r="C47" s="20"/>
      <c r="D47" s="19"/>
      <c r="E47" s="70"/>
    </row>
    <row r="48" spans="2:12" s="104" customFormat="1" ht="15" customHeight="1" x14ac:dyDescent="0.25">
      <c r="B48" s="71" t="s">
        <v>126</v>
      </c>
      <c r="D48" s="19"/>
      <c r="E48" s="70"/>
    </row>
    <row r="49" spans="2:9" s="104" customFormat="1" ht="15" customHeight="1" x14ac:dyDescent="0.25">
      <c r="B49" s="106" t="s">
        <v>86</v>
      </c>
      <c r="C49" s="83"/>
      <c r="D49" s="105" t="s">
        <v>19</v>
      </c>
      <c r="E49" s="84"/>
      <c r="F49" s="85" t="s">
        <v>152</v>
      </c>
      <c r="G49" s="59"/>
      <c r="H49" s="59"/>
      <c r="I49" s="137"/>
    </row>
    <row r="50" spans="2:9" s="50" customFormat="1" ht="15" customHeight="1" x14ac:dyDescent="0.25">
      <c r="B50" s="20" t="s">
        <v>181</v>
      </c>
      <c r="C50" s="30" t="s">
        <v>96</v>
      </c>
      <c r="D50" s="90">
        <f xml:space="preserve"> D52 + D53</f>
        <v>0</v>
      </c>
      <c r="E50" s="34" t="s">
        <v>88</v>
      </c>
      <c r="F50" s="134" t="s">
        <v>34</v>
      </c>
      <c r="I50" s="138"/>
    </row>
    <row r="51" spans="2:9" s="50" customFormat="1" ht="15" customHeight="1" x14ac:dyDescent="0.25">
      <c r="B51" s="20" t="s">
        <v>182</v>
      </c>
      <c r="C51" s="30" t="s">
        <v>96</v>
      </c>
      <c r="D51" s="91">
        <f>D52+D54</f>
        <v>0</v>
      </c>
      <c r="E51" s="34" t="s">
        <v>88</v>
      </c>
      <c r="F51" s="134" t="s">
        <v>34</v>
      </c>
    </row>
    <row r="52" spans="2:9" s="50" customFormat="1" ht="15" customHeight="1" x14ac:dyDescent="0.25">
      <c r="B52" s="157" t="s">
        <v>125</v>
      </c>
      <c r="C52" s="31" t="s">
        <v>97</v>
      </c>
      <c r="D52" s="103">
        <f>(365*D62*D59*D65*D66)</f>
        <v>0</v>
      </c>
      <c r="E52" s="28" t="s">
        <v>88</v>
      </c>
      <c r="F52" s="134" t="s">
        <v>26</v>
      </c>
    </row>
    <row r="53" spans="2:9" s="50" customFormat="1" ht="15" customHeight="1" x14ac:dyDescent="0.25">
      <c r="B53" s="157" t="s">
        <v>175</v>
      </c>
      <c r="C53" s="31" t="s">
        <v>98</v>
      </c>
      <c r="D53" s="103">
        <f>(5.614*D55*D57*D67*D59)</f>
        <v>0</v>
      </c>
      <c r="E53" s="28" t="s">
        <v>88</v>
      </c>
      <c r="F53" s="135" t="s">
        <v>338</v>
      </c>
    </row>
    <row r="54" spans="2:9" s="50" customFormat="1" ht="15" customHeight="1" x14ac:dyDescent="0.25">
      <c r="B54" s="157" t="s">
        <v>176</v>
      </c>
      <c r="C54" s="31" t="s">
        <v>98</v>
      </c>
      <c r="D54" s="103">
        <f>5.614*D56*D58*D67*D59</f>
        <v>0</v>
      </c>
      <c r="E54" s="28" t="s">
        <v>88</v>
      </c>
      <c r="F54" s="135" t="s">
        <v>338</v>
      </c>
    </row>
    <row r="55" spans="2:9" s="50" customFormat="1" ht="15" customHeight="1" x14ac:dyDescent="0.25">
      <c r="B55" s="180" t="s">
        <v>179</v>
      </c>
      <c r="C55" s="31" t="s">
        <v>92</v>
      </c>
      <c r="D55" s="44">
        <f xml:space="preserve"> D13/42</f>
        <v>0</v>
      </c>
      <c r="E55" s="28" t="s">
        <v>90</v>
      </c>
      <c r="F55" s="174" t="s">
        <v>370</v>
      </c>
    </row>
    <row r="56" spans="2:9" s="50" customFormat="1" ht="15" customHeight="1" x14ac:dyDescent="0.25">
      <c r="B56" s="180" t="s">
        <v>180</v>
      </c>
      <c r="C56" s="31" t="s">
        <v>92</v>
      </c>
      <c r="D56" s="44">
        <f>IFERROR((D15/42),0)</f>
        <v>0</v>
      </c>
      <c r="E56" s="28" t="s">
        <v>90</v>
      </c>
      <c r="F56" s="174" t="s">
        <v>371</v>
      </c>
    </row>
    <row r="57" spans="2:9" s="50" customFormat="1" ht="15" customHeight="1" x14ac:dyDescent="0.25">
      <c r="B57" s="33" t="s">
        <v>178</v>
      </c>
      <c r="C57" s="31" t="s">
        <v>103</v>
      </c>
      <c r="D57" s="67">
        <f>IF(D29 &gt; 36, ((180 + D29) / (D29 * 6)), 1)</f>
        <v>1</v>
      </c>
      <c r="E57" s="37" t="s">
        <v>89</v>
      </c>
      <c r="F57" s="211" t="s">
        <v>340</v>
      </c>
      <c r="G57" s="211"/>
      <c r="H57" s="211"/>
      <c r="I57" s="133"/>
    </row>
    <row r="58" spans="2:9" s="50" customFormat="1" ht="15" customHeight="1" x14ac:dyDescent="0.25">
      <c r="B58" s="33" t="s">
        <v>177</v>
      </c>
      <c r="C58" s="31" t="s">
        <v>103</v>
      </c>
      <c r="D58" s="67">
        <f>IF(D30 &gt; 36, ((180 + D30) / (D30 * 6)), 1)</f>
        <v>1</v>
      </c>
      <c r="E58" s="37" t="s">
        <v>89</v>
      </c>
      <c r="F58" s="211" t="s">
        <v>281</v>
      </c>
      <c r="G58" s="211"/>
      <c r="H58" s="211"/>
    </row>
    <row r="59" spans="2:9" s="50" customFormat="1" ht="15" customHeight="1" x14ac:dyDescent="0.25">
      <c r="B59" s="33" t="s">
        <v>124</v>
      </c>
      <c r="C59" s="31" t="s">
        <v>99</v>
      </c>
      <c r="D59" s="72">
        <f>(D60 * D61) / (D68 *D69)</f>
        <v>0</v>
      </c>
      <c r="E59" s="35" t="s">
        <v>100</v>
      </c>
      <c r="F59" s="135" t="s">
        <v>331</v>
      </c>
    </row>
    <row r="60" spans="2:9" s="50" customFormat="1" ht="15" customHeight="1" x14ac:dyDescent="0.25">
      <c r="B60" s="180" t="s">
        <v>157</v>
      </c>
      <c r="C60" s="32" t="s">
        <v>127</v>
      </c>
      <c r="D60" s="73">
        <f>IF(D11="Select one",0,IF(D11="gasoline",68,130))</f>
        <v>0</v>
      </c>
      <c r="E60" s="36" t="s">
        <v>91</v>
      </c>
      <c r="F60" s="135" t="s">
        <v>250</v>
      </c>
    </row>
    <row r="61" spans="2:9" s="104" customFormat="1" ht="15" customHeight="1" x14ac:dyDescent="0.25">
      <c r="B61" s="179" t="s">
        <v>251</v>
      </c>
      <c r="C61" s="22" t="s">
        <v>80</v>
      </c>
      <c r="D61" s="68">
        <f>EXP(D79-(D80/D70))</f>
        <v>1</v>
      </c>
      <c r="E61" s="36" t="s">
        <v>63</v>
      </c>
      <c r="F61" s="177" t="s">
        <v>369</v>
      </c>
      <c r="G61" s="50"/>
      <c r="I61" s="133"/>
    </row>
    <row r="62" spans="2:9" s="50" customFormat="1" ht="15" customHeight="1" x14ac:dyDescent="0.25">
      <c r="B62" s="33" t="s">
        <v>123</v>
      </c>
      <c r="C62" s="32" t="s">
        <v>128</v>
      </c>
      <c r="D62" s="44">
        <f xml:space="preserve"> (PI() / 4) * (D24^2) * D64</f>
        <v>0</v>
      </c>
      <c r="E62" s="35" t="s">
        <v>101</v>
      </c>
      <c r="F62" s="134" t="s">
        <v>28</v>
      </c>
      <c r="H62" s="176"/>
    </row>
    <row r="63" spans="2:9" s="50" customFormat="1" ht="15" customHeight="1" x14ac:dyDescent="0.25">
      <c r="B63" s="33" t="s">
        <v>183</v>
      </c>
      <c r="C63" s="32" t="s">
        <v>150</v>
      </c>
      <c r="D63" s="44">
        <f>IF(D12="Select one",0,IF(D12="Cone",((1/3)*D34),(D34*(0.5+(1/6)*((D34/D25)^2)))))</f>
        <v>0</v>
      </c>
      <c r="E63" s="35" t="s">
        <v>58</v>
      </c>
      <c r="F63" s="209" t="s">
        <v>328</v>
      </c>
      <c r="G63" s="210"/>
    </row>
    <row r="64" spans="2:9" s="50" customFormat="1" ht="15" customHeight="1" x14ac:dyDescent="0.25">
      <c r="B64" s="33" t="s">
        <v>184</v>
      </c>
      <c r="C64" s="32" t="s">
        <v>129</v>
      </c>
      <c r="D64" s="44">
        <f>D23-D27+D63</f>
        <v>0</v>
      </c>
      <c r="E64" s="28" t="s">
        <v>58</v>
      </c>
      <c r="F64" s="135" t="s">
        <v>327</v>
      </c>
    </row>
    <row r="65" spans="2:10" s="50" customFormat="1" ht="15" customHeight="1" x14ac:dyDescent="0.25">
      <c r="B65" s="33" t="s">
        <v>311</v>
      </c>
      <c r="C65" s="32" t="s">
        <v>130</v>
      </c>
      <c r="D65" s="44">
        <f>(D71/D70)+((D77-D78)/(D45-D61))</f>
        <v>3.3291890342846173E-2</v>
      </c>
      <c r="E65" s="28"/>
      <c r="F65" s="135" t="s">
        <v>33</v>
      </c>
    </row>
    <row r="66" spans="2:10" s="50" customFormat="1" ht="15" customHeight="1" x14ac:dyDescent="0.25">
      <c r="B66" s="33" t="s">
        <v>122</v>
      </c>
      <c r="C66" s="31" t="s">
        <v>102</v>
      </c>
      <c r="D66" s="44">
        <f>1 / (1 + (0.053 * D61 * D64))</f>
        <v>1</v>
      </c>
      <c r="E66" s="37" t="s">
        <v>89</v>
      </c>
      <c r="F66" s="135" t="s">
        <v>27</v>
      </c>
    </row>
    <row r="67" spans="2:10" s="50" customFormat="1" ht="15" customHeight="1" x14ac:dyDescent="0.25">
      <c r="B67" s="33" t="s">
        <v>121</v>
      </c>
      <c r="C67" s="31" t="s">
        <v>104</v>
      </c>
      <c r="D67" s="74">
        <v>1</v>
      </c>
      <c r="E67" s="37" t="s">
        <v>89</v>
      </c>
      <c r="F67" s="210" t="s">
        <v>153</v>
      </c>
      <c r="G67" s="210"/>
    </row>
    <row r="68" spans="2:10" s="50" customFormat="1" ht="15" customHeight="1" x14ac:dyDescent="0.25">
      <c r="B68" s="33" t="s">
        <v>120</v>
      </c>
      <c r="C68" s="31" t="s">
        <v>66</v>
      </c>
      <c r="D68" s="75">
        <v>10.731</v>
      </c>
      <c r="E68" s="156" t="s">
        <v>345</v>
      </c>
      <c r="F68" s="135" t="s">
        <v>334</v>
      </c>
    </row>
    <row r="69" spans="2:10" s="50" customFormat="1" ht="15" customHeight="1" x14ac:dyDescent="0.25">
      <c r="B69" s="181" t="s">
        <v>333</v>
      </c>
      <c r="C69" s="151" t="s">
        <v>332</v>
      </c>
      <c r="D69" s="67">
        <f>(0.7*D75)+(0.3*D76)+(0.009*D46*D33)</f>
        <v>507.29574999999994</v>
      </c>
      <c r="E69" s="28" t="s">
        <v>93</v>
      </c>
      <c r="F69" s="135" t="s">
        <v>29</v>
      </c>
    </row>
    <row r="70" spans="2:10" s="50" customFormat="1" ht="15" customHeight="1" x14ac:dyDescent="0.25">
      <c r="B70" s="33" t="s">
        <v>119</v>
      </c>
      <c r="C70" s="31" t="s">
        <v>105</v>
      </c>
      <c r="D70" s="44">
        <f>(0.4 * D75) + (0.6 * D76) + (0.005 * D33 * D46)</f>
        <v>506.38899999999995</v>
      </c>
      <c r="E70" s="28" t="s">
        <v>93</v>
      </c>
      <c r="F70" s="135" t="s">
        <v>30</v>
      </c>
    </row>
    <row r="71" spans="2:10" s="50" customFormat="1" ht="15" customHeight="1" x14ac:dyDescent="0.25">
      <c r="B71" s="33" t="s">
        <v>312</v>
      </c>
      <c r="C71" s="31" t="s">
        <v>106</v>
      </c>
      <c r="D71" s="44">
        <f>0.7*D72+0.02*D46*D33</f>
        <v>19.149999999999999</v>
      </c>
      <c r="E71" s="28" t="s">
        <v>93</v>
      </c>
      <c r="F71" s="135" t="s">
        <v>31</v>
      </c>
    </row>
    <row r="72" spans="2:10" s="50" customFormat="1" ht="15" customHeight="1" x14ac:dyDescent="0.25">
      <c r="B72" s="33" t="s">
        <v>118</v>
      </c>
      <c r="C72" s="31" t="s">
        <v>107</v>
      </c>
      <c r="D72" s="44">
        <f xml:space="preserve"> D73 - D74</f>
        <v>19</v>
      </c>
      <c r="E72" s="28" t="s">
        <v>93</v>
      </c>
      <c r="F72" s="135" t="s">
        <v>326</v>
      </c>
    </row>
    <row r="73" spans="2:10" s="50" customFormat="1" ht="15" customHeight="1" x14ac:dyDescent="0.25">
      <c r="B73" s="33" t="s">
        <v>117</v>
      </c>
      <c r="C73" s="31" t="s">
        <v>108</v>
      </c>
      <c r="D73" s="44">
        <f xml:space="preserve"> D43 + 459.7</f>
        <v>513.9</v>
      </c>
      <c r="E73" s="28" t="s">
        <v>93</v>
      </c>
      <c r="F73" s="211" t="s">
        <v>336</v>
      </c>
      <c r="G73" s="211"/>
      <c r="H73" s="211"/>
      <c r="I73" s="136"/>
      <c r="J73" s="136"/>
    </row>
    <row r="74" spans="2:10" s="50" customFormat="1" ht="15" customHeight="1" x14ac:dyDescent="0.25">
      <c r="B74" s="33" t="s">
        <v>115</v>
      </c>
      <c r="C74" s="31" t="s">
        <v>109</v>
      </c>
      <c r="D74" s="44">
        <f>D44 + 459.7</f>
        <v>494.9</v>
      </c>
      <c r="E74" s="28" t="s">
        <v>93</v>
      </c>
      <c r="F74" s="207" t="s">
        <v>336</v>
      </c>
      <c r="G74" s="207"/>
      <c r="H74" s="207"/>
      <c r="I74" s="136"/>
      <c r="J74" s="136"/>
    </row>
    <row r="75" spans="2:10" s="50" customFormat="1" ht="15" customHeight="1" x14ac:dyDescent="0.25">
      <c r="B75" s="33" t="s">
        <v>116</v>
      </c>
      <c r="C75" s="31" t="s">
        <v>110</v>
      </c>
      <c r="D75" s="44">
        <f>(( D73 + D74) / 2)</f>
        <v>504.4</v>
      </c>
      <c r="E75" s="28" t="s">
        <v>93</v>
      </c>
      <c r="F75" s="135" t="s">
        <v>335</v>
      </c>
    </row>
    <row r="76" spans="2:10" s="50" customFormat="1" ht="15" customHeight="1" x14ac:dyDescent="0.25">
      <c r="B76" s="33" t="s">
        <v>114</v>
      </c>
      <c r="C76" s="31" t="s">
        <v>111</v>
      </c>
      <c r="D76" s="44">
        <f>(D75) + (0.003*D46*D33)</f>
        <v>505.27749999999997</v>
      </c>
      <c r="E76" s="28" t="s">
        <v>93</v>
      </c>
      <c r="F76" s="135" t="s">
        <v>337</v>
      </c>
    </row>
    <row r="77" spans="2:10" s="50" customFormat="1" ht="15" customHeight="1" x14ac:dyDescent="0.25">
      <c r="B77" s="33" t="s">
        <v>113</v>
      </c>
      <c r="C77" s="31" t="s">
        <v>112</v>
      </c>
      <c r="D77" s="44">
        <f>D81-D82</f>
        <v>0</v>
      </c>
      <c r="E77" s="28" t="s">
        <v>63</v>
      </c>
      <c r="F77" s="134" t="s">
        <v>169</v>
      </c>
    </row>
    <row r="78" spans="2:10" s="104" customFormat="1" ht="15" customHeight="1" x14ac:dyDescent="0.25">
      <c r="B78" s="33" t="s">
        <v>168</v>
      </c>
      <c r="C78" s="31" t="s">
        <v>167</v>
      </c>
      <c r="D78" s="72">
        <f>D38-D37</f>
        <v>0.06</v>
      </c>
      <c r="E78" s="28" t="s">
        <v>95</v>
      </c>
      <c r="F78" s="134" t="s">
        <v>32</v>
      </c>
    </row>
    <row r="79" spans="2:10" s="50" customFormat="1" ht="15" customHeight="1" x14ac:dyDescent="0.25">
      <c r="B79" s="33" t="s">
        <v>313</v>
      </c>
      <c r="C79" s="31" t="s">
        <v>314</v>
      </c>
      <c r="D79" s="74">
        <f>IF(D11="Select one",0,IF(D11="gasoline",Tables!F12,Tables!F11))</f>
        <v>0</v>
      </c>
      <c r="E79" s="144" t="s">
        <v>89</v>
      </c>
      <c r="F79" s="145" t="s">
        <v>250</v>
      </c>
      <c r="G79" s="142"/>
      <c r="H79" s="142"/>
    </row>
    <row r="80" spans="2:10" ht="15" customHeight="1" x14ac:dyDescent="0.25">
      <c r="B80" s="33" t="s">
        <v>313</v>
      </c>
      <c r="C80" s="152" t="s">
        <v>94</v>
      </c>
      <c r="D80" s="75">
        <f>IF(D11="select one",0,IF(D11="gasoline",Tables!G12,Tables!G11))</f>
        <v>0</v>
      </c>
      <c r="E80" s="28" t="s">
        <v>93</v>
      </c>
      <c r="F80" s="145" t="s">
        <v>250</v>
      </c>
    </row>
    <row r="81" spans="2:6" ht="15" customHeight="1" x14ac:dyDescent="0.4">
      <c r="B81" s="33" t="s">
        <v>341</v>
      </c>
      <c r="C81" s="152" t="s">
        <v>320</v>
      </c>
      <c r="D81" s="72">
        <f>EXP((D79-(D80/D83)))</f>
        <v>1</v>
      </c>
      <c r="E81" s="154" t="s">
        <v>63</v>
      </c>
      <c r="F81" s="143" t="s">
        <v>315</v>
      </c>
    </row>
    <row r="82" spans="2:6" ht="15" customHeight="1" x14ac:dyDescent="0.4">
      <c r="B82" s="102" t="s">
        <v>342</v>
      </c>
      <c r="C82" s="152" t="s">
        <v>319</v>
      </c>
      <c r="D82" s="72">
        <f>EXP(D79-(D80/D84))</f>
        <v>1</v>
      </c>
      <c r="E82" s="155" t="s">
        <v>63</v>
      </c>
      <c r="F82" s="143" t="s">
        <v>315</v>
      </c>
    </row>
    <row r="83" spans="2:6" ht="15" customHeight="1" x14ac:dyDescent="0.4">
      <c r="B83" s="102" t="s">
        <v>343</v>
      </c>
      <c r="C83" s="153" t="s">
        <v>318</v>
      </c>
      <c r="D83" s="72">
        <f>D70+0.25*D71</f>
        <v>511.17649999999998</v>
      </c>
      <c r="E83" s="28" t="s">
        <v>93</v>
      </c>
      <c r="F83" t="s">
        <v>316</v>
      </c>
    </row>
    <row r="84" spans="2:6" ht="15" customHeight="1" x14ac:dyDescent="0.4">
      <c r="B84" s="102" t="s">
        <v>344</v>
      </c>
      <c r="C84" s="153" t="s">
        <v>317</v>
      </c>
      <c r="D84" s="72">
        <f>D70-0.25*D71</f>
        <v>501.60149999999993</v>
      </c>
      <c r="E84" s="28" t="s">
        <v>93</v>
      </c>
      <c r="F84" t="s">
        <v>316</v>
      </c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63">
    <mergeCell ref="D8:E8"/>
    <mergeCell ref="B2:E2"/>
    <mergeCell ref="B3:C3"/>
    <mergeCell ref="B5:C5"/>
    <mergeCell ref="D6:E6"/>
    <mergeCell ref="D7:E7"/>
    <mergeCell ref="F18:H18"/>
    <mergeCell ref="I18:L18"/>
    <mergeCell ref="B10:C10"/>
    <mergeCell ref="F11:H11"/>
    <mergeCell ref="I11:L11"/>
    <mergeCell ref="F12:H12"/>
    <mergeCell ref="I12:L12"/>
    <mergeCell ref="F13:H13"/>
    <mergeCell ref="F14:H14"/>
    <mergeCell ref="F15:H16"/>
    <mergeCell ref="I15:L16"/>
    <mergeCell ref="F17:H17"/>
    <mergeCell ref="I17:L17"/>
    <mergeCell ref="F23:H23"/>
    <mergeCell ref="I23:L23"/>
    <mergeCell ref="F24:H24"/>
    <mergeCell ref="I24:L24"/>
    <mergeCell ref="F25:H25"/>
    <mergeCell ref="I25:L25"/>
    <mergeCell ref="F26:H26"/>
    <mergeCell ref="I26:L26"/>
    <mergeCell ref="F27:H27"/>
    <mergeCell ref="I27:L27"/>
    <mergeCell ref="F28:H28"/>
    <mergeCell ref="I28:L28"/>
    <mergeCell ref="F29:H29"/>
    <mergeCell ref="I29:L29"/>
    <mergeCell ref="F30:H30"/>
    <mergeCell ref="I30:L30"/>
    <mergeCell ref="F31:H31"/>
    <mergeCell ref="I31:L31"/>
    <mergeCell ref="F32:H32"/>
    <mergeCell ref="I32:L32"/>
    <mergeCell ref="F33:H33"/>
    <mergeCell ref="I33:L33"/>
    <mergeCell ref="F34:H34"/>
    <mergeCell ref="I34:L34"/>
    <mergeCell ref="F45:H45"/>
    <mergeCell ref="I45:K45"/>
    <mergeCell ref="F35:H35"/>
    <mergeCell ref="I35:L35"/>
    <mergeCell ref="F36:H36"/>
    <mergeCell ref="I36:L36"/>
    <mergeCell ref="F37:H37"/>
    <mergeCell ref="I37:L37"/>
    <mergeCell ref="F38:H38"/>
    <mergeCell ref="I38:L38"/>
    <mergeCell ref="F42:H42"/>
    <mergeCell ref="F43:H43"/>
    <mergeCell ref="F44:H44"/>
    <mergeCell ref="F74:H74"/>
    <mergeCell ref="F46:H46"/>
    <mergeCell ref="F63:G63"/>
    <mergeCell ref="F57:H57"/>
    <mergeCell ref="F58:H58"/>
    <mergeCell ref="F67:G67"/>
    <mergeCell ref="F73:H73"/>
  </mergeCells>
  <conditionalFormatting sqref="D26">
    <cfRule type="expression" dxfId="5" priority="2">
      <formula>AND($D$26&gt;$D$23,$D$26=0)</formula>
    </cfRule>
  </conditionalFormatting>
  <conditionalFormatting sqref="D27">
    <cfRule type="expression" dxfId="4" priority="1">
      <formula>AND($D$27&gt;$D$26,$D$27=0)</formula>
    </cfRule>
  </conditionalFormatting>
  <dataValidations disablePrompts="1" count="3">
    <dataValidation type="list" allowBlank="1" showInputMessage="1" showErrorMessage="1" sqref="D11">
      <formula1>"Select one,Gasoline,Diesel"</formula1>
    </dataValidation>
    <dataValidation type="list" allowBlank="1" showInputMessage="1" showErrorMessage="1" sqref="D32">
      <formula1>"New,Average,Aged"</formula1>
    </dataValidation>
    <dataValidation type="list" allowBlank="1" showInputMessage="1" showErrorMessage="1" sqref="D12">
      <formula1>"Select one,Cone,Dome"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</headerFooter>
  <colBreaks count="1" manualBreakCount="1">
    <brk id="8" max="8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D1EAFF"/>
  </sheetPr>
  <dimension ref="B1:M88"/>
  <sheetViews>
    <sheetView showGridLines="0" zoomScaleNormal="100" zoomScaleSheetLayoutView="7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6.1796875" customWidth="1"/>
    <col min="3" max="3" width="5" customWidth="1"/>
    <col min="4" max="4" width="20.81640625" customWidth="1"/>
    <col min="5" max="5" width="18.1796875" customWidth="1"/>
    <col min="6" max="8" width="22.81640625" customWidth="1"/>
    <col min="9" max="12" width="20.1796875" customWidth="1"/>
    <col min="13" max="13" width="8.81640625" customWidth="1"/>
    <col min="14" max="1024" width="9.81640625" customWidth="1"/>
  </cols>
  <sheetData>
    <row r="1" spans="2:13" ht="15" customHeight="1" x14ac:dyDescent="0.25">
      <c r="E1" s="87" t="str">
        <f>Instructions!H2</f>
        <v>p-sbap5-42v  •  7/13/20</v>
      </c>
      <c r="F1" s="96"/>
      <c r="G1" s="96"/>
      <c r="H1" s="96"/>
      <c r="I1" s="96"/>
      <c r="J1" s="96"/>
      <c r="K1" s="96"/>
      <c r="L1" s="96"/>
      <c r="M1" s="96"/>
    </row>
    <row r="2" spans="2:13" ht="15" customHeight="1" thickBot="1" x14ac:dyDescent="0.3">
      <c r="B2" s="226" t="s">
        <v>87</v>
      </c>
      <c r="C2" s="226"/>
      <c r="D2" s="226"/>
      <c r="E2" s="226"/>
      <c r="F2" s="18"/>
      <c r="G2" s="18"/>
      <c r="H2" s="18"/>
      <c r="I2" s="18"/>
      <c r="J2" s="18"/>
      <c r="K2" s="18"/>
      <c r="L2" s="18"/>
      <c r="M2" s="96"/>
    </row>
    <row r="3" spans="2:13" ht="15" customHeight="1" x14ac:dyDescent="0.25">
      <c r="B3" s="227" t="s">
        <v>132</v>
      </c>
      <c r="C3" s="227"/>
      <c r="F3" s="96"/>
      <c r="G3" s="96"/>
      <c r="H3" s="96"/>
      <c r="I3" s="96"/>
      <c r="J3" s="96"/>
      <c r="K3" s="96"/>
      <c r="L3" s="96"/>
      <c r="M3" s="96"/>
    </row>
    <row r="5" spans="2:13" s="162" customFormat="1" ht="15" customHeight="1" x14ac:dyDescent="0.25">
      <c r="B5" s="228" t="s">
        <v>46</v>
      </c>
      <c r="C5" s="228"/>
    </row>
    <row r="6" spans="2:13" s="162" customFormat="1" ht="15" customHeight="1" x14ac:dyDescent="0.25">
      <c r="C6" s="49" t="s">
        <v>47</v>
      </c>
      <c r="D6" s="229"/>
      <c r="E6" s="229"/>
    </row>
    <row r="7" spans="2:13" s="162" customFormat="1" ht="15" customHeight="1" x14ac:dyDescent="0.25">
      <c r="C7" s="49" t="s">
        <v>17</v>
      </c>
      <c r="D7" s="229"/>
      <c r="E7" s="229"/>
    </row>
    <row r="8" spans="2:13" s="162" customFormat="1" ht="15" customHeight="1" x14ac:dyDescent="0.25">
      <c r="C8" s="49" t="s">
        <v>48</v>
      </c>
      <c r="D8" s="224"/>
      <c r="E8" s="225"/>
    </row>
    <row r="9" spans="2:13" s="70" customFormat="1" ht="15" customHeight="1" x14ac:dyDescent="0.25">
      <c r="C9" s="51"/>
      <c r="D9" s="100"/>
      <c r="E9" s="38"/>
    </row>
    <row r="10" spans="2:13" s="162" customFormat="1" ht="15" customHeight="1" x14ac:dyDescent="0.25">
      <c r="B10" s="218" t="s">
        <v>56</v>
      </c>
      <c r="C10" s="218"/>
      <c r="D10" s="159" t="s">
        <v>18</v>
      </c>
      <c r="E10" s="159" t="s">
        <v>57</v>
      </c>
      <c r="F10" s="58" t="s">
        <v>17</v>
      </c>
      <c r="G10" s="59"/>
      <c r="H10" s="59"/>
      <c r="I10" s="58" t="s">
        <v>162</v>
      </c>
      <c r="J10" s="59"/>
      <c r="K10" s="59"/>
      <c r="L10" s="59"/>
    </row>
    <row r="11" spans="2:13" s="162" customFormat="1" ht="15" customHeight="1" x14ac:dyDescent="0.25">
      <c r="C11" s="49" t="s">
        <v>49</v>
      </c>
      <c r="D11" s="48" t="s">
        <v>233</v>
      </c>
      <c r="E11" s="163" t="s">
        <v>244</v>
      </c>
      <c r="F11" s="219" t="s">
        <v>243</v>
      </c>
      <c r="G11" s="219"/>
      <c r="H11" s="219"/>
      <c r="I11" s="219" t="s">
        <v>256</v>
      </c>
      <c r="J11" s="219"/>
      <c r="K11" s="219"/>
      <c r="L11" s="219"/>
    </row>
    <row r="12" spans="2:13" s="162" customFormat="1" ht="15" customHeight="1" x14ac:dyDescent="0.25">
      <c r="B12" s="29"/>
      <c r="C12" s="49" t="s">
        <v>65</v>
      </c>
      <c r="D12" s="169" t="s">
        <v>233</v>
      </c>
      <c r="E12" s="40" t="s">
        <v>75</v>
      </c>
      <c r="F12" s="212" t="s">
        <v>159</v>
      </c>
      <c r="G12" s="212"/>
      <c r="H12" s="212"/>
      <c r="I12" s="208" t="s">
        <v>255</v>
      </c>
      <c r="J12" s="208"/>
      <c r="K12" s="208"/>
      <c r="L12" s="208"/>
    </row>
    <row r="13" spans="2:13" s="162" customFormat="1" ht="15" customHeight="1" x14ac:dyDescent="0.25">
      <c r="C13" s="49" t="s">
        <v>51</v>
      </c>
      <c r="D13" s="53">
        <v>0</v>
      </c>
      <c r="E13" s="50" t="s">
        <v>52</v>
      </c>
      <c r="F13" s="220" t="s">
        <v>254</v>
      </c>
      <c r="G13" s="220"/>
      <c r="H13" s="220"/>
    </row>
    <row r="14" spans="2:13" s="162" customFormat="1" ht="15" customHeight="1" x14ac:dyDescent="0.25">
      <c r="C14" s="49" t="s">
        <v>53</v>
      </c>
      <c r="D14" s="45">
        <v>0</v>
      </c>
      <c r="E14" s="50" t="s">
        <v>54</v>
      </c>
      <c r="F14" s="221" t="s">
        <v>253</v>
      </c>
      <c r="G14" s="221"/>
      <c r="H14" s="221"/>
      <c r="I14" s="54"/>
      <c r="J14" s="54"/>
      <c r="K14" s="54"/>
      <c r="L14" s="54"/>
    </row>
    <row r="15" spans="2:13" s="162" customFormat="1" ht="15" customHeight="1" x14ac:dyDescent="0.25">
      <c r="C15" s="49" t="s">
        <v>50</v>
      </c>
      <c r="D15" s="55" t="str">
        <f>IFERROR((D13/D14*8760)*1.3,"--")</f>
        <v>--</v>
      </c>
      <c r="E15" s="50" t="s">
        <v>52</v>
      </c>
      <c r="F15" s="222" t="s">
        <v>295</v>
      </c>
      <c r="G15" s="222"/>
      <c r="H15" s="222"/>
      <c r="I15" s="222" t="s">
        <v>296</v>
      </c>
      <c r="J15" s="223"/>
      <c r="K15" s="223"/>
      <c r="L15" s="223"/>
    </row>
    <row r="16" spans="2:13" s="162" customFormat="1" ht="15" customHeight="1" x14ac:dyDescent="0.25">
      <c r="F16" s="222"/>
      <c r="G16" s="222"/>
      <c r="H16" s="222"/>
      <c r="I16" s="223"/>
      <c r="J16" s="223"/>
      <c r="K16" s="223"/>
      <c r="L16" s="223"/>
    </row>
    <row r="17" spans="2:12" s="162" customFormat="1" ht="15" customHeight="1" x14ac:dyDescent="0.25">
      <c r="C17" s="51" t="s">
        <v>185</v>
      </c>
      <c r="D17" s="91">
        <f>IF(OR(D13=0,D14=0),0,D50/2000)</f>
        <v>0</v>
      </c>
      <c r="E17" s="50" t="s">
        <v>187</v>
      </c>
      <c r="F17" s="217" t="s">
        <v>241</v>
      </c>
      <c r="G17" s="217"/>
      <c r="H17" s="217"/>
      <c r="I17" s="217" t="s">
        <v>242</v>
      </c>
      <c r="J17" s="217"/>
      <c r="K17" s="217"/>
      <c r="L17" s="217"/>
    </row>
    <row r="18" spans="2:12" s="162" customFormat="1" ht="15" customHeight="1" x14ac:dyDescent="0.25">
      <c r="C18" s="51" t="s">
        <v>186</v>
      </c>
      <c r="D18" s="91">
        <f>IF(D15="--",0,D51/2000)</f>
        <v>0</v>
      </c>
      <c r="E18" s="50" t="s">
        <v>187</v>
      </c>
      <c r="F18" s="217" t="s">
        <v>240</v>
      </c>
      <c r="G18" s="217"/>
      <c r="H18" s="217"/>
      <c r="I18" s="217" t="s">
        <v>242</v>
      </c>
      <c r="J18" s="217"/>
      <c r="K18" s="217"/>
      <c r="L18" s="217"/>
    </row>
    <row r="19" spans="2:12" s="164" customFormat="1" ht="15" customHeight="1" x14ac:dyDescent="0.25">
      <c r="D19" s="21"/>
    </row>
    <row r="20" spans="2:12" s="164" customFormat="1" ht="15" customHeight="1" x14ac:dyDescent="0.25">
      <c r="D20" s="21"/>
    </row>
    <row r="21" spans="2:12" s="162" customFormat="1" ht="15" customHeight="1" x14ac:dyDescent="0.25">
      <c r="B21" s="56" t="s">
        <v>55</v>
      </c>
      <c r="C21" s="56"/>
      <c r="D21" s="2"/>
    </row>
    <row r="22" spans="2:12" s="162" customFormat="1" ht="15" customHeight="1" x14ac:dyDescent="0.25">
      <c r="B22" s="159" t="s">
        <v>56</v>
      </c>
      <c r="C22" s="57"/>
      <c r="D22" s="159" t="s">
        <v>18</v>
      </c>
      <c r="E22" s="159" t="s">
        <v>57</v>
      </c>
      <c r="F22" s="58" t="s">
        <v>17</v>
      </c>
      <c r="G22" s="59"/>
      <c r="H22" s="59"/>
      <c r="I22" s="58" t="s">
        <v>162</v>
      </c>
      <c r="J22" s="59"/>
      <c r="K22" s="59"/>
      <c r="L22" s="59"/>
    </row>
    <row r="23" spans="2:12" s="162" customFormat="1" ht="15" customHeight="1" x14ac:dyDescent="0.25">
      <c r="B23" s="29" t="s">
        <v>69</v>
      </c>
      <c r="C23" s="22" t="s">
        <v>77</v>
      </c>
      <c r="D23" s="60">
        <v>0</v>
      </c>
      <c r="E23" s="38" t="s">
        <v>58</v>
      </c>
      <c r="F23" s="215" t="s">
        <v>134</v>
      </c>
      <c r="G23" s="215"/>
      <c r="H23" s="215"/>
      <c r="I23" s="216" t="s">
        <v>160</v>
      </c>
      <c r="J23" s="216"/>
      <c r="K23" s="216"/>
      <c r="L23" s="216"/>
    </row>
    <row r="24" spans="2:12" s="162" customFormat="1" ht="15" customHeight="1" x14ac:dyDescent="0.25">
      <c r="B24" s="29" t="s">
        <v>70</v>
      </c>
      <c r="C24" s="22" t="s">
        <v>61</v>
      </c>
      <c r="D24" s="48">
        <v>0</v>
      </c>
      <c r="E24" s="38" t="s">
        <v>58</v>
      </c>
      <c r="F24" s="212" t="s">
        <v>133</v>
      </c>
      <c r="G24" s="212"/>
      <c r="H24" s="212"/>
      <c r="I24" s="212" t="s">
        <v>161</v>
      </c>
      <c r="J24" s="212"/>
      <c r="K24" s="212"/>
      <c r="L24" s="212"/>
    </row>
    <row r="25" spans="2:12" s="162" customFormat="1" ht="15" customHeight="1" x14ac:dyDescent="0.25">
      <c r="B25" s="29" t="s">
        <v>71</v>
      </c>
      <c r="C25" s="22" t="s">
        <v>78</v>
      </c>
      <c r="D25" s="62">
        <f>D24/2</f>
        <v>0</v>
      </c>
      <c r="E25" s="39" t="s">
        <v>58</v>
      </c>
      <c r="F25" s="212" t="s">
        <v>140</v>
      </c>
      <c r="G25" s="212"/>
      <c r="H25" s="212"/>
      <c r="I25" s="212" t="s">
        <v>135</v>
      </c>
      <c r="J25" s="212"/>
      <c r="K25" s="212"/>
      <c r="L25" s="212"/>
    </row>
    <row r="26" spans="2:12" s="162" customFormat="1" ht="15" customHeight="1" x14ac:dyDescent="0.25">
      <c r="B26" s="29" t="s">
        <v>60</v>
      </c>
      <c r="C26" s="22" t="s">
        <v>346</v>
      </c>
      <c r="D26" s="63">
        <v>0</v>
      </c>
      <c r="E26" s="36" t="s">
        <v>58</v>
      </c>
      <c r="F26" s="212" t="s">
        <v>136</v>
      </c>
      <c r="G26" s="212"/>
      <c r="H26" s="212"/>
      <c r="I26" s="212" t="s">
        <v>139</v>
      </c>
      <c r="J26" s="212"/>
      <c r="K26" s="212"/>
      <c r="L26" s="212"/>
    </row>
    <row r="27" spans="2:12" s="162" customFormat="1" ht="15" customHeight="1" x14ac:dyDescent="0.25">
      <c r="B27" s="29" t="s">
        <v>72</v>
      </c>
      <c r="C27" s="22" t="s">
        <v>79</v>
      </c>
      <c r="D27" s="63">
        <v>0</v>
      </c>
      <c r="E27" s="36" t="s">
        <v>58</v>
      </c>
      <c r="F27" s="212" t="s">
        <v>137</v>
      </c>
      <c r="G27" s="212"/>
      <c r="H27" s="212"/>
      <c r="I27" s="212" t="s">
        <v>138</v>
      </c>
      <c r="J27" s="212"/>
      <c r="K27" s="212"/>
      <c r="L27" s="212"/>
    </row>
    <row r="28" spans="2:12" s="162" customFormat="1" ht="15" customHeight="1" x14ac:dyDescent="0.25">
      <c r="B28" s="29" t="s">
        <v>73</v>
      </c>
      <c r="C28" s="23"/>
      <c r="D28" s="64">
        <f xml:space="preserve"> (PI() * (D25^2)) * D26 * 7.48</f>
        <v>0</v>
      </c>
      <c r="E28" s="40" t="s">
        <v>59</v>
      </c>
      <c r="F28" s="212" t="s">
        <v>141</v>
      </c>
      <c r="G28" s="212"/>
      <c r="H28" s="212"/>
      <c r="I28" s="212" t="s">
        <v>158</v>
      </c>
      <c r="J28" s="212"/>
      <c r="K28" s="212"/>
      <c r="L28" s="212"/>
    </row>
    <row r="29" spans="2:12" s="162" customFormat="1" ht="15" customHeight="1" x14ac:dyDescent="0.25">
      <c r="B29" s="29" t="s">
        <v>174</v>
      </c>
      <c r="C29" s="23" t="s">
        <v>339</v>
      </c>
      <c r="D29" s="65">
        <f>IFERROR(D13/D28,0)</f>
        <v>0</v>
      </c>
      <c r="E29" s="139" t="s">
        <v>89</v>
      </c>
      <c r="F29" s="212" t="s">
        <v>142</v>
      </c>
      <c r="G29" s="212"/>
      <c r="H29" s="212"/>
      <c r="I29" s="212" t="s">
        <v>172</v>
      </c>
      <c r="J29" s="212"/>
      <c r="K29" s="212"/>
      <c r="L29" s="212"/>
    </row>
    <row r="30" spans="2:12" s="162" customFormat="1" ht="15" customHeight="1" x14ac:dyDescent="0.25">
      <c r="B30" s="29" t="s">
        <v>170</v>
      </c>
      <c r="C30" s="23" t="s">
        <v>339</v>
      </c>
      <c r="D30" s="65">
        <f>IFERROR(D15/D28,0)</f>
        <v>0</v>
      </c>
      <c r="E30" s="139" t="s">
        <v>89</v>
      </c>
      <c r="F30" s="212" t="s">
        <v>171</v>
      </c>
      <c r="G30" s="212"/>
      <c r="H30" s="212"/>
      <c r="I30" s="212" t="s">
        <v>173</v>
      </c>
      <c r="J30" s="212"/>
      <c r="K30" s="212"/>
      <c r="L30" s="212"/>
    </row>
    <row r="31" spans="2:12" s="162" customFormat="1" ht="15" customHeight="1" x14ac:dyDescent="0.25">
      <c r="B31" s="29" t="s">
        <v>74</v>
      </c>
      <c r="C31" s="23"/>
      <c r="D31" s="66" t="s">
        <v>22</v>
      </c>
      <c r="E31" s="40" t="s">
        <v>75</v>
      </c>
      <c r="F31" s="212" t="s">
        <v>163</v>
      </c>
      <c r="G31" s="212"/>
      <c r="H31" s="212"/>
      <c r="I31" s="212" t="s">
        <v>265</v>
      </c>
      <c r="J31" s="212"/>
      <c r="K31" s="212"/>
      <c r="L31" s="212"/>
    </row>
    <row r="32" spans="2:12" s="162" customFormat="1" ht="15" customHeight="1" x14ac:dyDescent="0.25">
      <c r="B32" s="29" t="s">
        <v>76</v>
      </c>
      <c r="C32" s="23"/>
      <c r="D32" s="63" t="s">
        <v>258</v>
      </c>
      <c r="E32" s="40" t="s">
        <v>75</v>
      </c>
      <c r="F32" s="212" t="s">
        <v>164</v>
      </c>
      <c r="G32" s="212"/>
      <c r="H32" s="212"/>
      <c r="I32" s="212" t="s">
        <v>266</v>
      </c>
      <c r="J32" s="212"/>
      <c r="K32" s="212"/>
      <c r="L32" s="212"/>
    </row>
    <row r="33" spans="2:12" s="162" customFormat="1" ht="15" customHeight="1" x14ac:dyDescent="0.25">
      <c r="B33" s="29" t="s">
        <v>64</v>
      </c>
      <c r="C33" s="22" t="s">
        <v>62</v>
      </c>
      <c r="D33" s="63">
        <v>0.25</v>
      </c>
      <c r="E33" s="139" t="s">
        <v>89</v>
      </c>
      <c r="F33" s="214" t="s">
        <v>297</v>
      </c>
      <c r="G33" s="212"/>
      <c r="H33" s="212"/>
      <c r="I33" s="214" t="s">
        <v>298</v>
      </c>
      <c r="J33" s="212"/>
      <c r="K33" s="212"/>
      <c r="L33" s="212"/>
    </row>
    <row r="34" spans="2:12" s="162" customFormat="1" ht="15" customHeight="1" x14ac:dyDescent="0.25">
      <c r="B34" s="29" t="s">
        <v>68</v>
      </c>
      <c r="C34" s="22" t="s">
        <v>81</v>
      </c>
      <c r="D34" s="158" t="str">
        <f>IF(D12="Cone",(0.00625*D25),IF(D12="Dome",(D35-(((D35^2)-(D25^2))^0.5)),"--"))</f>
        <v>--</v>
      </c>
      <c r="E34" s="36" t="s">
        <v>58</v>
      </c>
      <c r="F34" s="208" t="s">
        <v>329</v>
      </c>
      <c r="G34" s="212"/>
      <c r="H34" s="212"/>
      <c r="I34" s="208" t="s">
        <v>330</v>
      </c>
      <c r="J34" s="212"/>
      <c r="K34" s="212"/>
      <c r="L34" s="212"/>
    </row>
    <row r="35" spans="2:12" s="162" customFormat="1" ht="15" customHeight="1" x14ac:dyDescent="0.25">
      <c r="B35" s="29" t="s">
        <v>249</v>
      </c>
      <c r="C35" s="22" t="s">
        <v>247</v>
      </c>
      <c r="D35" s="67" t="str">
        <f xml:space="preserve"> IF(D12 ="Dome",(D24*0.8),"--")</f>
        <v>--</v>
      </c>
      <c r="E35" s="41" t="s">
        <v>58</v>
      </c>
      <c r="F35" s="212" t="s">
        <v>143</v>
      </c>
      <c r="G35" s="212"/>
      <c r="H35" s="212"/>
      <c r="I35" s="212" t="s">
        <v>252</v>
      </c>
      <c r="J35" s="212"/>
      <c r="K35" s="212"/>
      <c r="L35" s="212"/>
    </row>
    <row r="36" spans="2:12" s="162" customFormat="1" ht="15" customHeight="1" x14ac:dyDescent="0.25">
      <c r="B36" s="29" t="s">
        <v>248</v>
      </c>
      <c r="C36" s="22" t="s">
        <v>246</v>
      </c>
      <c r="D36" s="172" t="str">
        <f>IF(D12="Cone",0.0625,"--")</f>
        <v>--</v>
      </c>
      <c r="E36" s="46" t="s">
        <v>165</v>
      </c>
      <c r="F36" s="208" t="s">
        <v>347</v>
      </c>
      <c r="G36" s="212"/>
      <c r="H36" s="212"/>
      <c r="I36" s="208" t="s">
        <v>299</v>
      </c>
      <c r="J36" s="212"/>
      <c r="K36" s="212"/>
      <c r="L36" s="212"/>
    </row>
    <row r="37" spans="2:12" s="162" customFormat="1" ht="15" customHeight="1" x14ac:dyDescent="0.25">
      <c r="B37" s="29" t="s">
        <v>83</v>
      </c>
      <c r="C37" s="24" t="s">
        <v>321</v>
      </c>
      <c r="D37" s="68">
        <v>-0.03</v>
      </c>
      <c r="E37" s="36" t="s">
        <v>82</v>
      </c>
      <c r="F37" s="212" t="s">
        <v>144</v>
      </c>
      <c r="G37" s="212"/>
      <c r="H37" s="212"/>
      <c r="I37" s="212" t="s">
        <v>146</v>
      </c>
      <c r="J37" s="212"/>
      <c r="K37" s="212"/>
      <c r="L37" s="212"/>
    </row>
    <row r="38" spans="2:12" s="162" customFormat="1" ht="15" customHeight="1" x14ac:dyDescent="0.25">
      <c r="B38" s="29" t="s">
        <v>84</v>
      </c>
      <c r="C38" s="24" t="s">
        <v>322</v>
      </c>
      <c r="D38" s="68">
        <v>0.03</v>
      </c>
      <c r="E38" s="36" t="s">
        <v>82</v>
      </c>
      <c r="F38" s="212" t="s">
        <v>147</v>
      </c>
      <c r="G38" s="212"/>
      <c r="H38" s="212"/>
      <c r="I38" s="212" t="s">
        <v>145</v>
      </c>
      <c r="J38" s="212"/>
      <c r="K38" s="212"/>
      <c r="L38" s="212"/>
    </row>
    <row r="39" spans="2:12" s="162" customFormat="1" ht="15" customHeight="1" x14ac:dyDescent="0.25">
      <c r="C39" s="25"/>
      <c r="D39" s="69"/>
      <c r="E39" s="42"/>
      <c r="F39" s="160"/>
    </row>
    <row r="40" spans="2:12" s="162" customFormat="1" ht="15" customHeight="1" x14ac:dyDescent="0.25">
      <c r="B40" s="56" t="s">
        <v>151</v>
      </c>
      <c r="C40" s="26"/>
      <c r="D40" s="19"/>
      <c r="E40" s="42"/>
      <c r="F40" s="160"/>
    </row>
    <row r="41" spans="2:12" s="162" customFormat="1" ht="15" customHeight="1" x14ac:dyDescent="0.25">
      <c r="B41" s="159" t="s">
        <v>56</v>
      </c>
      <c r="C41" s="57"/>
      <c r="D41" s="159" t="s">
        <v>18</v>
      </c>
      <c r="E41" s="159" t="s">
        <v>57</v>
      </c>
      <c r="F41" s="58" t="s">
        <v>17</v>
      </c>
      <c r="G41" s="59"/>
      <c r="H41" s="59"/>
      <c r="I41" s="58" t="s">
        <v>162</v>
      </c>
      <c r="J41" s="59"/>
      <c r="K41" s="59"/>
      <c r="L41" s="59"/>
    </row>
    <row r="42" spans="2:12" s="61" customFormat="1" ht="15" customHeight="1" x14ac:dyDescent="0.25">
      <c r="B42" s="29" t="s">
        <v>154</v>
      </c>
      <c r="C42" s="27"/>
      <c r="D42" s="63" t="s">
        <v>277</v>
      </c>
      <c r="E42" s="43" t="s">
        <v>233</v>
      </c>
      <c r="F42" s="213" t="s">
        <v>278</v>
      </c>
      <c r="G42" s="213"/>
      <c r="H42" s="213"/>
      <c r="I42" s="163" t="s">
        <v>245</v>
      </c>
    </row>
    <row r="43" spans="2:12" s="162" customFormat="1" ht="15" customHeight="1" x14ac:dyDescent="0.25">
      <c r="B43" s="29" t="s">
        <v>155</v>
      </c>
      <c r="C43" s="122" t="s">
        <v>215</v>
      </c>
      <c r="D43" s="76">
        <f>VLOOKUP(D42,Tables!B46:F50,2,FALSE)</f>
        <v>54.2</v>
      </c>
      <c r="E43" s="43" t="s">
        <v>131</v>
      </c>
      <c r="F43" s="208" t="s">
        <v>280</v>
      </c>
      <c r="G43" s="208"/>
      <c r="H43" s="208"/>
      <c r="I43" s="163" t="s">
        <v>245</v>
      </c>
    </row>
    <row r="44" spans="2:12" s="162" customFormat="1" ht="15" customHeight="1" x14ac:dyDescent="0.25">
      <c r="B44" s="29" t="s">
        <v>156</v>
      </c>
      <c r="C44" s="122" t="s">
        <v>216</v>
      </c>
      <c r="D44" s="76">
        <f>VLOOKUP(D42,Tables!B46:F50,3,FALSE)</f>
        <v>35.200000000000003</v>
      </c>
      <c r="E44" s="43" t="s">
        <v>131</v>
      </c>
      <c r="F44" s="208" t="s">
        <v>280</v>
      </c>
      <c r="G44" s="208"/>
      <c r="H44" s="208"/>
      <c r="I44" s="163" t="s">
        <v>245</v>
      </c>
    </row>
    <row r="45" spans="2:12" s="162" customFormat="1" ht="15" customHeight="1" x14ac:dyDescent="0.25">
      <c r="B45" s="29" t="s">
        <v>85</v>
      </c>
      <c r="C45" s="24" t="s">
        <v>267</v>
      </c>
      <c r="D45" s="68">
        <f>VLOOKUP(D42,Tables!B46:F50,5,FALSE)</f>
        <v>14.26</v>
      </c>
      <c r="E45" s="36" t="s">
        <v>63</v>
      </c>
      <c r="F45" s="208" t="s">
        <v>279</v>
      </c>
      <c r="G45" s="208"/>
      <c r="H45" s="208"/>
      <c r="I45" s="211" t="s">
        <v>148</v>
      </c>
      <c r="J45" s="211"/>
      <c r="K45" s="211"/>
    </row>
    <row r="46" spans="2:12" s="162" customFormat="1" ht="15" customHeight="1" x14ac:dyDescent="0.25">
      <c r="B46" s="29" t="s">
        <v>214</v>
      </c>
      <c r="C46" s="24" t="s">
        <v>67</v>
      </c>
      <c r="D46" s="130">
        <f>VLOOKUP(D42,Tables!B46:F50,4,FALSE)</f>
        <v>1170</v>
      </c>
      <c r="E46" s="47" t="s">
        <v>166</v>
      </c>
      <c r="F46" s="208" t="s">
        <v>149</v>
      </c>
      <c r="G46" s="208"/>
      <c r="H46" s="208"/>
      <c r="I46" s="161" t="s">
        <v>245</v>
      </c>
    </row>
    <row r="47" spans="2:12" s="162" customFormat="1" ht="15" customHeight="1" x14ac:dyDescent="0.25">
      <c r="C47" s="20"/>
      <c r="D47" s="19"/>
      <c r="E47" s="70"/>
    </row>
    <row r="48" spans="2:12" s="162" customFormat="1" ht="15" customHeight="1" x14ac:dyDescent="0.25">
      <c r="B48" s="71" t="s">
        <v>126</v>
      </c>
      <c r="D48" s="19"/>
      <c r="E48" s="70"/>
    </row>
    <row r="49" spans="2:9" s="162" customFormat="1" ht="15" customHeight="1" x14ac:dyDescent="0.25">
      <c r="B49" s="168" t="s">
        <v>86</v>
      </c>
      <c r="C49" s="83"/>
      <c r="D49" s="159" t="s">
        <v>19</v>
      </c>
      <c r="E49" s="84"/>
      <c r="F49" s="85" t="s">
        <v>152</v>
      </c>
      <c r="G49" s="59"/>
      <c r="H49" s="59"/>
      <c r="I49" s="137"/>
    </row>
    <row r="50" spans="2:9" s="50" customFormat="1" ht="15" customHeight="1" x14ac:dyDescent="0.25">
      <c r="B50" s="20" t="s">
        <v>181</v>
      </c>
      <c r="C50" s="30" t="s">
        <v>96</v>
      </c>
      <c r="D50" s="90">
        <f xml:space="preserve"> D52 + D53</f>
        <v>0</v>
      </c>
      <c r="E50" s="34" t="s">
        <v>88</v>
      </c>
      <c r="F50" s="166" t="s">
        <v>34</v>
      </c>
      <c r="I50" s="138"/>
    </row>
    <row r="51" spans="2:9" s="50" customFormat="1" ht="15" customHeight="1" x14ac:dyDescent="0.25">
      <c r="B51" s="20" t="s">
        <v>182</v>
      </c>
      <c r="C51" s="30" t="s">
        <v>96</v>
      </c>
      <c r="D51" s="91">
        <f>D52+D54</f>
        <v>0</v>
      </c>
      <c r="E51" s="34" t="s">
        <v>88</v>
      </c>
      <c r="F51" s="166" t="s">
        <v>34</v>
      </c>
    </row>
    <row r="52" spans="2:9" s="50" customFormat="1" ht="15" customHeight="1" x14ac:dyDescent="0.25">
      <c r="B52" s="157" t="s">
        <v>125</v>
      </c>
      <c r="C52" s="31" t="s">
        <v>97</v>
      </c>
      <c r="D52" s="103">
        <f>(365*D62*D59*D65*D66)</f>
        <v>0</v>
      </c>
      <c r="E52" s="28" t="s">
        <v>88</v>
      </c>
      <c r="F52" s="166" t="s">
        <v>26</v>
      </c>
    </row>
    <row r="53" spans="2:9" s="50" customFormat="1" ht="15" customHeight="1" x14ac:dyDescent="0.25">
      <c r="B53" s="157" t="s">
        <v>175</v>
      </c>
      <c r="C53" s="31" t="s">
        <v>98</v>
      </c>
      <c r="D53" s="103">
        <f>(5.614*D55*D57*D67*D59)</f>
        <v>0</v>
      </c>
      <c r="E53" s="28" t="s">
        <v>88</v>
      </c>
      <c r="F53" s="165" t="s">
        <v>338</v>
      </c>
    </row>
    <row r="54" spans="2:9" s="50" customFormat="1" ht="15" customHeight="1" x14ac:dyDescent="0.25">
      <c r="B54" s="157" t="s">
        <v>176</v>
      </c>
      <c r="C54" s="31" t="s">
        <v>98</v>
      </c>
      <c r="D54" s="103">
        <f>5.614*D56*D58*D67*D59</f>
        <v>0</v>
      </c>
      <c r="E54" s="28" t="s">
        <v>88</v>
      </c>
      <c r="F54" s="165" t="s">
        <v>338</v>
      </c>
    </row>
    <row r="55" spans="2:9" s="50" customFormat="1" ht="15" customHeight="1" x14ac:dyDescent="0.25">
      <c r="B55" s="33" t="s">
        <v>179</v>
      </c>
      <c r="C55" s="31" t="s">
        <v>92</v>
      </c>
      <c r="D55" s="44">
        <f xml:space="preserve"> D13/42</f>
        <v>0</v>
      </c>
      <c r="E55" s="28" t="s">
        <v>90</v>
      </c>
      <c r="F55" s="178" t="s">
        <v>370</v>
      </c>
    </row>
    <row r="56" spans="2:9" s="50" customFormat="1" ht="15" customHeight="1" x14ac:dyDescent="0.25">
      <c r="B56" s="33" t="s">
        <v>180</v>
      </c>
      <c r="C56" s="31" t="s">
        <v>92</v>
      </c>
      <c r="D56" s="44">
        <f>IFERROR((D15/42),0)</f>
        <v>0</v>
      </c>
      <c r="E56" s="28" t="s">
        <v>90</v>
      </c>
      <c r="F56" s="178" t="s">
        <v>371</v>
      </c>
    </row>
    <row r="57" spans="2:9" s="50" customFormat="1" ht="15" customHeight="1" x14ac:dyDescent="0.25">
      <c r="B57" s="33" t="s">
        <v>178</v>
      </c>
      <c r="C57" s="31" t="s">
        <v>103</v>
      </c>
      <c r="D57" s="67">
        <f>IF(D29 &gt; 36, ((180 + D29) / (D29 * 6)), 1)</f>
        <v>1</v>
      </c>
      <c r="E57" s="37" t="s">
        <v>89</v>
      </c>
      <c r="F57" s="211" t="s">
        <v>340</v>
      </c>
      <c r="G57" s="211"/>
      <c r="H57" s="211"/>
      <c r="I57" s="163"/>
    </row>
    <row r="58" spans="2:9" s="50" customFormat="1" ht="15" customHeight="1" x14ac:dyDescent="0.25">
      <c r="B58" s="33" t="s">
        <v>177</v>
      </c>
      <c r="C58" s="31" t="s">
        <v>103</v>
      </c>
      <c r="D58" s="67">
        <f>IF(D30 &gt; 36, ((180 + D30) / (D30 * 6)), 1)</f>
        <v>1</v>
      </c>
      <c r="E58" s="37" t="s">
        <v>89</v>
      </c>
      <c r="F58" s="211" t="s">
        <v>281</v>
      </c>
      <c r="G58" s="211"/>
      <c r="H58" s="211"/>
    </row>
    <row r="59" spans="2:9" s="50" customFormat="1" ht="15" customHeight="1" x14ac:dyDescent="0.25">
      <c r="B59" s="33" t="s">
        <v>124</v>
      </c>
      <c r="C59" s="31" t="s">
        <v>99</v>
      </c>
      <c r="D59" s="72">
        <f>(D60 * D61) / (D68 *D69)</f>
        <v>0</v>
      </c>
      <c r="E59" s="35" t="s">
        <v>100</v>
      </c>
      <c r="F59" s="165" t="s">
        <v>331</v>
      </c>
    </row>
    <row r="60" spans="2:9" s="50" customFormat="1" ht="15" customHeight="1" x14ac:dyDescent="0.25">
      <c r="B60" s="33" t="s">
        <v>157</v>
      </c>
      <c r="C60" s="32" t="s">
        <v>127</v>
      </c>
      <c r="D60" s="73">
        <f>IF(D11="Select one",0,IF(D11="gasoline",68,130))</f>
        <v>0</v>
      </c>
      <c r="E60" s="36" t="s">
        <v>91</v>
      </c>
      <c r="F60" s="165" t="s">
        <v>250</v>
      </c>
    </row>
    <row r="61" spans="2:9" s="162" customFormat="1" ht="15" customHeight="1" x14ac:dyDescent="0.25">
      <c r="B61" s="29" t="s">
        <v>251</v>
      </c>
      <c r="C61" s="22" t="s">
        <v>80</v>
      </c>
      <c r="D61" s="68">
        <f>EXP(D79-(D80/D70))</f>
        <v>1</v>
      </c>
      <c r="E61" s="36" t="s">
        <v>63</v>
      </c>
      <c r="F61" s="177" t="s">
        <v>369</v>
      </c>
      <c r="G61" s="50"/>
      <c r="I61" s="163"/>
    </row>
    <row r="62" spans="2:9" s="50" customFormat="1" ht="15" customHeight="1" x14ac:dyDescent="0.25">
      <c r="B62" s="33" t="s">
        <v>123</v>
      </c>
      <c r="C62" s="32" t="s">
        <v>128</v>
      </c>
      <c r="D62" s="44">
        <f xml:space="preserve"> (PI() / 4) * (D24^2) * D64</f>
        <v>0</v>
      </c>
      <c r="E62" s="35" t="s">
        <v>101</v>
      </c>
      <c r="F62" s="166" t="s">
        <v>28</v>
      </c>
    </row>
    <row r="63" spans="2:9" s="50" customFormat="1" ht="15" customHeight="1" x14ac:dyDescent="0.25">
      <c r="B63" s="33" t="s">
        <v>183</v>
      </c>
      <c r="C63" s="32" t="s">
        <v>150</v>
      </c>
      <c r="D63" s="44">
        <f>IF(D12="Select one",0,IF(D12="Cone",((1/3)*D34),(D34*(0.5+(1/6)*((D34/D25)^2)))))</f>
        <v>0</v>
      </c>
      <c r="E63" s="35" t="s">
        <v>58</v>
      </c>
      <c r="F63" s="209" t="s">
        <v>328</v>
      </c>
      <c r="G63" s="210"/>
    </row>
    <row r="64" spans="2:9" s="50" customFormat="1" ht="15" customHeight="1" x14ac:dyDescent="0.25">
      <c r="B64" s="33" t="s">
        <v>184</v>
      </c>
      <c r="C64" s="32" t="s">
        <v>129</v>
      </c>
      <c r="D64" s="44">
        <f>D23-D27+D63</f>
        <v>0</v>
      </c>
      <c r="E64" s="28" t="s">
        <v>58</v>
      </c>
      <c r="F64" s="165" t="s">
        <v>327</v>
      </c>
    </row>
    <row r="65" spans="2:10" s="50" customFormat="1" ht="15" customHeight="1" x14ac:dyDescent="0.25">
      <c r="B65" s="33" t="s">
        <v>311</v>
      </c>
      <c r="C65" s="32" t="s">
        <v>130</v>
      </c>
      <c r="D65" s="44">
        <f>(D71/D70)+((D77-D78)/(D45-D61))</f>
        <v>3.3291890342846173E-2</v>
      </c>
      <c r="E65" s="28"/>
      <c r="F65" s="165" t="s">
        <v>33</v>
      </c>
    </row>
    <row r="66" spans="2:10" s="50" customFormat="1" ht="15" customHeight="1" x14ac:dyDescent="0.25">
      <c r="B66" s="33" t="s">
        <v>122</v>
      </c>
      <c r="C66" s="31" t="s">
        <v>102</v>
      </c>
      <c r="D66" s="44">
        <f>1 / (1 + (0.053 * D61 * D64))</f>
        <v>1</v>
      </c>
      <c r="E66" s="37" t="s">
        <v>89</v>
      </c>
      <c r="F66" s="165" t="s">
        <v>27</v>
      </c>
    </row>
    <row r="67" spans="2:10" s="50" customFormat="1" ht="15" customHeight="1" x14ac:dyDescent="0.25">
      <c r="B67" s="33" t="s">
        <v>121</v>
      </c>
      <c r="C67" s="31" t="s">
        <v>104</v>
      </c>
      <c r="D67" s="74">
        <v>1</v>
      </c>
      <c r="E67" s="37" t="s">
        <v>89</v>
      </c>
      <c r="F67" s="210" t="s">
        <v>153</v>
      </c>
      <c r="G67" s="210"/>
    </row>
    <row r="68" spans="2:10" s="50" customFormat="1" ht="15" customHeight="1" x14ac:dyDescent="0.25">
      <c r="B68" s="33" t="s">
        <v>120</v>
      </c>
      <c r="C68" s="31" t="s">
        <v>66</v>
      </c>
      <c r="D68" s="75">
        <v>10.731</v>
      </c>
      <c r="E68" s="156" t="s">
        <v>345</v>
      </c>
      <c r="F68" s="165" t="s">
        <v>334</v>
      </c>
    </row>
    <row r="69" spans="2:10" s="50" customFormat="1" ht="15" customHeight="1" x14ac:dyDescent="0.25">
      <c r="B69" s="33" t="s">
        <v>333</v>
      </c>
      <c r="C69" s="151" t="s">
        <v>332</v>
      </c>
      <c r="D69" s="67">
        <f>(0.7*D75)+(0.3*D76)+(0.009*D46*D33)</f>
        <v>507.29574999999994</v>
      </c>
      <c r="E69" s="28" t="s">
        <v>93</v>
      </c>
      <c r="F69" s="165" t="s">
        <v>29</v>
      </c>
    </row>
    <row r="70" spans="2:10" s="50" customFormat="1" ht="15" customHeight="1" x14ac:dyDescent="0.25">
      <c r="B70" s="33" t="s">
        <v>119</v>
      </c>
      <c r="C70" s="31" t="s">
        <v>105</v>
      </c>
      <c r="D70" s="44">
        <f>(0.4 * D75) + (0.6 * D76) + (0.005 * D33 * D46)</f>
        <v>506.38899999999995</v>
      </c>
      <c r="E70" s="28" t="s">
        <v>93</v>
      </c>
      <c r="F70" s="165" t="s">
        <v>30</v>
      </c>
    </row>
    <row r="71" spans="2:10" s="50" customFormat="1" ht="15" customHeight="1" x14ac:dyDescent="0.25">
      <c r="B71" s="33" t="s">
        <v>312</v>
      </c>
      <c r="C71" s="31" t="s">
        <v>106</v>
      </c>
      <c r="D71" s="44">
        <f>0.7*D72+0.02*D46*D33</f>
        <v>19.149999999999999</v>
      </c>
      <c r="E71" s="28" t="s">
        <v>93</v>
      </c>
      <c r="F71" s="165" t="s">
        <v>31</v>
      </c>
    </row>
    <row r="72" spans="2:10" s="50" customFormat="1" ht="15" customHeight="1" x14ac:dyDescent="0.25">
      <c r="B72" s="33" t="s">
        <v>118</v>
      </c>
      <c r="C72" s="31" t="s">
        <v>107</v>
      </c>
      <c r="D72" s="44">
        <f xml:space="preserve"> D73 - D74</f>
        <v>19</v>
      </c>
      <c r="E72" s="28" t="s">
        <v>93</v>
      </c>
      <c r="F72" s="165" t="s">
        <v>326</v>
      </c>
    </row>
    <row r="73" spans="2:10" s="50" customFormat="1" ht="15" customHeight="1" x14ac:dyDescent="0.25">
      <c r="B73" s="33" t="s">
        <v>117</v>
      </c>
      <c r="C73" s="31" t="s">
        <v>108</v>
      </c>
      <c r="D73" s="44">
        <f xml:space="preserve"> D43 + 459.7</f>
        <v>513.9</v>
      </c>
      <c r="E73" s="28" t="s">
        <v>93</v>
      </c>
      <c r="F73" s="211" t="s">
        <v>336</v>
      </c>
      <c r="G73" s="211"/>
      <c r="H73" s="211"/>
      <c r="I73" s="164"/>
      <c r="J73" s="164"/>
    </row>
    <row r="74" spans="2:10" s="50" customFormat="1" ht="15" customHeight="1" x14ac:dyDescent="0.25">
      <c r="B74" s="33" t="s">
        <v>115</v>
      </c>
      <c r="C74" s="31" t="s">
        <v>109</v>
      </c>
      <c r="D74" s="44">
        <f>D44 + 459.7</f>
        <v>494.9</v>
      </c>
      <c r="E74" s="28" t="s">
        <v>93</v>
      </c>
      <c r="F74" s="207" t="s">
        <v>336</v>
      </c>
      <c r="G74" s="207"/>
      <c r="H74" s="207"/>
      <c r="I74" s="164"/>
      <c r="J74" s="164"/>
    </row>
    <row r="75" spans="2:10" s="50" customFormat="1" ht="15" customHeight="1" x14ac:dyDescent="0.25">
      <c r="B75" s="33" t="s">
        <v>116</v>
      </c>
      <c r="C75" s="31" t="s">
        <v>110</v>
      </c>
      <c r="D75" s="44">
        <f>(( D73 + D74) / 2)</f>
        <v>504.4</v>
      </c>
      <c r="E75" s="28" t="s">
        <v>93</v>
      </c>
      <c r="F75" s="165" t="s">
        <v>335</v>
      </c>
    </row>
    <row r="76" spans="2:10" s="50" customFormat="1" ht="15" customHeight="1" x14ac:dyDescent="0.25">
      <c r="B76" s="33" t="s">
        <v>114</v>
      </c>
      <c r="C76" s="31" t="s">
        <v>111</v>
      </c>
      <c r="D76" s="44">
        <f>(D75) + (0.003*D46*D33)</f>
        <v>505.27749999999997</v>
      </c>
      <c r="E76" s="28" t="s">
        <v>93</v>
      </c>
      <c r="F76" s="165" t="s">
        <v>337</v>
      </c>
    </row>
    <row r="77" spans="2:10" s="50" customFormat="1" ht="15" customHeight="1" x14ac:dyDescent="0.25">
      <c r="B77" s="33" t="s">
        <v>113</v>
      </c>
      <c r="C77" s="31" t="s">
        <v>112</v>
      </c>
      <c r="D77" s="44">
        <f>D81-D82</f>
        <v>0</v>
      </c>
      <c r="E77" s="28" t="s">
        <v>63</v>
      </c>
      <c r="F77" s="166" t="s">
        <v>169</v>
      </c>
    </row>
    <row r="78" spans="2:10" s="162" customFormat="1" ht="15" customHeight="1" x14ac:dyDescent="0.25">
      <c r="B78" s="33" t="s">
        <v>168</v>
      </c>
      <c r="C78" s="31" t="s">
        <v>167</v>
      </c>
      <c r="D78" s="72">
        <f>D38-D37</f>
        <v>0.06</v>
      </c>
      <c r="E78" s="28" t="s">
        <v>95</v>
      </c>
      <c r="F78" s="166" t="s">
        <v>32</v>
      </c>
    </row>
    <row r="79" spans="2:10" s="50" customFormat="1" ht="15" customHeight="1" x14ac:dyDescent="0.25">
      <c r="B79" s="33" t="s">
        <v>313</v>
      </c>
      <c r="C79" s="31" t="s">
        <v>314</v>
      </c>
      <c r="D79" s="74">
        <f>IF(D11="Select one",0,IF(D11="gasoline",Tables!F12,Tables!F11))</f>
        <v>0</v>
      </c>
      <c r="E79" s="144" t="s">
        <v>89</v>
      </c>
      <c r="F79" s="145" t="s">
        <v>250</v>
      </c>
      <c r="G79" s="163"/>
      <c r="H79" s="163"/>
    </row>
    <row r="80" spans="2:10" ht="15" customHeight="1" x14ac:dyDescent="0.25">
      <c r="B80" s="33" t="s">
        <v>313</v>
      </c>
      <c r="C80" s="152" t="s">
        <v>94</v>
      </c>
      <c r="D80" s="75">
        <f>IF(D11="select one",0,IF(D11="gasoline",Tables!G12,Tables!G11))</f>
        <v>0</v>
      </c>
      <c r="E80" s="28" t="s">
        <v>93</v>
      </c>
      <c r="F80" s="145" t="s">
        <v>250</v>
      </c>
    </row>
    <row r="81" spans="2:6" ht="15" customHeight="1" x14ac:dyDescent="0.4">
      <c r="B81" s="33" t="s">
        <v>341</v>
      </c>
      <c r="C81" s="152" t="s">
        <v>320</v>
      </c>
      <c r="D81" s="72">
        <f>EXP((D79-(D80/D83)))</f>
        <v>1</v>
      </c>
      <c r="E81" s="154" t="s">
        <v>63</v>
      </c>
      <c r="F81" s="167" t="s">
        <v>315</v>
      </c>
    </row>
    <row r="82" spans="2:6" ht="15" customHeight="1" x14ac:dyDescent="0.4">
      <c r="B82" s="102" t="s">
        <v>342</v>
      </c>
      <c r="C82" s="152" t="s">
        <v>319</v>
      </c>
      <c r="D82" s="72">
        <f>EXP(D79-(D80/D84))</f>
        <v>1</v>
      </c>
      <c r="E82" s="155" t="s">
        <v>63</v>
      </c>
      <c r="F82" s="167" t="s">
        <v>315</v>
      </c>
    </row>
    <row r="83" spans="2:6" ht="15" customHeight="1" x14ac:dyDescent="0.4">
      <c r="B83" s="102" t="s">
        <v>343</v>
      </c>
      <c r="C83" s="153" t="s">
        <v>318</v>
      </c>
      <c r="D83" s="72">
        <f>D70+0.25*D71</f>
        <v>511.17649999999998</v>
      </c>
      <c r="E83" s="28" t="s">
        <v>93</v>
      </c>
      <c r="F83" t="s">
        <v>316</v>
      </c>
    </row>
    <row r="84" spans="2:6" ht="15" customHeight="1" x14ac:dyDescent="0.4">
      <c r="B84" s="102" t="s">
        <v>344</v>
      </c>
      <c r="C84" s="153" t="s">
        <v>317</v>
      </c>
      <c r="D84" s="72">
        <f>D70-0.25*D71</f>
        <v>501.60149999999993</v>
      </c>
      <c r="E84" s="28" t="s">
        <v>93</v>
      </c>
      <c r="F84" t="s">
        <v>316</v>
      </c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63">
    <mergeCell ref="F74:H74"/>
    <mergeCell ref="F46:H46"/>
    <mergeCell ref="F57:H57"/>
    <mergeCell ref="F58:H58"/>
    <mergeCell ref="F63:G63"/>
    <mergeCell ref="F67:G67"/>
    <mergeCell ref="F73:H73"/>
    <mergeCell ref="F45:H45"/>
    <mergeCell ref="I45:K45"/>
    <mergeCell ref="F35:H35"/>
    <mergeCell ref="I35:L35"/>
    <mergeCell ref="F36:H36"/>
    <mergeCell ref="I36:L36"/>
    <mergeCell ref="F37:H37"/>
    <mergeCell ref="I37:L37"/>
    <mergeCell ref="F38:H38"/>
    <mergeCell ref="I38:L38"/>
    <mergeCell ref="F42:H42"/>
    <mergeCell ref="F43:H43"/>
    <mergeCell ref="F44:H44"/>
    <mergeCell ref="F32:H32"/>
    <mergeCell ref="I32:L32"/>
    <mergeCell ref="F33:H33"/>
    <mergeCell ref="I33:L33"/>
    <mergeCell ref="F34:H34"/>
    <mergeCell ref="I34:L34"/>
    <mergeCell ref="F29:H29"/>
    <mergeCell ref="I29:L29"/>
    <mergeCell ref="F30:H30"/>
    <mergeCell ref="I30:L30"/>
    <mergeCell ref="F31:H31"/>
    <mergeCell ref="I31:L31"/>
    <mergeCell ref="F26:H26"/>
    <mergeCell ref="I26:L26"/>
    <mergeCell ref="F27:H27"/>
    <mergeCell ref="I27:L27"/>
    <mergeCell ref="F28:H28"/>
    <mergeCell ref="I28:L28"/>
    <mergeCell ref="F23:H23"/>
    <mergeCell ref="I23:L23"/>
    <mergeCell ref="F24:H24"/>
    <mergeCell ref="I24:L24"/>
    <mergeCell ref="F25:H25"/>
    <mergeCell ref="I25:L25"/>
    <mergeCell ref="F18:H18"/>
    <mergeCell ref="I18:L18"/>
    <mergeCell ref="B10:C10"/>
    <mergeCell ref="F11:H11"/>
    <mergeCell ref="I11:L11"/>
    <mergeCell ref="F12:H12"/>
    <mergeCell ref="I12:L12"/>
    <mergeCell ref="F13:H13"/>
    <mergeCell ref="F14:H14"/>
    <mergeCell ref="F15:H16"/>
    <mergeCell ref="I15:L16"/>
    <mergeCell ref="F17:H17"/>
    <mergeCell ref="I17:L17"/>
    <mergeCell ref="D8:E8"/>
    <mergeCell ref="B2:E2"/>
    <mergeCell ref="B3:C3"/>
    <mergeCell ref="B5:C5"/>
    <mergeCell ref="D6:E6"/>
    <mergeCell ref="D7:E7"/>
  </mergeCells>
  <conditionalFormatting sqref="D26">
    <cfRule type="expression" dxfId="3" priority="2">
      <formula>AND($D$26&gt;$D$23,$D$26=0)</formula>
    </cfRule>
  </conditionalFormatting>
  <conditionalFormatting sqref="D27">
    <cfRule type="expression" dxfId="2" priority="1">
      <formula>AND($D$27&gt;$D$26,$D$27=0)</formula>
    </cfRule>
  </conditionalFormatting>
  <dataValidations count="3">
    <dataValidation type="list" allowBlank="1" showInputMessage="1" showErrorMessage="1" sqref="D12">
      <formula1>"Select one,Cone,Dome"</formula1>
    </dataValidation>
    <dataValidation type="list" allowBlank="1" showInputMessage="1" showErrorMessage="1" sqref="D32">
      <formula1>"New,Average,Aged"</formula1>
    </dataValidation>
    <dataValidation type="list" allowBlank="1" showInputMessage="1" showErrorMessage="1" sqref="D11">
      <formula1>"Select one,Gasoline,Diesel"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</headerFooter>
  <colBreaks count="1" manualBreakCount="1">
    <brk id="8" max="8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D1EAFF"/>
  </sheetPr>
  <dimension ref="B1:M88"/>
  <sheetViews>
    <sheetView showGridLines="0" zoomScaleNormal="100" zoomScaleSheetLayoutView="70" workbookViewId="0">
      <selection activeCell="D6" sqref="D6:E6"/>
    </sheetView>
  </sheetViews>
  <sheetFormatPr defaultRowHeight="15" customHeight="1" x14ac:dyDescent="0.25"/>
  <cols>
    <col min="1" max="1" width="3.1796875" customWidth="1"/>
    <col min="2" max="2" width="36.1796875" customWidth="1"/>
    <col min="3" max="3" width="5" customWidth="1"/>
    <col min="4" max="4" width="20.81640625" customWidth="1"/>
    <col min="5" max="5" width="18.1796875" customWidth="1"/>
    <col min="6" max="8" width="22.81640625" customWidth="1"/>
    <col min="9" max="12" width="20.1796875" customWidth="1"/>
    <col min="13" max="13" width="8.81640625" customWidth="1"/>
    <col min="14" max="1024" width="9.81640625" customWidth="1"/>
  </cols>
  <sheetData>
    <row r="1" spans="2:13" ht="15" customHeight="1" x14ac:dyDescent="0.25">
      <c r="E1" s="87" t="str">
        <f>Instructions!H2</f>
        <v>p-sbap5-42v  •  7/13/20</v>
      </c>
      <c r="F1" s="96"/>
      <c r="G1" s="96"/>
      <c r="H1" s="96"/>
      <c r="I1" s="96"/>
      <c r="J1" s="96"/>
      <c r="K1" s="96"/>
      <c r="L1" s="96"/>
      <c r="M1" s="96"/>
    </row>
    <row r="2" spans="2:13" ht="15" customHeight="1" thickBot="1" x14ac:dyDescent="0.3">
      <c r="B2" s="226" t="s">
        <v>87</v>
      </c>
      <c r="C2" s="226"/>
      <c r="D2" s="226"/>
      <c r="E2" s="226"/>
      <c r="F2" s="18"/>
      <c r="G2" s="18"/>
      <c r="H2" s="18"/>
      <c r="I2" s="18"/>
      <c r="J2" s="18"/>
      <c r="K2" s="18"/>
      <c r="L2" s="18"/>
      <c r="M2" s="96"/>
    </row>
    <row r="3" spans="2:13" ht="15" customHeight="1" x14ac:dyDescent="0.25">
      <c r="B3" s="227" t="s">
        <v>132</v>
      </c>
      <c r="C3" s="227"/>
      <c r="F3" s="96"/>
      <c r="G3" s="96"/>
      <c r="H3" s="96"/>
      <c r="I3" s="96"/>
      <c r="J3" s="96"/>
      <c r="K3" s="96"/>
      <c r="L3" s="96"/>
      <c r="M3" s="96"/>
    </row>
    <row r="5" spans="2:13" s="162" customFormat="1" ht="15" customHeight="1" x14ac:dyDescent="0.25">
      <c r="B5" s="228" t="s">
        <v>46</v>
      </c>
      <c r="C5" s="228"/>
    </row>
    <row r="6" spans="2:13" s="162" customFormat="1" ht="15" customHeight="1" x14ac:dyDescent="0.25">
      <c r="C6" s="49" t="s">
        <v>47</v>
      </c>
      <c r="D6" s="229"/>
      <c r="E6" s="229"/>
    </row>
    <row r="7" spans="2:13" s="162" customFormat="1" ht="15" customHeight="1" x14ac:dyDescent="0.25">
      <c r="C7" s="49" t="s">
        <v>17</v>
      </c>
      <c r="D7" s="229"/>
      <c r="E7" s="229"/>
    </row>
    <row r="8" spans="2:13" s="162" customFormat="1" ht="15" customHeight="1" x14ac:dyDescent="0.25">
      <c r="C8" s="49" t="s">
        <v>48</v>
      </c>
      <c r="D8" s="224"/>
      <c r="E8" s="225"/>
    </row>
    <row r="9" spans="2:13" s="70" customFormat="1" ht="15" customHeight="1" x14ac:dyDescent="0.25">
      <c r="C9" s="51"/>
      <c r="D9" s="100"/>
      <c r="E9" s="38"/>
    </row>
    <row r="10" spans="2:13" s="162" customFormat="1" ht="15" customHeight="1" x14ac:dyDescent="0.25">
      <c r="B10" s="218" t="s">
        <v>56</v>
      </c>
      <c r="C10" s="218"/>
      <c r="D10" s="159" t="s">
        <v>18</v>
      </c>
      <c r="E10" s="159" t="s">
        <v>57</v>
      </c>
      <c r="F10" s="58" t="s">
        <v>17</v>
      </c>
      <c r="G10" s="59"/>
      <c r="H10" s="59"/>
      <c r="I10" s="58" t="s">
        <v>162</v>
      </c>
      <c r="J10" s="59"/>
      <c r="K10" s="59"/>
      <c r="L10" s="59"/>
    </row>
    <row r="11" spans="2:13" s="162" customFormat="1" ht="15" customHeight="1" x14ac:dyDescent="0.25">
      <c r="C11" s="49" t="s">
        <v>49</v>
      </c>
      <c r="D11" s="48" t="s">
        <v>233</v>
      </c>
      <c r="E11" s="163" t="s">
        <v>244</v>
      </c>
      <c r="F11" s="219" t="s">
        <v>243</v>
      </c>
      <c r="G11" s="219"/>
      <c r="H11" s="219"/>
      <c r="I11" s="219" t="s">
        <v>256</v>
      </c>
      <c r="J11" s="219"/>
      <c r="K11" s="219"/>
      <c r="L11" s="219"/>
    </row>
    <row r="12" spans="2:13" s="162" customFormat="1" ht="15" customHeight="1" x14ac:dyDescent="0.25">
      <c r="B12" s="29"/>
      <c r="C12" s="49" t="s">
        <v>65</v>
      </c>
      <c r="D12" s="169" t="s">
        <v>233</v>
      </c>
      <c r="E12" s="40" t="s">
        <v>75</v>
      </c>
      <c r="F12" s="212" t="s">
        <v>159</v>
      </c>
      <c r="G12" s="212"/>
      <c r="H12" s="212"/>
      <c r="I12" s="208" t="s">
        <v>255</v>
      </c>
      <c r="J12" s="208"/>
      <c r="K12" s="208"/>
      <c r="L12" s="208"/>
    </row>
    <row r="13" spans="2:13" s="162" customFormat="1" ht="15" customHeight="1" x14ac:dyDescent="0.25">
      <c r="C13" s="49" t="s">
        <v>51</v>
      </c>
      <c r="D13" s="53">
        <v>0</v>
      </c>
      <c r="E13" s="50" t="s">
        <v>52</v>
      </c>
      <c r="F13" s="220" t="s">
        <v>254</v>
      </c>
      <c r="G13" s="220"/>
      <c r="H13" s="220"/>
    </row>
    <row r="14" spans="2:13" s="162" customFormat="1" ht="15" customHeight="1" x14ac:dyDescent="0.25">
      <c r="C14" s="49" t="s">
        <v>53</v>
      </c>
      <c r="D14" s="45">
        <v>0</v>
      </c>
      <c r="E14" s="50" t="s">
        <v>54</v>
      </c>
      <c r="F14" s="221" t="s">
        <v>253</v>
      </c>
      <c r="G14" s="221"/>
      <c r="H14" s="221"/>
      <c r="I14" s="54"/>
      <c r="J14" s="54"/>
      <c r="K14" s="54"/>
      <c r="L14" s="54"/>
    </row>
    <row r="15" spans="2:13" s="162" customFormat="1" ht="15" customHeight="1" x14ac:dyDescent="0.25">
      <c r="C15" s="49" t="s">
        <v>50</v>
      </c>
      <c r="D15" s="55" t="str">
        <f>IFERROR((D13/D14*8760)*1.3,"--")</f>
        <v>--</v>
      </c>
      <c r="E15" s="50" t="s">
        <v>52</v>
      </c>
      <c r="F15" s="222" t="s">
        <v>295</v>
      </c>
      <c r="G15" s="222"/>
      <c r="H15" s="222"/>
      <c r="I15" s="222" t="s">
        <v>296</v>
      </c>
      <c r="J15" s="223"/>
      <c r="K15" s="223"/>
      <c r="L15" s="223"/>
    </row>
    <row r="16" spans="2:13" s="162" customFormat="1" ht="15" customHeight="1" x14ac:dyDescent="0.25">
      <c r="F16" s="222"/>
      <c r="G16" s="222"/>
      <c r="H16" s="222"/>
      <c r="I16" s="223"/>
      <c r="J16" s="223"/>
      <c r="K16" s="223"/>
      <c r="L16" s="223"/>
    </row>
    <row r="17" spans="2:12" s="162" customFormat="1" ht="15" customHeight="1" x14ac:dyDescent="0.25">
      <c r="C17" s="51" t="s">
        <v>185</v>
      </c>
      <c r="D17" s="91">
        <f>IF(OR(D13=0,D14=0),0,D50/2000)</f>
        <v>0</v>
      </c>
      <c r="E17" s="50" t="s">
        <v>187</v>
      </c>
      <c r="F17" s="217" t="s">
        <v>241</v>
      </c>
      <c r="G17" s="217"/>
      <c r="H17" s="217"/>
      <c r="I17" s="217" t="s">
        <v>242</v>
      </c>
      <c r="J17" s="217"/>
      <c r="K17" s="217"/>
      <c r="L17" s="217"/>
    </row>
    <row r="18" spans="2:12" s="162" customFormat="1" ht="15" customHeight="1" x14ac:dyDescent="0.25">
      <c r="C18" s="51" t="s">
        <v>186</v>
      </c>
      <c r="D18" s="91">
        <f>IF(D15="--",0,D51/2000)</f>
        <v>0</v>
      </c>
      <c r="E18" s="50" t="s">
        <v>187</v>
      </c>
      <c r="F18" s="217" t="s">
        <v>240</v>
      </c>
      <c r="G18" s="217"/>
      <c r="H18" s="217"/>
      <c r="I18" s="217" t="s">
        <v>242</v>
      </c>
      <c r="J18" s="217"/>
      <c r="K18" s="217"/>
      <c r="L18" s="217"/>
    </row>
    <row r="19" spans="2:12" s="164" customFormat="1" ht="15" customHeight="1" x14ac:dyDescent="0.25">
      <c r="D19" s="21"/>
    </row>
    <row r="20" spans="2:12" s="164" customFormat="1" ht="15" customHeight="1" x14ac:dyDescent="0.25">
      <c r="D20" s="21"/>
    </row>
    <row r="21" spans="2:12" s="162" customFormat="1" ht="15" customHeight="1" x14ac:dyDescent="0.25">
      <c r="B21" s="56" t="s">
        <v>55</v>
      </c>
      <c r="C21" s="56"/>
      <c r="D21" s="2"/>
    </row>
    <row r="22" spans="2:12" s="162" customFormat="1" ht="15" customHeight="1" x14ac:dyDescent="0.25">
      <c r="B22" s="159" t="s">
        <v>56</v>
      </c>
      <c r="C22" s="57"/>
      <c r="D22" s="159" t="s">
        <v>18</v>
      </c>
      <c r="E22" s="159" t="s">
        <v>57</v>
      </c>
      <c r="F22" s="58" t="s">
        <v>17</v>
      </c>
      <c r="G22" s="59"/>
      <c r="H22" s="59"/>
      <c r="I22" s="58" t="s">
        <v>162</v>
      </c>
      <c r="J22" s="59"/>
      <c r="K22" s="59"/>
      <c r="L22" s="59"/>
    </row>
    <row r="23" spans="2:12" s="162" customFormat="1" ht="15" customHeight="1" x14ac:dyDescent="0.25">
      <c r="B23" s="29" t="s">
        <v>69</v>
      </c>
      <c r="C23" s="22" t="s">
        <v>77</v>
      </c>
      <c r="D23" s="60">
        <v>0</v>
      </c>
      <c r="E23" s="38" t="s">
        <v>58</v>
      </c>
      <c r="F23" s="215" t="s">
        <v>134</v>
      </c>
      <c r="G23" s="215"/>
      <c r="H23" s="215"/>
      <c r="I23" s="216" t="s">
        <v>160</v>
      </c>
      <c r="J23" s="216"/>
      <c r="K23" s="216"/>
      <c r="L23" s="216"/>
    </row>
    <row r="24" spans="2:12" s="162" customFormat="1" ht="15" customHeight="1" x14ac:dyDescent="0.25">
      <c r="B24" s="29" t="s">
        <v>70</v>
      </c>
      <c r="C24" s="22" t="s">
        <v>61</v>
      </c>
      <c r="D24" s="48">
        <v>0</v>
      </c>
      <c r="E24" s="38" t="s">
        <v>58</v>
      </c>
      <c r="F24" s="212" t="s">
        <v>133</v>
      </c>
      <c r="G24" s="212"/>
      <c r="H24" s="212"/>
      <c r="I24" s="212" t="s">
        <v>161</v>
      </c>
      <c r="J24" s="212"/>
      <c r="K24" s="212"/>
      <c r="L24" s="212"/>
    </row>
    <row r="25" spans="2:12" s="162" customFormat="1" ht="15" customHeight="1" x14ac:dyDescent="0.25">
      <c r="B25" s="29" t="s">
        <v>71</v>
      </c>
      <c r="C25" s="22" t="s">
        <v>78</v>
      </c>
      <c r="D25" s="62">
        <f>D24/2</f>
        <v>0</v>
      </c>
      <c r="E25" s="39" t="s">
        <v>58</v>
      </c>
      <c r="F25" s="212" t="s">
        <v>140</v>
      </c>
      <c r="G25" s="212"/>
      <c r="H25" s="212"/>
      <c r="I25" s="212" t="s">
        <v>135</v>
      </c>
      <c r="J25" s="212"/>
      <c r="K25" s="212"/>
      <c r="L25" s="212"/>
    </row>
    <row r="26" spans="2:12" s="162" customFormat="1" ht="15" customHeight="1" x14ac:dyDescent="0.25">
      <c r="B26" s="29" t="s">
        <v>60</v>
      </c>
      <c r="C26" s="22" t="s">
        <v>346</v>
      </c>
      <c r="D26" s="63">
        <v>0</v>
      </c>
      <c r="E26" s="36" t="s">
        <v>58</v>
      </c>
      <c r="F26" s="212" t="s">
        <v>136</v>
      </c>
      <c r="G26" s="212"/>
      <c r="H26" s="212"/>
      <c r="I26" s="212" t="s">
        <v>139</v>
      </c>
      <c r="J26" s="212"/>
      <c r="K26" s="212"/>
      <c r="L26" s="212"/>
    </row>
    <row r="27" spans="2:12" s="162" customFormat="1" ht="15" customHeight="1" x14ac:dyDescent="0.25">
      <c r="B27" s="29" t="s">
        <v>72</v>
      </c>
      <c r="C27" s="22" t="s">
        <v>79</v>
      </c>
      <c r="D27" s="63">
        <v>0</v>
      </c>
      <c r="E27" s="36" t="s">
        <v>58</v>
      </c>
      <c r="F27" s="212" t="s">
        <v>137</v>
      </c>
      <c r="G27" s="212"/>
      <c r="H27" s="212"/>
      <c r="I27" s="212" t="s">
        <v>138</v>
      </c>
      <c r="J27" s="212"/>
      <c r="K27" s="212"/>
      <c r="L27" s="212"/>
    </row>
    <row r="28" spans="2:12" s="162" customFormat="1" ht="15" customHeight="1" x14ac:dyDescent="0.25">
      <c r="B28" s="29" t="s">
        <v>73</v>
      </c>
      <c r="C28" s="23"/>
      <c r="D28" s="64">
        <f xml:space="preserve"> (PI() * (D25^2)) * D26 * 7.48</f>
        <v>0</v>
      </c>
      <c r="E28" s="40" t="s">
        <v>59</v>
      </c>
      <c r="F28" s="212" t="s">
        <v>141</v>
      </c>
      <c r="G28" s="212"/>
      <c r="H28" s="212"/>
      <c r="I28" s="212" t="s">
        <v>158</v>
      </c>
      <c r="J28" s="212"/>
      <c r="K28" s="212"/>
      <c r="L28" s="212"/>
    </row>
    <row r="29" spans="2:12" s="162" customFormat="1" ht="15" customHeight="1" x14ac:dyDescent="0.25">
      <c r="B29" s="29" t="s">
        <v>174</v>
      </c>
      <c r="C29" s="23" t="s">
        <v>339</v>
      </c>
      <c r="D29" s="65">
        <f>IFERROR(D13/D28,0)</f>
        <v>0</v>
      </c>
      <c r="E29" s="139" t="s">
        <v>89</v>
      </c>
      <c r="F29" s="212" t="s">
        <v>142</v>
      </c>
      <c r="G29" s="212"/>
      <c r="H29" s="212"/>
      <c r="I29" s="212" t="s">
        <v>172</v>
      </c>
      <c r="J29" s="212"/>
      <c r="K29" s="212"/>
      <c r="L29" s="212"/>
    </row>
    <row r="30" spans="2:12" s="162" customFormat="1" ht="15" customHeight="1" x14ac:dyDescent="0.25">
      <c r="B30" s="29" t="s">
        <v>170</v>
      </c>
      <c r="C30" s="23" t="s">
        <v>339</v>
      </c>
      <c r="D30" s="65">
        <f>IFERROR(D15/D28,0)</f>
        <v>0</v>
      </c>
      <c r="E30" s="139" t="s">
        <v>89</v>
      </c>
      <c r="F30" s="212" t="s">
        <v>171</v>
      </c>
      <c r="G30" s="212"/>
      <c r="H30" s="212"/>
      <c r="I30" s="212" t="s">
        <v>173</v>
      </c>
      <c r="J30" s="212"/>
      <c r="K30" s="212"/>
      <c r="L30" s="212"/>
    </row>
    <row r="31" spans="2:12" s="162" customFormat="1" ht="15" customHeight="1" x14ac:dyDescent="0.25">
      <c r="B31" s="29" t="s">
        <v>74</v>
      </c>
      <c r="C31" s="23"/>
      <c r="D31" s="66" t="s">
        <v>22</v>
      </c>
      <c r="E31" s="40" t="s">
        <v>75</v>
      </c>
      <c r="F31" s="212" t="s">
        <v>163</v>
      </c>
      <c r="G31" s="212"/>
      <c r="H31" s="212"/>
      <c r="I31" s="212" t="s">
        <v>265</v>
      </c>
      <c r="J31" s="212"/>
      <c r="K31" s="212"/>
      <c r="L31" s="212"/>
    </row>
    <row r="32" spans="2:12" s="162" customFormat="1" ht="15" customHeight="1" x14ac:dyDescent="0.25">
      <c r="B32" s="29" t="s">
        <v>76</v>
      </c>
      <c r="C32" s="23"/>
      <c r="D32" s="63" t="s">
        <v>258</v>
      </c>
      <c r="E32" s="40" t="s">
        <v>75</v>
      </c>
      <c r="F32" s="212" t="s">
        <v>164</v>
      </c>
      <c r="G32" s="212"/>
      <c r="H32" s="212"/>
      <c r="I32" s="212" t="s">
        <v>266</v>
      </c>
      <c r="J32" s="212"/>
      <c r="K32" s="212"/>
      <c r="L32" s="212"/>
    </row>
    <row r="33" spans="2:12" s="162" customFormat="1" ht="15" customHeight="1" x14ac:dyDescent="0.25">
      <c r="B33" s="29" t="s">
        <v>64</v>
      </c>
      <c r="C33" s="22" t="s">
        <v>62</v>
      </c>
      <c r="D33" s="63">
        <v>0.25</v>
      </c>
      <c r="E33" s="139" t="s">
        <v>89</v>
      </c>
      <c r="F33" s="214" t="s">
        <v>297</v>
      </c>
      <c r="G33" s="212"/>
      <c r="H33" s="212"/>
      <c r="I33" s="214" t="s">
        <v>298</v>
      </c>
      <c r="J33" s="212"/>
      <c r="K33" s="212"/>
      <c r="L33" s="212"/>
    </row>
    <row r="34" spans="2:12" s="162" customFormat="1" ht="15" customHeight="1" x14ac:dyDescent="0.25">
      <c r="B34" s="29" t="s">
        <v>68</v>
      </c>
      <c r="C34" s="22" t="s">
        <v>81</v>
      </c>
      <c r="D34" s="158" t="str">
        <f>IF(D12="Cone",(0.00625*D25),IF(D12="Dome",(D35-(((D35^2)-(D25^2))^0.5)),"--"))</f>
        <v>--</v>
      </c>
      <c r="E34" s="36" t="s">
        <v>58</v>
      </c>
      <c r="F34" s="208" t="s">
        <v>329</v>
      </c>
      <c r="G34" s="212"/>
      <c r="H34" s="212"/>
      <c r="I34" s="208" t="s">
        <v>330</v>
      </c>
      <c r="J34" s="212"/>
      <c r="K34" s="212"/>
      <c r="L34" s="212"/>
    </row>
    <row r="35" spans="2:12" s="162" customFormat="1" ht="15" customHeight="1" x14ac:dyDescent="0.25">
      <c r="B35" s="29" t="s">
        <v>249</v>
      </c>
      <c r="C35" s="22" t="s">
        <v>247</v>
      </c>
      <c r="D35" s="67" t="str">
        <f xml:space="preserve"> IF(D12 ="Dome",(D24*0.8),"--")</f>
        <v>--</v>
      </c>
      <c r="E35" s="41" t="s">
        <v>58</v>
      </c>
      <c r="F35" s="212" t="s">
        <v>143</v>
      </c>
      <c r="G35" s="212"/>
      <c r="H35" s="212"/>
      <c r="I35" s="212" t="s">
        <v>252</v>
      </c>
      <c r="J35" s="212"/>
      <c r="K35" s="212"/>
      <c r="L35" s="212"/>
    </row>
    <row r="36" spans="2:12" s="162" customFormat="1" ht="15" customHeight="1" x14ac:dyDescent="0.25">
      <c r="B36" s="29" t="s">
        <v>248</v>
      </c>
      <c r="C36" s="22" t="s">
        <v>246</v>
      </c>
      <c r="D36" s="172" t="str">
        <f>IF(D12="Cone",0.0625,"--")</f>
        <v>--</v>
      </c>
      <c r="E36" s="46" t="s">
        <v>165</v>
      </c>
      <c r="F36" s="208" t="s">
        <v>347</v>
      </c>
      <c r="G36" s="212"/>
      <c r="H36" s="212"/>
      <c r="I36" s="208" t="s">
        <v>299</v>
      </c>
      <c r="J36" s="212"/>
      <c r="K36" s="212"/>
      <c r="L36" s="212"/>
    </row>
    <row r="37" spans="2:12" s="162" customFormat="1" ht="15" customHeight="1" x14ac:dyDescent="0.25">
      <c r="B37" s="29" t="s">
        <v>83</v>
      </c>
      <c r="C37" s="24" t="s">
        <v>321</v>
      </c>
      <c r="D37" s="68">
        <v>-0.03</v>
      </c>
      <c r="E37" s="36" t="s">
        <v>82</v>
      </c>
      <c r="F37" s="212" t="s">
        <v>144</v>
      </c>
      <c r="G37" s="212"/>
      <c r="H37" s="212"/>
      <c r="I37" s="212" t="s">
        <v>146</v>
      </c>
      <c r="J37" s="212"/>
      <c r="K37" s="212"/>
      <c r="L37" s="212"/>
    </row>
    <row r="38" spans="2:12" s="162" customFormat="1" ht="15" customHeight="1" x14ac:dyDescent="0.25">
      <c r="B38" s="29" t="s">
        <v>84</v>
      </c>
      <c r="C38" s="24" t="s">
        <v>322</v>
      </c>
      <c r="D38" s="68">
        <v>0.03</v>
      </c>
      <c r="E38" s="36" t="s">
        <v>82</v>
      </c>
      <c r="F38" s="212" t="s">
        <v>147</v>
      </c>
      <c r="G38" s="212"/>
      <c r="H38" s="212"/>
      <c r="I38" s="212" t="s">
        <v>145</v>
      </c>
      <c r="J38" s="212"/>
      <c r="K38" s="212"/>
      <c r="L38" s="212"/>
    </row>
    <row r="39" spans="2:12" s="162" customFormat="1" ht="15" customHeight="1" x14ac:dyDescent="0.25">
      <c r="C39" s="25"/>
      <c r="D39" s="69"/>
      <c r="E39" s="42"/>
      <c r="F39" s="160"/>
    </row>
    <row r="40" spans="2:12" s="162" customFormat="1" ht="15" customHeight="1" x14ac:dyDescent="0.25">
      <c r="B40" s="56" t="s">
        <v>151</v>
      </c>
      <c r="C40" s="26"/>
      <c r="D40" s="19"/>
      <c r="E40" s="42"/>
      <c r="F40" s="160"/>
    </row>
    <row r="41" spans="2:12" s="162" customFormat="1" ht="15" customHeight="1" x14ac:dyDescent="0.25">
      <c r="B41" s="159" t="s">
        <v>56</v>
      </c>
      <c r="C41" s="57"/>
      <c r="D41" s="159" t="s">
        <v>18</v>
      </c>
      <c r="E41" s="159" t="s">
        <v>57</v>
      </c>
      <c r="F41" s="58" t="s">
        <v>17</v>
      </c>
      <c r="G41" s="59"/>
      <c r="H41" s="59"/>
      <c r="I41" s="58" t="s">
        <v>162</v>
      </c>
      <c r="J41" s="59"/>
      <c r="K41" s="59"/>
      <c r="L41" s="59"/>
    </row>
    <row r="42" spans="2:12" s="61" customFormat="1" ht="15" customHeight="1" x14ac:dyDescent="0.25">
      <c r="B42" s="29" t="s">
        <v>154</v>
      </c>
      <c r="C42" s="27"/>
      <c r="D42" s="63" t="s">
        <v>277</v>
      </c>
      <c r="E42" s="43" t="s">
        <v>233</v>
      </c>
      <c r="F42" s="213" t="s">
        <v>278</v>
      </c>
      <c r="G42" s="213"/>
      <c r="H42" s="213"/>
      <c r="I42" s="163" t="s">
        <v>245</v>
      </c>
    </row>
    <row r="43" spans="2:12" s="162" customFormat="1" ht="15" customHeight="1" x14ac:dyDescent="0.25">
      <c r="B43" s="29" t="s">
        <v>155</v>
      </c>
      <c r="C43" s="122" t="s">
        <v>215</v>
      </c>
      <c r="D43" s="76">
        <f>VLOOKUP(D42,Tables!B46:F50,2,FALSE)</f>
        <v>54.2</v>
      </c>
      <c r="E43" s="43" t="s">
        <v>131</v>
      </c>
      <c r="F43" s="208" t="s">
        <v>280</v>
      </c>
      <c r="G43" s="208"/>
      <c r="H43" s="208"/>
      <c r="I43" s="163" t="s">
        <v>245</v>
      </c>
    </row>
    <row r="44" spans="2:12" s="162" customFormat="1" ht="15" customHeight="1" x14ac:dyDescent="0.25">
      <c r="B44" s="29" t="s">
        <v>156</v>
      </c>
      <c r="C44" s="122" t="s">
        <v>216</v>
      </c>
      <c r="D44" s="76">
        <f>VLOOKUP(D42,Tables!B46:F50,3,FALSE)</f>
        <v>35.200000000000003</v>
      </c>
      <c r="E44" s="43" t="s">
        <v>131</v>
      </c>
      <c r="F44" s="208" t="s">
        <v>280</v>
      </c>
      <c r="G44" s="208"/>
      <c r="H44" s="208"/>
      <c r="I44" s="163" t="s">
        <v>245</v>
      </c>
    </row>
    <row r="45" spans="2:12" s="162" customFormat="1" ht="15" customHeight="1" x14ac:dyDescent="0.25">
      <c r="B45" s="29" t="s">
        <v>85</v>
      </c>
      <c r="C45" s="24" t="s">
        <v>267</v>
      </c>
      <c r="D45" s="68">
        <f>VLOOKUP(D42,Tables!B46:F50,5,FALSE)</f>
        <v>14.26</v>
      </c>
      <c r="E45" s="36" t="s">
        <v>63</v>
      </c>
      <c r="F45" s="208" t="s">
        <v>279</v>
      </c>
      <c r="G45" s="208"/>
      <c r="H45" s="208"/>
      <c r="I45" s="211" t="s">
        <v>148</v>
      </c>
      <c r="J45" s="211"/>
      <c r="K45" s="211"/>
    </row>
    <row r="46" spans="2:12" s="162" customFormat="1" ht="15" customHeight="1" x14ac:dyDescent="0.25">
      <c r="B46" s="29" t="s">
        <v>214</v>
      </c>
      <c r="C46" s="24" t="s">
        <v>67</v>
      </c>
      <c r="D46" s="130">
        <f>VLOOKUP(D42,Tables!B46:F50,4,FALSE)</f>
        <v>1170</v>
      </c>
      <c r="E46" s="47" t="s">
        <v>166</v>
      </c>
      <c r="F46" s="208" t="s">
        <v>149</v>
      </c>
      <c r="G46" s="208"/>
      <c r="H46" s="208"/>
      <c r="I46" s="161" t="s">
        <v>245</v>
      </c>
    </row>
    <row r="47" spans="2:12" s="162" customFormat="1" ht="15" customHeight="1" x14ac:dyDescent="0.25">
      <c r="C47" s="20"/>
      <c r="D47" s="19"/>
      <c r="E47" s="70"/>
    </row>
    <row r="48" spans="2:12" s="162" customFormat="1" ht="15" customHeight="1" x14ac:dyDescent="0.25">
      <c r="B48" s="71" t="s">
        <v>126</v>
      </c>
      <c r="D48" s="19"/>
      <c r="E48" s="70"/>
    </row>
    <row r="49" spans="2:9" s="162" customFormat="1" ht="15" customHeight="1" x14ac:dyDescent="0.25">
      <c r="B49" s="168" t="s">
        <v>86</v>
      </c>
      <c r="C49" s="83"/>
      <c r="D49" s="159" t="s">
        <v>19</v>
      </c>
      <c r="E49" s="84"/>
      <c r="F49" s="85" t="s">
        <v>152</v>
      </c>
      <c r="G49" s="59"/>
      <c r="H49" s="59"/>
      <c r="I49" s="137"/>
    </row>
    <row r="50" spans="2:9" s="50" customFormat="1" ht="15" customHeight="1" x14ac:dyDescent="0.25">
      <c r="B50" s="20" t="s">
        <v>181</v>
      </c>
      <c r="C50" s="30" t="s">
        <v>96</v>
      </c>
      <c r="D50" s="90">
        <f xml:space="preserve"> D52 + D53</f>
        <v>0</v>
      </c>
      <c r="E50" s="34" t="s">
        <v>88</v>
      </c>
      <c r="F50" s="166" t="s">
        <v>34</v>
      </c>
      <c r="I50" s="138"/>
    </row>
    <row r="51" spans="2:9" s="50" customFormat="1" ht="15" customHeight="1" x14ac:dyDescent="0.25">
      <c r="B51" s="20" t="s">
        <v>182</v>
      </c>
      <c r="C51" s="30" t="s">
        <v>96</v>
      </c>
      <c r="D51" s="91">
        <f>D52+D54</f>
        <v>0</v>
      </c>
      <c r="E51" s="34" t="s">
        <v>88</v>
      </c>
      <c r="F51" s="166" t="s">
        <v>34</v>
      </c>
    </row>
    <row r="52" spans="2:9" s="50" customFormat="1" ht="15" customHeight="1" x14ac:dyDescent="0.25">
      <c r="B52" s="157" t="s">
        <v>125</v>
      </c>
      <c r="C52" s="31" t="s">
        <v>97</v>
      </c>
      <c r="D52" s="103">
        <f>(365*D62*D59*D65*D66)</f>
        <v>0</v>
      </c>
      <c r="E52" s="28" t="s">
        <v>88</v>
      </c>
      <c r="F52" s="166" t="s">
        <v>26</v>
      </c>
    </row>
    <row r="53" spans="2:9" s="50" customFormat="1" ht="15" customHeight="1" x14ac:dyDescent="0.25">
      <c r="B53" s="157" t="s">
        <v>175</v>
      </c>
      <c r="C53" s="31" t="s">
        <v>98</v>
      </c>
      <c r="D53" s="103">
        <f>(5.614*D55*D57*D67*D59)</f>
        <v>0</v>
      </c>
      <c r="E53" s="28" t="s">
        <v>88</v>
      </c>
      <c r="F53" s="165" t="s">
        <v>338</v>
      </c>
    </row>
    <row r="54" spans="2:9" s="50" customFormat="1" ht="15" customHeight="1" x14ac:dyDescent="0.25">
      <c r="B54" s="157" t="s">
        <v>176</v>
      </c>
      <c r="C54" s="31" t="s">
        <v>98</v>
      </c>
      <c r="D54" s="103">
        <f>5.614*D56*D58*D67*D59</f>
        <v>0</v>
      </c>
      <c r="E54" s="28" t="s">
        <v>88</v>
      </c>
      <c r="F54" s="165" t="s">
        <v>338</v>
      </c>
    </row>
    <row r="55" spans="2:9" s="50" customFormat="1" ht="15" customHeight="1" x14ac:dyDescent="0.25">
      <c r="B55" s="33" t="s">
        <v>179</v>
      </c>
      <c r="C55" s="31" t="s">
        <v>92</v>
      </c>
      <c r="D55" s="44">
        <f xml:space="preserve"> D13/42</f>
        <v>0</v>
      </c>
      <c r="E55" s="28" t="s">
        <v>90</v>
      </c>
      <c r="F55" s="178" t="s">
        <v>370</v>
      </c>
    </row>
    <row r="56" spans="2:9" s="50" customFormat="1" ht="15" customHeight="1" x14ac:dyDescent="0.25">
      <c r="B56" s="33" t="s">
        <v>180</v>
      </c>
      <c r="C56" s="31" t="s">
        <v>92</v>
      </c>
      <c r="D56" s="44">
        <f>IFERROR((D15/42),0)</f>
        <v>0</v>
      </c>
      <c r="E56" s="28" t="s">
        <v>90</v>
      </c>
      <c r="F56" s="178" t="s">
        <v>371</v>
      </c>
    </row>
    <row r="57" spans="2:9" s="50" customFormat="1" ht="15" customHeight="1" x14ac:dyDescent="0.25">
      <c r="B57" s="33" t="s">
        <v>178</v>
      </c>
      <c r="C57" s="31" t="s">
        <v>103</v>
      </c>
      <c r="D57" s="67">
        <f>IF(D29 &gt; 36, ((180 + D29) / (D29 * 6)), 1)</f>
        <v>1</v>
      </c>
      <c r="E57" s="37" t="s">
        <v>89</v>
      </c>
      <c r="F57" s="211" t="s">
        <v>340</v>
      </c>
      <c r="G57" s="211"/>
      <c r="H57" s="211"/>
      <c r="I57" s="163"/>
    </row>
    <row r="58" spans="2:9" s="50" customFormat="1" ht="15" customHeight="1" x14ac:dyDescent="0.25">
      <c r="B58" s="33" t="s">
        <v>177</v>
      </c>
      <c r="C58" s="31" t="s">
        <v>103</v>
      </c>
      <c r="D58" s="67">
        <f>IF(D30 &gt; 36, ((180 + D30) / (D30 * 6)), 1)</f>
        <v>1</v>
      </c>
      <c r="E58" s="37" t="s">
        <v>89</v>
      </c>
      <c r="F58" s="211" t="s">
        <v>281</v>
      </c>
      <c r="G58" s="211"/>
      <c r="H58" s="211"/>
    </row>
    <row r="59" spans="2:9" s="50" customFormat="1" ht="15" customHeight="1" x14ac:dyDescent="0.25">
      <c r="B59" s="33" t="s">
        <v>124</v>
      </c>
      <c r="C59" s="31" t="s">
        <v>99</v>
      </c>
      <c r="D59" s="72">
        <f>(D60 * D61) / (D68 *D69)</f>
        <v>0</v>
      </c>
      <c r="E59" s="35" t="s">
        <v>100</v>
      </c>
      <c r="F59" s="165" t="s">
        <v>331</v>
      </c>
    </row>
    <row r="60" spans="2:9" s="50" customFormat="1" ht="15" customHeight="1" x14ac:dyDescent="0.25">
      <c r="B60" s="33" t="s">
        <v>157</v>
      </c>
      <c r="C60" s="32" t="s">
        <v>127</v>
      </c>
      <c r="D60" s="73">
        <f>IF(D11="Select one",0,IF(D11="gasoline",68,130))</f>
        <v>0</v>
      </c>
      <c r="E60" s="36" t="s">
        <v>91</v>
      </c>
      <c r="F60" s="165" t="s">
        <v>250</v>
      </c>
    </row>
    <row r="61" spans="2:9" s="162" customFormat="1" ht="15" customHeight="1" x14ac:dyDescent="0.25">
      <c r="B61" s="29" t="s">
        <v>251</v>
      </c>
      <c r="C61" s="22" t="s">
        <v>80</v>
      </c>
      <c r="D61" s="68">
        <f>EXP(D79-(D80/D70))</f>
        <v>1</v>
      </c>
      <c r="E61" s="36" t="s">
        <v>63</v>
      </c>
      <c r="F61" s="161" t="s">
        <v>369</v>
      </c>
      <c r="G61" s="50"/>
      <c r="I61" s="163"/>
    </row>
    <row r="62" spans="2:9" s="50" customFormat="1" ht="15" customHeight="1" x14ac:dyDescent="0.25">
      <c r="B62" s="33" t="s">
        <v>123</v>
      </c>
      <c r="C62" s="32" t="s">
        <v>128</v>
      </c>
      <c r="D62" s="44">
        <f xml:space="preserve"> (PI() / 4) * (D24^2) * D64</f>
        <v>0</v>
      </c>
      <c r="E62" s="35" t="s">
        <v>101</v>
      </c>
      <c r="F62" s="166" t="s">
        <v>28</v>
      </c>
    </row>
    <row r="63" spans="2:9" s="50" customFormat="1" ht="15" customHeight="1" x14ac:dyDescent="0.25">
      <c r="B63" s="33" t="s">
        <v>183</v>
      </c>
      <c r="C63" s="32" t="s">
        <v>150</v>
      </c>
      <c r="D63" s="44">
        <f>IF(D12="Select one",0,IF(D12="Cone",((1/3)*D34),(D34*(0.5+(1/6)*((D34/D25)^2)))))</f>
        <v>0</v>
      </c>
      <c r="E63" s="35" t="s">
        <v>58</v>
      </c>
      <c r="F63" s="209" t="s">
        <v>328</v>
      </c>
      <c r="G63" s="210"/>
    </row>
    <row r="64" spans="2:9" s="50" customFormat="1" ht="15" customHeight="1" x14ac:dyDescent="0.25">
      <c r="B64" s="33" t="s">
        <v>184</v>
      </c>
      <c r="C64" s="32" t="s">
        <v>129</v>
      </c>
      <c r="D64" s="44">
        <f>D23-D27+D63</f>
        <v>0</v>
      </c>
      <c r="E64" s="28" t="s">
        <v>58</v>
      </c>
      <c r="F64" s="165" t="s">
        <v>327</v>
      </c>
    </row>
    <row r="65" spans="2:10" s="50" customFormat="1" ht="15" customHeight="1" x14ac:dyDescent="0.25">
      <c r="B65" s="33" t="s">
        <v>311</v>
      </c>
      <c r="C65" s="32" t="s">
        <v>130</v>
      </c>
      <c r="D65" s="44">
        <f>(D71/D70)+((D77-D78)/(D45-D61))</f>
        <v>3.3291890342846173E-2</v>
      </c>
      <c r="E65" s="28"/>
      <c r="F65" s="165" t="s">
        <v>33</v>
      </c>
    </row>
    <row r="66" spans="2:10" s="50" customFormat="1" ht="15" customHeight="1" x14ac:dyDescent="0.25">
      <c r="B66" s="33" t="s">
        <v>122</v>
      </c>
      <c r="C66" s="31" t="s">
        <v>102</v>
      </c>
      <c r="D66" s="44">
        <f>1 / (1 + (0.053 * D61 * D64))</f>
        <v>1</v>
      </c>
      <c r="E66" s="37" t="s">
        <v>89</v>
      </c>
      <c r="F66" s="165" t="s">
        <v>27</v>
      </c>
    </row>
    <row r="67" spans="2:10" s="50" customFormat="1" ht="15" customHeight="1" x14ac:dyDescent="0.25">
      <c r="B67" s="33" t="s">
        <v>121</v>
      </c>
      <c r="C67" s="31" t="s">
        <v>104</v>
      </c>
      <c r="D67" s="74">
        <v>1</v>
      </c>
      <c r="E67" s="37" t="s">
        <v>89</v>
      </c>
      <c r="F67" s="210" t="s">
        <v>153</v>
      </c>
      <c r="G67" s="210"/>
    </row>
    <row r="68" spans="2:10" s="50" customFormat="1" ht="15" customHeight="1" x14ac:dyDescent="0.25">
      <c r="B68" s="33" t="s">
        <v>120</v>
      </c>
      <c r="C68" s="31" t="s">
        <v>66</v>
      </c>
      <c r="D68" s="75">
        <v>10.731</v>
      </c>
      <c r="E68" s="156" t="s">
        <v>345</v>
      </c>
      <c r="F68" s="165" t="s">
        <v>334</v>
      </c>
    </row>
    <row r="69" spans="2:10" s="50" customFormat="1" ht="15" customHeight="1" x14ac:dyDescent="0.25">
      <c r="B69" s="33" t="s">
        <v>333</v>
      </c>
      <c r="C69" s="151" t="s">
        <v>332</v>
      </c>
      <c r="D69" s="67">
        <f>(0.7*D75)+(0.3*D76)+(0.009*D46*D33)</f>
        <v>507.29574999999994</v>
      </c>
      <c r="E69" s="28" t="s">
        <v>93</v>
      </c>
      <c r="F69" s="165" t="s">
        <v>29</v>
      </c>
    </row>
    <row r="70" spans="2:10" s="50" customFormat="1" ht="15" customHeight="1" x14ac:dyDescent="0.25">
      <c r="B70" s="33" t="s">
        <v>119</v>
      </c>
      <c r="C70" s="31" t="s">
        <v>105</v>
      </c>
      <c r="D70" s="44">
        <f>(0.4 * D75) + (0.6 * D76) + (0.005 * D33 * D46)</f>
        <v>506.38899999999995</v>
      </c>
      <c r="E70" s="28" t="s">
        <v>93</v>
      </c>
      <c r="F70" s="165" t="s">
        <v>30</v>
      </c>
    </row>
    <row r="71" spans="2:10" s="50" customFormat="1" ht="15" customHeight="1" x14ac:dyDescent="0.25">
      <c r="B71" s="33" t="s">
        <v>312</v>
      </c>
      <c r="C71" s="31" t="s">
        <v>106</v>
      </c>
      <c r="D71" s="44">
        <f>0.7*D72+0.02*D46*D33</f>
        <v>19.149999999999999</v>
      </c>
      <c r="E71" s="28" t="s">
        <v>93</v>
      </c>
      <c r="F71" s="165" t="s">
        <v>31</v>
      </c>
    </row>
    <row r="72" spans="2:10" s="50" customFormat="1" ht="15" customHeight="1" x14ac:dyDescent="0.25">
      <c r="B72" s="33" t="s">
        <v>118</v>
      </c>
      <c r="C72" s="31" t="s">
        <v>107</v>
      </c>
      <c r="D72" s="44">
        <f xml:space="preserve"> D73 - D74</f>
        <v>19</v>
      </c>
      <c r="E72" s="28" t="s">
        <v>93</v>
      </c>
      <c r="F72" s="165" t="s">
        <v>326</v>
      </c>
    </row>
    <row r="73" spans="2:10" s="50" customFormat="1" ht="15" customHeight="1" x14ac:dyDescent="0.25">
      <c r="B73" s="33" t="s">
        <v>117</v>
      </c>
      <c r="C73" s="31" t="s">
        <v>108</v>
      </c>
      <c r="D73" s="44">
        <f xml:space="preserve"> D43 + 459.7</f>
        <v>513.9</v>
      </c>
      <c r="E73" s="28" t="s">
        <v>93</v>
      </c>
      <c r="F73" s="211" t="s">
        <v>336</v>
      </c>
      <c r="G73" s="211"/>
      <c r="H73" s="211"/>
      <c r="I73" s="164"/>
      <c r="J73" s="164"/>
    </row>
    <row r="74" spans="2:10" s="50" customFormat="1" ht="15" customHeight="1" x14ac:dyDescent="0.25">
      <c r="B74" s="33" t="s">
        <v>115</v>
      </c>
      <c r="C74" s="31" t="s">
        <v>109</v>
      </c>
      <c r="D74" s="44">
        <f>D44 + 459.7</f>
        <v>494.9</v>
      </c>
      <c r="E74" s="28" t="s">
        <v>93</v>
      </c>
      <c r="F74" s="207" t="s">
        <v>336</v>
      </c>
      <c r="G74" s="207"/>
      <c r="H74" s="207"/>
      <c r="I74" s="164"/>
      <c r="J74" s="164"/>
    </row>
    <row r="75" spans="2:10" s="50" customFormat="1" ht="15" customHeight="1" x14ac:dyDescent="0.25">
      <c r="B75" s="33" t="s">
        <v>116</v>
      </c>
      <c r="C75" s="31" t="s">
        <v>110</v>
      </c>
      <c r="D75" s="44">
        <f>(( D73 + D74) / 2)</f>
        <v>504.4</v>
      </c>
      <c r="E75" s="28" t="s">
        <v>93</v>
      </c>
      <c r="F75" s="165" t="s">
        <v>335</v>
      </c>
    </row>
    <row r="76" spans="2:10" s="50" customFormat="1" ht="15" customHeight="1" x14ac:dyDescent="0.25">
      <c r="B76" s="33" t="s">
        <v>114</v>
      </c>
      <c r="C76" s="31" t="s">
        <v>111</v>
      </c>
      <c r="D76" s="44">
        <f>(D75) + (0.003*D46*D33)</f>
        <v>505.27749999999997</v>
      </c>
      <c r="E76" s="28" t="s">
        <v>93</v>
      </c>
      <c r="F76" s="165" t="s">
        <v>337</v>
      </c>
    </row>
    <row r="77" spans="2:10" s="50" customFormat="1" ht="15" customHeight="1" x14ac:dyDescent="0.25">
      <c r="B77" s="33" t="s">
        <v>113</v>
      </c>
      <c r="C77" s="31" t="s">
        <v>112</v>
      </c>
      <c r="D77" s="44">
        <f>D81-D82</f>
        <v>0</v>
      </c>
      <c r="E77" s="28" t="s">
        <v>63</v>
      </c>
      <c r="F77" s="166" t="s">
        <v>169</v>
      </c>
    </row>
    <row r="78" spans="2:10" s="162" customFormat="1" ht="15" customHeight="1" x14ac:dyDescent="0.25">
      <c r="B78" s="33" t="s">
        <v>168</v>
      </c>
      <c r="C78" s="31" t="s">
        <v>167</v>
      </c>
      <c r="D78" s="72">
        <f>D38-D37</f>
        <v>0.06</v>
      </c>
      <c r="E78" s="28" t="s">
        <v>95</v>
      </c>
      <c r="F78" s="166" t="s">
        <v>32</v>
      </c>
    </row>
    <row r="79" spans="2:10" s="50" customFormat="1" ht="15" customHeight="1" x14ac:dyDescent="0.25">
      <c r="B79" s="33" t="s">
        <v>313</v>
      </c>
      <c r="C79" s="31" t="s">
        <v>314</v>
      </c>
      <c r="D79" s="74">
        <f>IF(D11="Select one",0,IF(D11="gasoline",Tables!F12,Tables!F11))</f>
        <v>0</v>
      </c>
      <c r="E79" s="144" t="s">
        <v>89</v>
      </c>
      <c r="F79" s="145" t="s">
        <v>250</v>
      </c>
      <c r="G79" s="163"/>
      <c r="H79" s="163"/>
    </row>
    <row r="80" spans="2:10" ht="15" customHeight="1" x14ac:dyDescent="0.25">
      <c r="B80" s="33" t="s">
        <v>313</v>
      </c>
      <c r="C80" s="152" t="s">
        <v>94</v>
      </c>
      <c r="D80" s="75">
        <f>IF(D11="select one",0,IF(D11="gasoline",Tables!G12,Tables!G11))</f>
        <v>0</v>
      </c>
      <c r="E80" s="28" t="s">
        <v>93</v>
      </c>
      <c r="F80" s="145" t="s">
        <v>250</v>
      </c>
    </row>
    <row r="81" spans="2:6" ht="15" customHeight="1" x14ac:dyDescent="0.4">
      <c r="B81" s="33" t="s">
        <v>341</v>
      </c>
      <c r="C81" s="152" t="s">
        <v>320</v>
      </c>
      <c r="D81" s="72">
        <f>EXP((D79-(D80/D83)))</f>
        <v>1</v>
      </c>
      <c r="E81" s="154" t="s">
        <v>63</v>
      </c>
      <c r="F81" s="167" t="s">
        <v>315</v>
      </c>
    </row>
    <row r="82" spans="2:6" ht="15" customHeight="1" x14ac:dyDescent="0.4">
      <c r="B82" s="102" t="s">
        <v>342</v>
      </c>
      <c r="C82" s="152" t="s">
        <v>319</v>
      </c>
      <c r="D82" s="72">
        <f>EXP(D79-(D80/D84))</f>
        <v>1</v>
      </c>
      <c r="E82" s="155" t="s">
        <v>63</v>
      </c>
      <c r="F82" s="167" t="s">
        <v>315</v>
      </c>
    </row>
    <row r="83" spans="2:6" ht="15" customHeight="1" x14ac:dyDescent="0.4">
      <c r="B83" s="102" t="s">
        <v>343</v>
      </c>
      <c r="C83" s="153" t="s">
        <v>318</v>
      </c>
      <c r="D83" s="72">
        <f>D70+0.25*D71</f>
        <v>511.17649999999998</v>
      </c>
      <c r="E83" s="28" t="s">
        <v>93</v>
      </c>
      <c r="F83" t="s">
        <v>316</v>
      </c>
    </row>
    <row r="84" spans="2:6" ht="15" customHeight="1" x14ac:dyDescent="0.4">
      <c r="B84" s="102" t="s">
        <v>344</v>
      </c>
      <c r="C84" s="153" t="s">
        <v>317</v>
      </c>
      <c r="D84" s="72">
        <f>D70-0.25*D71</f>
        <v>501.60149999999993</v>
      </c>
      <c r="E84" s="28" t="s">
        <v>93</v>
      </c>
      <c r="F84" t="s">
        <v>316</v>
      </c>
    </row>
    <row r="85" spans="2:6" ht="15" customHeight="1" x14ac:dyDescent="0.25">
      <c r="C85" s="3"/>
      <c r="D85" s="2"/>
    </row>
    <row r="86" spans="2:6" ht="15" customHeight="1" x14ac:dyDescent="0.25">
      <c r="C86" s="3"/>
      <c r="D86" s="2"/>
    </row>
    <row r="87" spans="2:6" ht="15" customHeight="1" x14ac:dyDescent="0.25">
      <c r="C87" s="3"/>
      <c r="D87" s="2"/>
    </row>
    <row r="88" spans="2:6" ht="15" customHeight="1" x14ac:dyDescent="0.25">
      <c r="C88" s="3"/>
    </row>
  </sheetData>
  <dataConsolidate/>
  <mergeCells count="63">
    <mergeCell ref="F74:H74"/>
    <mergeCell ref="F46:H46"/>
    <mergeCell ref="F57:H57"/>
    <mergeCell ref="F58:H58"/>
    <mergeCell ref="F63:G63"/>
    <mergeCell ref="F67:G67"/>
    <mergeCell ref="F73:H73"/>
    <mergeCell ref="F45:H45"/>
    <mergeCell ref="I45:K45"/>
    <mergeCell ref="F35:H35"/>
    <mergeCell ref="I35:L35"/>
    <mergeCell ref="F36:H36"/>
    <mergeCell ref="I36:L36"/>
    <mergeCell ref="F37:H37"/>
    <mergeCell ref="I37:L37"/>
    <mergeCell ref="F38:H38"/>
    <mergeCell ref="I38:L38"/>
    <mergeCell ref="F42:H42"/>
    <mergeCell ref="F43:H43"/>
    <mergeCell ref="F44:H44"/>
    <mergeCell ref="F32:H32"/>
    <mergeCell ref="I32:L32"/>
    <mergeCell ref="F33:H33"/>
    <mergeCell ref="I33:L33"/>
    <mergeCell ref="F34:H34"/>
    <mergeCell ref="I34:L34"/>
    <mergeCell ref="F29:H29"/>
    <mergeCell ref="I29:L29"/>
    <mergeCell ref="F30:H30"/>
    <mergeCell ref="I30:L30"/>
    <mergeCell ref="F31:H31"/>
    <mergeCell ref="I31:L31"/>
    <mergeCell ref="F26:H26"/>
    <mergeCell ref="I26:L26"/>
    <mergeCell ref="F27:H27"/>
    <mergeCell ref="I27:L27"/>
    <mergeCell ref="F28:H28"/>
    <mergeCell ref="I28:L28"/>
    <mergeCell ref="F23:H23"/>
    <mergeCell ref="I23:L23"/>
    <mergeCell ref="F24:H24"/>
    <mergeCell ref="I24:L24"/>
    <mergeCell ref="F25:H25"/>
    <mergeCell ref="I25:L25"/>
    <mergeCell ref="F18:H18"/>
    <mergeCell ref="I18:L18"/>
    <mergeCell ref="B10:C10"/>
    <mergeCell ref="F11:H11"/>
    <mergeCell ref="I11:L11"/>
    <mergeCell ref="F12:H12"/>
    <mergeCell ref="I12:L12"/>
    <mergeCell ref="F13:H13"/>
    <mergeCell ref="F14:H14"/>
    <mergeCell ref="F15:H16"/>
    <mergeCell ref="I15:L16"/>
    <mergeCell ref="F17:H17"/>
    <mergeCell ref="I17:L17"/>
    <mergeCell ref="D8:E8"/>
    <mergeCell ref="B2:E2"/>
    <mergeCell ref="B3:C3"/>
    <mergeCell ref="B5:C5"/>
    <mergeCell ref="D6:E6"/>
    <mergeCell ref="D7:E7"/>
  </mergeCells>
  <conditionalFormatting sqref="D26">
    <cfRule type="expression" dxfId="1" priority="2">
      <formula>AND($D$26&gt;$D$23,$D$26=0)</formula>
    </cfRule>
  </conditionalFormatting>
  <conditionalFormatting sqref="D27">
    <cfRule type="expression" dxfId="0" priority="1">
      <formula>AND($D$27&gt;$D$26,$D$27=0)</formula>
    </cfRule>
  </conditionalFormatting>
  <dataValidations count="3">
    <dataValidation type="list" allowBlank="1" showInputMessage="1" showErrorMessage="1" sqref="D11">
      <formula1>"Select one,Gasoline,Diesel"</formula1>
    </dataValidation>
    <dataValidation type="list" allowBlank="1" showInputMessage="1" showErrorMessage="1" sqref="D32">
      <formula1>"New,Average,Aged"</formula1>
    </dataValidation>
    <dataValidation type="list" allowBlank="1" showInputMessage="1" showErrorMessage="1" sqref="D12">
      <formula1>"Select one,Cone,Dome"</formula1>
    </dataValidation>
  </dataValidations>
  <pageMargins left="0.7" right="0.7" top="0.75" bottom="0.75" header="0.51180555555555496" footer="0.51180555555555496"/>
  <pageSetup firstPageNumber="0" fitToWidth="0" fitToHeight="0" orientation="portrait" horizontalDpi="300" verticalDpi="300" r:id="rId1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</headerFooter>
  <colBreaks count="1" manualBreakCount="1">
    <brk id="8" max="8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Tables!$G$18:$G$31</xm:f>
          </x14:formula1>
          <xm:sqref>D31</xm:sqref>
        </x14:dataValidation>
        <x14:dataValidation type="list" allowBlank="1" showInputMessage="1" showErrorMessage="1">
          <x14:formula1>
            <xm:f>Tables!$B$46:$B$50</xm:f>
          </x14:formula1>
          <xm:sqref>D42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2EFDA"/>
  </sheetPr>
  <dimension ref="B1:E17"/>
  <sheetViews>
    <sheetView showGridLines="0" zoomScaleNormal="100" workbookViewId="0">
      <selection activeCell="B2" sqref="B2:E2"/>
    </sheetView>
  </sheetViews>
  <sheetFormatPr defaultRowHeight="15" customHeight="1" x14ac:dyDescent="0.25"/>
  <cols>
    <col min="1" max="1" width="2.54296875" customWidth="1"/>
    <col min="2" max="2" width="19.453125" customWidth="1"/>
    <col min="3" max="3" width="20.81640625" bestFit="1" customWidth="1"/>
    <col min="4" max="4" width="23.453125" bestFit="1" customWidth="1"/>
    <col min="5" max="5" width="12.81640625" bestFit="1" customWidth="1"/>
    <col min="6" max="6" width="13.54296875" bestFit="1" customWidth="1"/>
  </cols>
  <sheetData>
    <row r="1" spans="2:5" ht="15" customHeight="1" x14ac:dyDescent="0.25">
      <c r="E1" s="87" t="str">
        <f>Instructions!H2</f>
        <v>p-sbap5-42v  •  7/13/20</v>
      </c>
    </row>
    <row r="2" spans="2:5" ht="15" customHeight="1" thickBot="1" x14ac:dyDescent="0.3">
      <c r="B2" s="226" t="s">
        <v>239</v>
      </c>
      <c r="C2" s="226"/>
      <c r="D2" s="226"/>
      <c r="E2" s="226"/>
    </row>
    <row r="5" spans="2:5" ht="15" customHeight="1" x14ac:dyDescent="0.25">
      <c r="B5" s="96"/>
      <c r="C5" s="93" t="s">
        <v>185</v>
      </c>
      <c r="D5" s="93" t="s">
        <v>186</v>
      </c>
    </row>
    <row r="6" spans="2:5" ht="15" customHeight="1" x14ac:dyDescent="0.25">
      <c r="B6" s="94"/>
      <c r="C6" s="95" t="s">
        <v>237</v>
      </c>
      <c r="D6" s="95" t="s">
        <v>237</v>
      </c>
    </row>
    <row r="7" spans="2:5" ht="15" customHeight="1" x14ac:dyDescent="0.25">
      <c r="B7" s="97" t="s">
        <v>282</v>
      </c>
      <c r="C7" s="52">
        <f>'Vertical tank 1'!D17</f>
        <v>0</v>
      </c>
      <c r="D7" s="52">
        <f>'Vertical tank 1'!D18</f>
        <v>0</v>
      </c>
    </row>
    <row r="8" spans="2:5" ht="15" customHeight="1" x14ac:dyDescent="0.25">
      <c r="B8" s="97" t="s">
        <v>283</v>
      </c>
      <c r="C8" s="52">
        <f>'Vertical tank 2'!D17</f>
        <v>0</v>
      </c>
      <c r="D8" s="52">
        <f>'Vertical tank 2'!D18</f>
        <v>0</v>
      </c>
    </row>
    <row r="9" spans="2:5" ht="15" customHeight="1" x14ac:dyDescent="0.25">
      <c r="B9" s="98" t="s">
        <v>284</v>
      </c>
      <c r="C9" s="52">
        <f>'Vertical tank 3'!D17</f>
        <v>0</v>
      </c>
      <c r="D9" s="52">
        <f>'Vertical tank 3'!D18</f>
        <v>0</v>
      </c>
    </row>
    <row r="10" spans="2:5" ht="15" customHeight="1" x14ac:dyDescent="0.3">
      <c r="B10" s="99" t="s">
        <v>238</v>
      </c>
      <c r="C10" s="91">
        <f>SUM(C7:C9)</f>
        <v>0</v>
      </c>
      <c r="D10" s="91">
        <f>SUM(D7:D9)</f>
        <v>0</v>
      </c>
    </row>
    <row r="14" spans="2:5" ht="15" customHeight="1" x14ac:dyDescent="0.25">
      <c r="B14" t="s">
        <v>291</v>
      </c>
    </row>
    <row r="15" spans="2:5" ht="15" customHeight="1" x14ac:dyDescent="0.25">
      <c r="B15" s="87" t="s">
        <v>288</v>
      </c>
      <c r="C15" t="s">
        <v>287</v>
      </c>
    </row>
    <row r="16" spans="2:5" ht="15" customHeight="1" x14ac:dyDescent="0.25">
      <c r="B16" s="87" t="s">
        <v>289</v>
      </c>
      <c r="C16" t="s">
        <v>286</v>
      </c>
    </row>
    <row r="17" spans="2:3" ht="15" customHeight="1" x14ac:dyDescent="0.25">
      <c r="B17" s="87" t="s">
        <v>290</v>
      </c>
      <c r="C17" t="s">
        <v>285</v>
      </c>
    </row>
  </sheetData>
  <mergeCells count="1">
    <mergeCell ref="B2:E2"/>
  </mergeCells>
  <pageMargins left="0.7" right="0.7" top="0.75" bottom="0.75" header="0.3" footer="0.3"/>
  <pageSetup orientation="portrait" r:id="rId1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249977111117893"/>
  </sheetPr>
  <dimension ref="B1:J51"/>
  <sheetViews>
    <sheetView showGridLines="0" zoomScaleNormal="100" workbookViewId="0">
      <selection activeCell="B2" sqref="B2:G2"/>
    </sheetView>
  </sheetViews>
  <sheetFormatPr defaultRowHeight="12.5" x14ac:dyDescent="0.25"/>
  <cols>
    <col min="1" max="1" width="3.81640625" customWidth="1"/>
    <col min="2" max="2" width="20.453125" customWidth="1"/>
    <col min="3" max="3" width="15.54296875" customWidth="1"/>
    <col min="4" max="6" width="14.453125" customWidth="1"/>
    <col min="7" max="7" width="12.81640625" customWidth="1"/>
    <col min="8" max="16" width="12" customWidth="1"/>
    <col min="17" max="17" width="10.1796875" customWidth="1"/>
    <col min="18" max="18" width="8.81640625" customWidth="1"/>
    <col min="19" max="1026" width="9.81640625" customWidth="1"/>
  </cols>
  <sheetData>
    <row r="1" spans="2:7" ht="15" customHeight="1" x14ac:dyDescent="0.25">
      <c r="G1" s="87" t="str">
        <f>Instructions!H2</f>
        <v>p-sbap5-42v  •  7/13/20</v>
      </c>
    </row>
    <row r="2" spans="2:7" ht="15" customHeight="1" thickBot="1" x14ac:dyDescent="0.3">
      <c r="B2" s="226" t="s">
        <v>234</v>
      </c>
      <c r="C2" s="226"/>
      <c r="D2" s="226"/>
      <c r="E2" s="226"/>
      <c r="F2" s="226"/>
      <c r="G2" s="226"/>
    </row>
    <row r="3" spans="2:7" ht="15" customHeight="1" x14ac:dyDescent="0.25">
      <c r="B3" s="227" t="s">
        <v>372</v>
      </c>
      <c r="C3" s="227"/>
      <c r="D3" s="183" t="s">
        <v>355</v>
      </c>
      <c r="E3" s="183"/>
      <c r="F3" s="183"/>
      <c r="G3" s="183"/>
    </row>
    <row r="4" spans="2:7" ht="13" x14ac:dyDescent="0.3">
      <c r="B4" s="81"/>
    </row>
    <row r="5" spans="2:7" ht="14" x14ac:dyDescent="0.3">
      <c r="B5" s="235" t="s">
        <v>310</v>
      </c>
      <c r="C5" s="235"/>
      <c r="D5" s="235"/>
      <c r="E5" s="235"/>
    </row>
    <row r="6" spans="2:7" ht="14" x14ac:dyDescent="0.3">
      <c r="B6" s="4"/>
      <c r="C6" s="4"/>
      <c r="D6" s="4"/>
      <c r="E6" s="4"/>
      <c r="F6" s="17"/>
    </row>
    <row r="7" spans="2:7" x14ac:dyDescent="0.25">
      <c r="B7" s="230" t="s">
        <v>188</v>
      </c>
      <c r="C7" s="230" t="s">
        <v>305</v>
      </c>
      <c r="D7" s="230" t="s">
        <v>306</v>
      </c>
      <c r="E7" s="230" t="s">
        <v>307</v>
      </c>
      <c r="F7" s="236" t="s">
        <v>313</v>
      </c>
      <c r="G7" s="236" t="s">
        <v>313</v>
      </c>
    </row>
    <row r="8" spans="2:7" ht="12.65" customHeight="1" x14ac:dyDescent="0.25">
      <c r="B8" s="230"/>
      <c r="C8" s="230"/>
      <c r="D8" s="230"/>
      <c r="E8" s="230"/>
      <c r="F8" s="236"/>
      <c r="G8" s="236"/>
    </row>
    <row r="9" spans="2:7" ht="15.5" x14ac:dyDescent="0.25">
      <c r="B9" s="230"/>
      <c r="C9" s="69" t="s">
        <v>192</v>
      </c>
      <c r="D9" s="69" t="s">
        <v>193</v>
      </c>
      <c r="E9" s="122" t="s">
        <v>80</v>
      </c>
      <c r="F9" s="146" t="s">
        <v>314</v>
      </c>
      <c r="G9" s="146" t="s">
        <v>94</v>
      </c>
    </row>
    <row r="10" spans="2:7" x14ac:dyDescent="0.25">
      <c r="B10" s="231"/>
      <c r="C10" s="140" t="s">
        <v>189</v>
      </c>
      <c r="D10" s="140" t="s">
        <v>190</v>
      </c>
      <c r="E10" s="140" t="s">
        <v>308</v>
      </c>
      <c r="F10" s="147" t="s">
        <v>323</v>
      </c>
      <c r="G10" s="147" t="s">
        <v>324</v>
      </c>
    </row>
    <row r="11" spans="2:7" x14ac:dyDescent="0.25">
      <c r="B11" s="78" t="s">
        <v>191</v>
      </c>
      <c r="C11" s="79">
        <v>130</v>
      </c>
      <c r="D11" s="79">
        <v>7.1</v>
      </c>
      <c r="E11" s="19">
        <v>6.0000000000000001E-3</v>
      </c>
      <c r="F11" s="148">
        <v>12.101000000000001</v>
      </c>
      <c r="G11" s="146">
        <v>8907</v>
      </c>
    </row>
    <row r="12" spans="2:7" x14ac:dyDescent="0.25">
      <c r="B12" s="110" t="s">
        <v>325</v>
      </c>
      <c r="C12" s="80">
        <v>68</v>
      </c>
      <c r="D12" s="80">
        <v>5.6</v>
      </c>
      <c r="E12" s="19">
        <v>3.5</v>
      </c>
      <c r="F12" s="149">
        <v>11.833</v>
      </c>
      <c r="G12" s="150">
        <v>5500.6</v>
      </c>
    </row>
    <row r="13" spans="2:7" x14ac:dyDescent="0.25">
      <c r="B13" s="109"/>
      <c r="C13" s="69"/>
      <c r="D13" s="69"/>
      <c r="E13" s="19"/>
      <c r="F13" s="17"/>
    </row>
    <row r="15" spans="2:7" ht="14" x14ac:dyDescent="0.3">
      <c r="B15" s="4" t="s">
        <v>213</v>
      </c>
    </row>
    <row r="16" spans="2:7" s="17" customFormat="1" ht="15" customHeight="1" x14ac:dyDescent="0.25">
      <c r="B16" s="230" t="s">
        <v>194</v>
      </c>
      <c r="C16" s="230" t="s">
        <v>195</v>
      </c>
      <c r="D16" s="232" t="s">
        <v>303</v>
      </c>
      <c r="E16" s="232"/>
      <c r="F16" s="232"/>
    </row>
    <row r="17" spans="2:10" s="17" customFormat="1" x14ac:dyDescent="0.25">
      <c r="B17" s="230"/>
      <c r="C17" s="230"/>
      <c r="D17" s="232"/>
      <c r="E17" s="232"/>
      <c r="F17" s="232"/>
    </row>
    <row r="18" spans="2:10" s="17" customFormat="1" ht="13" x14ac:dyDescent="0.3">
      <c r="B18" s="231"/>
      <c r="C18" s="231"/>
      <c r="D18" s="101" t="s">
        <v>257</v>
      </c>
      <c r="E18" s="101" t="s">
        <v>258</v>
      </c>
      <c r="F18" s="101" t="s">
        <v>259</v>
      </c>
      <c r="G18" s="175" t="s">
        <v>233</v>
      </c>
    </row>
    <row r="19" spans="2:10" s="17" customFormat="1" x14ac:dyDescent="0.25">
      <c r="B19" s="17" t="s">
        <v>196</v>
      </c>
      <c r="C19" s="78" t="s">
        <v>205</v>
      </c>
      <c r="D19" s="114">
        <v>0.39</v>
      </c>
      <c r="E19" s="114">
        <v>0.44</v>
      </c>
      <c r="F19" s="115">
        <v>0.49</v>
      </c>
      <c r="G19" s="175" t="s">
        <v>356</v>
      </c>
    </row>
    <row r="20" spans="2:10" s="17" customFormat="1" x14ac:dyDescent="0.25">
      <c r="B20" s="17" t="s">
        <v>196</v>
      </c>
      <c r="C20" s="77" t="s">
        <v>206</v>
      </c>
      <c r="D20" s="116">
        <v>0.6</v>
      </c>
      <c r="E20" s="116">
        <v>0.64</v>
      </c>
      <c r="F20" s="117">
        <v>0.68</v>
      </c>
      <c r="G20" s="175" t="s">
        <v>357</v>
      </c>
    </row>
    <row r="21" spans="2:10" s="17" customFormat="1" ht="14.5" x14ac:dyDescent="0.25">
      <c r="B21" s="107" t="s">
        <v>263</v>
      </c>
      <c r="C21" s="110" t="s">
        <v>260</v>
      </c>
      <c r="D21" s="116">
        <v>0.1</v>
      </c>
      <c r="E21" s="116">
        <v>0.12</v>
      </c>
      <c r="F21" s="117">
        <v>0.15</v>
      </c>
      <c r="G21" s="175" t="s">
        <v>358</v>
      </c>
    </row>
    <row r="22" spans="2:10" s="17" customFormat="1" x14ac:dyDescent="0.25">
      <c r="B22" s="17" t="s">
        <v>197</v>
      </c>
      <c r="C22" s="77" t="s">
        <v>211</v>
      </c>
      <c r="D22" s="118">
        <v>0.35</v>
      </c>
      <c r="E22" s="119">
        <v>0.42</v>
      </c>
      <c r="F22" s="120">
        <v>0.49</v>
      </c>
      <c r="G22" s="175" t="s">
        <v>359</v>
      </c>
    </row>
    <row r="23" spans="2:10" s="17" customFormat="1" x14ac:dyDescent="0.25">
      <c r="B23" s="17" t="s">
        <v>198</v>
      </c>
      <c r="C23" s="77" t="s">
        <v>211</v>
      </c>
      <c r="D23" s="118">
        <v>0.97</v>
      </c>
      <c r="E23" s="119">
        <v>0.97</v>
      </c>
      <c r="F23" s="120">
        <v>0.97</v>
      </c>
      <c r="G23" s="175" t="s">
        <v>360</v>
      </c>
    </row>
    <row r="24" spans="2:10" s="17" customFormat="1" x14ac:dyDescent="0.25">
      <c r="B24" s="17" t="s">
        <v>199</v>
      </c>
      <c r="C24" s="77" t="s">
        <v>211</v>
      </c>
      <c r="D24" s="118">
        <v>0.57999999999999996</v>
      </c>
      <c r="E24" s="119">
        <v>0.62</v>
      </c>
      <c r="F24" s="120">
        <v>0.67</v>
      </c>
      <c r="G24" s="175" t="s">
        <v>361</v>
      </c>
      <c r="I24" s="82"/>
      <c r="J24" s="82"/>
    </row>
    <row r="25" spans="2:10" s="17" customFormat="1" x14ac:dyDescent="0.25">
      <c r="B25" s="17" t="s">
        <v>200</v>
      </c>
      <c r="C25" s="77" t="s">
        <v>207</v>
      </c>
      <c r="D25" s="118">
        <v>0.54</v>
      </c>
      <c r="E25" s="119">
        <v>0.57999999999999996</v>
      </c>
      <c r="F25" s="120">
        <v>0.63</v>
      </c>
      <c r="G25" s="175" t="s">
        <v>362</v>
      </c>
      <c r="I25" s="82"/>
      <c r="J25" s="82"/>
    </row>
    <row r="26" spans="2:10" s="17" customFormat="1" x14ac:dyDescent="0.25">
      <c r="B26" s="17" t="s">
        <v>200</v>
      </c>
      <c r="C26" s="77" t="s">
        <v>208</v>
      </c>
      <c r="D26" s="118">
        <v>0.68</v>
      </c>
      <c r="E26" s="119">
        <v>0.71</v>
      </c>
      <c r="F26" s="120">
        <v>0.74</v>
      </c>
      <c r="G26" s="175" t="s">
        <v>363</v>
      </c>
      <c r="I26" s="82"/>
      <c r="J26" s="82"/>
    </row>
    <row r="27" spans="2:10" s="17" customFormat="1" x14ac:dyDescent="0.25">
      <c r="B27" s="17" t="s">
        <v>4</v>
      </c>
      <c r="C27" s="77" t="s">
        <v>209</v>
      </c>
      <c r="D27" s="118">
        <v>0.89</v>
      </c>
      <c r="E27" s="119">
        <v>0.9</v>
      </c>
      <c r="F27" s="120">
        <v>0.91</v>
      </c>
      <c r="G27" s="175" t="s">
        <v>364</v>
      </c>
      <c r="I27" s="82"/>
      <c r="J27" s="82"/>
    </row>
    <row r="28" spans="2:10" x14ac:dyDescent="0.25">
      <c r="B28" s="17" t="s">
        <v>201</v>
      </c>
      <c r="C28" s="77" t="s">
        <v>212</v>
      </c>
      <c r="D28" s="118">
        <v>0.89</v>
      </c>
      <c r="E28" s="119">
        <v>0.9</v>
      </c>
      <c r="F28" s="120">
        <v>0.91</v>
      </c>
      <c r="G28" s="175" t="s">
        <v>365</v>
      </c>
      <c r="H28" s="17"/>
      <c r="I28" s="82"/>
      <c r="J28" s="82"/>
    </row>
    <row r="29" spans="2:10" x14ac:dyDescent="0.25">
      <c r="B29" s="17" t="s">
        <v>202</v>
      </c>
      <c r="C29" s="77" t="s">
        <v>210</v>
      </c>
      <c r="D29" s="118">
        <v>0.38</v>
      </c>
      <c r="E29" s="119">
        <v>0.44</v>
      </c>
      <c r="F29" s="120">
        <v>0.5</v>
      </c>
      <c r="G29" s="175" t="s">
        <v>366</v>
      </c>
      <c r="H29" s="17"/>
      <c r="I29" s="82"/>
      <c r="J29" s="82"/>
    </row>
    <row r="30" spans="2:10" x14ac:dyDescent="0.25">
      <c r="B30" s="17" t="s">
        <v>203</v>
      </c>
      <c r="C30" s="77" t="s">
        <v>211</v>
      </c>
      <c r="D30" s="118">
        <v>0.43</v>
      </c>
      <c r="E30" s="119">
        <v>0.49</v>
      </c>
      <c r="F30" s="120">
        <v>0.55000000000000004</v>
      </c>
      <c r="G30" s="175" t="s">
        <v>367</v>
      </c>
      <c r="H30" s="17"/>
      <c r="I30" s="82"/>
      <c r="J30" s="82"/>
    </row>
    <row r="31" spans="2:10" x14ac:dyDescent="0.25">
      <c r="B31" s="17" t="s">
        <v>3</v>
      </c>
      <c r="C31" s="77" t="s">
        <v>204</v>
      </c>
      <c r="D31" s="121">
        <v>0.17</v>
      </c>
      <c r="E31" s="121">
        <v>0.25</v>
      </c>
      <c r="F31" s="117">
        <v>0.34</v>
      </c>
      <c r="G31" s="175" t="s">
        <v>22</v>
      </c>
      <c r="H31" s="17"/>
      <c r="I31" s="82"/>
      <c r="J31" s="82"/>
    </row>
    <row r="32" spans="2:10" x14ac:dyDescent="0.25">
      <c r="B32" s="111" t="s">
        <v>264</v>
      </c>
      <c r="C32" s="109"/>
      <c r="F32" s="17"/>
      <c r="G32" s="17"/>
      <c r="H32" s="17"/>
      <c r="I32" s="82"/>
      <c r="J32" s="82"/>
    </row>
    <row r="33" spans="2:10" x14ac:dyDescent="0.25">
      <c r="B33" s="111" t="s">
        <v>261</v>
      </c>
      <c r="C33" s="108"/>
      <c r="F33" s="17"/>
      <c r="G33" s="17"/>
      <c r="H33" s="17"/>
      <c r="I33" s="82"/>
      <c r="J33" s="82"/>
    </row>
    <row r="34" spans="2:10" x14ac:dyDescent="0.25">
      <c r="B34" s="111" t="s">
        <v>262</v>
      </c>
      <c r="F34" s="17"/>
      <c r="G34" s="17"/>
      <c r="H34" s="17"/>
      <c r="I34" s="82"/>
      <c r="J34" s="82"/>
    </row>
    <row r="35" spans="2:10" x14ac:dyDescent="0.25">
      <c r="B35" s="111" t="s">
        <v>300</v>
      </c>
      <c r="C35" s="109"/>
      <c r="F35" s="17"/>
      <c r="G35" s="17"/>
      <c r="H35" s="17"/>
      <c r="I35" s="82"/>
      <c r="J35" s="82"/>
    </row>
    <row r="36" spans="2:10" x14ac:dyDescent="0.25">
      <c r="B36" s="111" t="s">
        <v>301</v>
      </c>
      <c r="D36" s="107"/>
      <c r="E36" s="17"/>
      <c r="F36" s="17"/>
      <c r="G36" s="17"/>
      <c r="H36" s="17"/>
      <c r="I36" s="17"/>
    </row>
    <row r="37" spans="2:10" x14ac:dyDescent="0.25">
      <c r="B37" s="107"/>
      <c r="D37" s="17"/>
      <c r="E37" s="17"/>
      <c r="F37" s="17"/>
      <c r="G37" s="17"/>
      <c r="H37" s="17"/>
      <c r="I37" s="17"/>
    </row>
    <row r="38" spans="2:10" x14ac:dyDescent="0.25">
      <c r="B38" s="17"/>
      <c r="C38" s="17"/>
      <c r="D38" s="17"/>
      <c r="E38" s="17"/>
      <c r="F38" s="17"/>
      <c r="G38" s="17"/>
      <c r="H38" s="17"/>
      <c r="I38" s="17"/>
    </row>
    <row r="39" spans="2:10" ht="17.149999999999999" customHeight="1" x14ac:dyDescent="0.25">
      <c r="B39" s="234" t="s">
        <v>302</v>
      </c>
      <c r="C39" s="234"/>
      <c r="D39" s="234"/>
      <c r="E39" s="234"/>
      <c r="F39" s="234"/>
      <c r="G39" s="234"/>
      <c r="H39" s="17"/>
      <c r="I39" s="17"/>
    </row>
    <row r="40" spans="2:10" ht="17.149999999999999" customHeight="1" x14ac:dyDescent="0.25">
      <c r="B40" s="234"/>
      <c r="C40" s="234"/>
      <c r="D40" s="234"/>
      <c r="E40" s="234"/>
      <c r="F40" s="234"/>
      <c r="G40" s="234"/>
    </row>
    <row r="41" spans="2:10" x14ac:dyDescent="0.25">
      <c r="B41" s="232" t="s">
        <v>24</v>
      </c>
      <c r="C41" s="230" t="s">
        <v>275</v>
      </c>
      <c r="D41" s="230" t="s">
        <v>276</v>
      </c>
      <c r="E41" s="230" t="s">
        <v>274</v>
      </c>
      <c r="F41" s="230" t="s">
        <v>85</v>
      </c>
    </row>
    <row r="42" spans="2:10" x14ac:dyDescent="0.25">
      <c r="B42" s="232"/>
      <c r="C42" s="230"/>
      <c r="D42" s="230"/>
      <c r="E42" s="230"/>
      <c r="F42" s="230"/>
    </row>
    <row r="43" spans="2:10" ht="16" customHeight="1" x14ac:dyDescent="0.25">
      <c r="B43" s="232"/>
      <c r="C43" s="230"/>
      <c r="D43" s="230"/>
      <c r="E43" s="230"/>
      <c r="F43" s="230"/>
    </row>
    <row r="44" spans="2:10" ht="15.5" x14ac:dyDescent="0.25">
      <c r="B44" s="232"/>
      <c r="C44" s="122" t="s">
        <v>215</v>
      </c>
      <c r="D44" s="122" t="s">
        <v>216</v>
      </c>
      <c r="E44" s="122" t="s">
        <v>67</v>
      </c>
      <c r="F44" s="122" t="s">
        <v>267</v>
      </c>
    </row>
    <row r="45" spans="2:10" x14ac:dyDescent="0.25">
      <c r="B45" s="233"/>
      <c r="C45" s="124" t="s">
        <v>131</v>
      </c>
      <c r="D45" s="124" t="s">
        <v>131</v>
      </c>
      <c r="E45" s="125" t="s">
        <v>270</v>
      </c>
      <c r="F45" s="126" t="s">
        <v>271</v>
      </c>
    </row>
    <row r="46" spans="2:10" x14ac:dyDescent="0.25">
      <c r="B46" s="128" t="s">
        <v>277</v>
      </c>
      <c r="C46" s="112">
        <v>54.2</v>
      </c>
      <c r="D46" s="112">
        <v>35.200000000000003</v>
      </c>
      <c r="E46" s="113">
        <v>1170</v>
      </c>
      <c r="F46" s="123">
        <v>14.26</v>
      </c>
    </row>
    <row r="47" spans="2:10" x14ac:dyDescent="0.25">
      <c r="B47" s="129" t="s">
        <v>268</v>
      </c>
      <c r="C47" s="127">
        <v>48.2</v>
      </c>
      <c r="D47" s="127">
        <v>31.4</v>
      </c>
      <c r="E47" s="127">
        <v>1133</v>
      </c>
      <c r="F47" s="127">
        <v>13.95</v>
      </c>
    </row>
    <row r="48" spans="2:10" x14ac:dyDescent="0.25">
      <c r="B48" s="129" t="s">
        <v>269</v>
      </c>
      <c r="C48" s="127">
        <v>48.2</v>
      </c>
      <c r="D48" s="127">
        <v>27.6</v>
      </c>
      <c r="E48" s="127">
        <v>1077</v>
      </c>
      <c r="F48" s="127">
        <v>14.08</v>
      </c>
    </row>
    <row r="49" spans="2:6" x14ac:dyDescent="0.25">
      <c r="B49" s="129" t="s">
        <v>272</v>
      </c>
      <c r="C49" s="127">
        <v>53.2</v>
      </c>
      <c r="D49" s="127">
        <v>36</v>
      </c>
      <c r="E49" s="127">
        <v>1169</v>
      </c>
      <c r="F49" s="127">
        <v>14.01</v>
      </c>
    </row>
    <row r="50" spans="2:6" x14ac:dyDescent="0.25">
      <c r="B50" s="129" t="s">
        <v>273</v>
      </c>
      <c r="C50" s="127">
        <v>52.9</v>
      </c>
      <c r="D50" s="127">
        <v>32.9</v>
      </c>
      <c r="E50" s="127">
        <v>1165</v>
      </c>
      <c r="F50" s="127">
        <v>14.16</v>
      </c>
    </row>
    <row r="51" spans="2:6" x14ac:dyDescent="0.25">
      <c r="B51" s="141" t="s">
        <v>309</v>
      </c>
    </row>
  </sheetData>
  <mergeCells count="19">
    <mergeCell ref="B2:G2"/>
    <mergeCell ref="B5:E5"/>
    <mergeCell ref="B7:B10"/>
    <mergeCell ref="C7:C8"/>
    <mergeCell ref="D7:D8"/>
    <mergeCell ref="E7:E8"/>
    <mergeCell ref="F7:F8"/>
    <mergeCell ref="G7:G8"/>
    <mergeCell ref="B3:C3"/>
    <mergeCell ref="D3:G3"/>
    <mergeCell ref="B16:B18"/>
    <mergeCell ref="B41:B45"/>
    <mergeCell ref="D41:D43"/>
    <mergeCell ref="E41:E43"/>
    <mergeCell ref="F41:F43"/>
    <mergeCell ref="D16:F17"/>
    <mergeCell ref="C41:C43"/>
    <mergeCell ref="C16:C18"/>
    <mergeCell ref="B39:G40"/>
  </mergeCells>
  <hyperlinks>
    <hyperlink ref="D3" r:id="rId1"/>
  </hyperlinks>
  <pageMargins left="0.7" right="0.7" top="0.75" bottom="0.75" header="0.51180555555555496" footer="0.51180555555555496"/>
  <pageSetup firstPageNumber="0" orientation="portrait" horizontalDpi="300" verticalDpi="300" r:id="rId2"/>
  <headerFooter>
    <oddFooter>&amp;L&amp;"Arial,Italic"&amp;8p-sbap5-42v&amp;C&amp;"Arial,Italic"&amp;8https://www.pca.state.mn.us  •  Available in alternative formats  •  Use your preferred relay service&amp;R&amp;"Arial,Italic"&amp;8Page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Instructions</vt:lpstr>
      <vt:lpstr>Insignificant activities</vt:lpstr>
      <vt:lpstr>Vertical tank 1</vt:lpstr>
      <vt:lpstr>Vertical tank 2</vt:lpstr>
      <vt:lpstr>Vertical tank 3</vt:lpstr>
      <vt:lpstr>VOC emission total</vt:lpstr>
      <vt:lpstr>Tables</vt:lpstr>
      <vt:lpstr>'Insignificant activities'!Print_Area</vt:lpstr>
      <vt:lpstr>Instructions!Print_Area</vt:lpstr>
      <vt:lpstr>Tables!Print_Area</vt:lpstr>
      <vt:lpstr>'Vertical tank 1'!Print_Area</vt:lpstr>
      <vt:lpstr>'Vertical tank 2'!Print_Area</vt:lpstr>
      <vt:lpstr>'Vertical tank 3'!Print_Area</vt:lpstr>
      <vt:lpstr>'VOC emission total'!Print_Area</vt:lpstr>
      <vt:lpstr>'Vertical tank 1'!Print_Titles</vt:lpstr>
      <vt:lpstr>'Vertical tank 2'!Print_Titles</vt:lpstr>
      <vt:lpstr>'Vertical tank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Storage tank air emissions calculator: fixed roof, vertical, cone or dome</dc:title>
  <dc:subject>SBEAP has developed a series of forms to help small businesses determine if they need an air emissions permit.</dc:subject>
  <dc:creator>Minnesota Pollution Control Agency - Emily Ohde (Gail Skowronek)</dc:creator>
  <cp:keywords>Minnesota Pollution Control Agency, p-sbap5-42v, MPCA, planning, small business environmental assistance program, emissions, air pollutants, tanks, vertical tank, cone, dome</cp:keywords>
  <dc:description/>
  <cp:lastModifiedBy>Emily Ohde</cp:lastModifiedBy>
  <cp:revision>21</cp:revision>
  <cp:lastPrinted>2020-03-09T15:38:09Z</cp:lastPrinted>
  <dcterms:created xsi:type="dcterms:W3CDTF">2017-11-14T03:10:25Z</dcterms:created>
  <dcterms:modified xsi:type="dcterms:W3CDTF">2020-07-15T17:32:02Z</dcterms:modified>
  <cp:category>planning, small business environmental assistance program</cp:category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f42aa342-8706-4288-bd11-ebb85995028c_Application">
    <vt:lpwstr>Microsoft Azure Information Protection</vt:lpwstr>
  </property>
  <property fmtid="{D5CDD505-2E9C-101B-9397-08002B2CF9AE}" pid="7" name="MSIP_Label_f42aa342-8706-4288-bd11-ebb85995028c_Enabled">
    <vt:lpwstr>True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MSIP_Label_f42aa342-8706-4288-bd11-ebb85995028c_Name">
    <vt:lpwstr>General</vt:lpwstr>
  </property>
  <property fmtid="{D5CDD505-2E9C-101B-9397-08002B2CF9AE}" pid="10" name="MSIP_Label_f42aa342-8706-4288-bd11-ebb85995028c_Owner">
    <vt:lpwstr>v-audrs@microsoft.com</vt:lpwstr>
  </property>
  <property fmtid="{D5CDD505-2E9C-101B-9397-08002B2CF9AE}" pid="11" name="MSIP_Label_f42aa342-8706-4288-bd11-ebb85995028c_SetDate">
    <vt:lpwstr>2017-11-14T03:10:35.1351208Z</vt:lpwstr>
  </property>
  <property fmtid="{D5CDD505-2E9C-101B-9397-08002B2CF9AE}" pid="12" name="MSIP_Label_f42aa342-8706-4288-bd11-ebb85995028c_SiteId">
    <vt:lpwstr>72f988bf-86f1-41af-91ab-2d7cd011db47</vt:lpwstr>
  </property>
  <property fmtid="{D5CDD505-2E9C-101B-9397-08002B2CF9AE}" pid="13" name="ScaleCrop">
    <vt:bool>false</vt:bool>
  </property>
  <property fmtid="{D5CDD505-2E9C-101B-9397-08002B2CF9AE}" pid="14" name="Sensitivity">
    <vt:lpwstr>General</vt:lpwstr>
  </property>
  <property fmtid="{D5CDD505-2E9C-101B-9397-08002B2CF9AE}" pid="15" name="ShareDoc">
    <vt:bool>false</vt:bool>
  </property>
  <property fmtid="{D5CDD505-2E9C-101B-9397-08002B2CF9AE}" pid="16" name="WorkbookGuid">
    <vt:lpwstr>14c78dc8-aaab-4055-857d-462b023257fb</vt:lpwstr>
  </property>
</Properties>
</file>