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ms-excel.sheet.macroEnabled.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xl/vbaProject.bin" ContentType="application/vnd.ms-office.vbaProject"/>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codeName="{51196F13-6AD0-C1B8-E2B4-A1F9AE17003E}"/>
  <workbookPr codeName="ThisWorkbook" defaultThemeVersion="164011"/>
  <mc:AlternateContent xmlns:mc="http://schemas.openxmlformats.org/markup-compatibility/2006">
    <mc:Choice Requires="x15">
      <x15ac:absPath xmlns:x15ac="http://schemas.microsoft.com/office/spreadsheetml/2010/11/ac" url="X:\Agency_Files\Prevention_and_Assistance\Environmental Business Assistance Section\Business Assistance First Link Unit\SBEAP\Calculators_SBEAP\Calculators - final as posted\"/>
    </mc:Choice>
  </mc:AlternateContent>
  <workbookProtection workbookAlgorithmName="SHA-512" workbookHashValue="5jPbaMHm6J6axpD+b/fmDgJ3827L0tNmzUlHCIG9YyUXTaabHMsek9/zduDbSGlwD9h7SzHqnaqu+Z7hYOq8vw==" workbookSaltValue="wObCpwIWk19tjyB6IEjUGw==" workbookSpinCount="100000" lockStructure="1"/>
  <bookViews>
    <workbookView xWindow="0" yWindow="0" windowWidth="12770" windowHeight="4880" tabRatio="797"/>
  </bookViews>
  <sheets>
    <sheet name="Read me (instructions)" sheetId="16" r:id="rId1"/>
    <sheet name="Emissions estimate &amp; results" sheetId="15" r:id="rId2"/>
    <sheet name="Mechanical finishing" sheetId="20" r:id="rId3"/>
    <sheet name="Data validation" sheetId="21" state="hidden" r:id="rId4"/>
    <sheet name="Subpart 3(A)" sheetId="3" r:id="rId5"/>
    <sheet name="Subpart 3(B)" sheetId="5" r:id="rId6"/>
    <sheet name="Subpart 3(C)" sheetId="6" r:id="rId7"/>
    <sheet name="Subpart 3(D)" sheetId="11" r:id="rId8"/>
    <sheet name="Subpart 3(E)" sheetId="12" r:id="rId9"/>
    <sheet name="Subpart 3(F)" sheetId="17" r:id="rId10"/>
    <sheet name="Subpart 3(G)" sheetId="14" r:id="rId11"/>
    <sheet name="7008.4100" sheetId="18" r:id="rId12"/>
    <sheet name="7008.4110" sheetId="19" r:id="rId13"/>
    <sheet name="Updates" sheetId="22" state="hidden" r:id="rId14"/>
  </sheets>
  <definedNames>
    <definedName name="_xlnm.Print_Area" localSheetId="11">'7008.4100'!$A$1:$A$15</definedName>
    <definedName name="_xlnm.Print_Area" localSheetId="1">'Emissions estimate &amp; results'!$B$1:$L$125</definedName>
    <definedName name="_xlnm.Print_Area" localSheetId="2">'Mechanical finishing'!$B$1:$J$77</definedName>
    <definedName name="_xlnm.Print_Area" localSheetId="0">'Read me (instructions)'!$B$1:$L$82</definedName>
    <definedName name="_xlnm.Print_Area" localSheetId="5">'Subpart 3(B)'!$A$1:$M$55</definedName>
    <definedName name="_xlnm.Print_Area" localSheetId="7">'Subpart 3(D)'!$A$1:$I$13</definedName>
    <definedName name="_xlnm.Print_Area" localSheetId="8">'Subpart 3(E)'!$A$1:$H$25</definedName>
    <definedName name="_xlnm.Print_Area" localSheetId="9">'Subpart 3(F)'!$A$3:$J$8</definedName>
    <definedName name="_xlnm.Print_Area" localSheetId="10">'Subpart 3(G)'!$A$2:$J$16</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M30" i="15" l="1"/>
  <c r="M25" i="15"/>
  <c r="M24" i="15"/>
  <c r="A1" i="21"/>
  <c r="B4" i="20"/>
  <c r="L1" i="15"/>
  <c r="A18" i="21" l="1"/>
  <c r="B18" i="21" s="1"/>
  <c r="E37" i="20" s="1"/>
  <c r="E29" i="20"/>
  <c r="E31" i="20" s="1"/>
  <c r="E39" i="20" l="1"/>
  <c r="E43" i="20" s="1"/>
  <c r="D3" i="5" l="1"/>
  <c r="B82" i="15" l="1"/>
  <c r="B61" i="15"/>
  <c r="B47" i="15"/>
  <c r="C54" i="5"/>
  <c r="B54" i="5"/>
  <c r="D54" i="5" s="1"/>
  <c r="E53" i="5"/>
  <c r="D53" i="5"/>
  <c r="F53" i="5" s="1"/>
  <c r="E52" i="5"/>
  <c r="D52" i="5"/>
  <c r="E51" i="5"/>
  <c r="D51" i="5"/>
  <c r="F51" i="5" s="1"/>
  <c r="E50" i="5"/>
  <c r="D50" i="5"/>
  <c r="E49" i="5"/>
  <c r="D49" i="5"/>
  <c r="F49" i="5" s="1"/>
  <c r="E48" i="5"/>
  <c r="D48" i="5"/>
  <c r="E47" i="5"/>
  <c r="D47" i="5"/>
  <c r="F47" i="5" s="1"/>
  <c r="E46" i="5"/>
  <c r="D46" i="5"/>
  <c r="E45" i="5"/>
  <c r="D45" i="5"/>
  <c r="F45" i="5" s="1"/>
  <c r="E44" i="5"/>
  <c r="D44" i="5"/>
  <c r="E43" i="5"/>
  <c r="D43" i="5"/>
  <c r="F43" i="5" s="1"/>
  <c r="C42" i="5"/>
  <c r="B42" i="5"/>
  <c r="D42" i="5" s="1"/>
  <c r="D41" i="5"/>
  <c r="C41" i="5"/>
  <c r="E41" i="5" s="1"/>
  <c r="E40" i="5"/>
  <c r="D40" i="5"/>
  <c r="E39" i="5"/>
  <c r="D39" i="5"/>
  <c r="E38" i="5"/>
  <c r="D38" i="5"/>
  <c r="E37" i="5"/>
  <c r="D37" i="5"/>
  <c r="E36" i="5"/>
  <c r="D36" i="5"/>
  <c r="E35" i="5"/>
  <c r="D35" i="5"/>
  <c r="E34" i="5"/>
  <c r="D34" i="5"/>
  <c r="E33" i="5"/>
  <c r="D33" i="5"/>
  <c r="E32" i="5"/>
  <c r="D32" i="5"/>
  <c r="D33" i="3"/>
  <c r="E33" i="3"/>
  <c r="D34" i="3"/>
  <c r="E34" i="3"/>
  <c r="D35" i="3"/>
  <c r="E35" i="3"/>
  <c r="D36" i="3"/>
  <c r="E36" i="3"/>
  <c r="D37" i="3"/>
  <c r="E37" i="3"/>
  <c r="D38" i="3"/>
  <c r="E38" i="3"/>
  <c r="D39" i="3"/>
  <c r="E39" i="3"/>
  <c r="D40" i="3"/>
  <c r="F40" i="3" s="1"/>
  <c r="E40" i="3"/>
  <c r="D41" i="3"/>
  <c r="D43" i="3"/>
  <c r="E43" i="3"/>
  <c r="D44" i="3"/>
  <c r="E44" i="3"/>
  <c r="D45" i="3"/>
  <c r="E45" i="3"/>
  <c r="D46" i="3"/>
  <c r="E46" i="3"/>
  <c r="D47" i="3"/>
  <c r="E47" i="3"/>
  <c r="D48" i="3"/>
  <c r="E48" i="3"/>
  <c r="D49" i="3"/>
  <c r="E49" i="3"/>
  <c r="D50" i="3"/>
  <c r="E50" i="3"/>
  <c r="D51" i="3"/>
  <c r="E51" i="3"/>
  <c r="D52" i="3"/>
  <c r="E52" i="3"/>
  <c r="D53" i="3"/>
  <c r="E53" i="3"/>
  <c r="D32" i="3"/>
  <c r="E32" i="3"/>
  <c r="C54" i="3"/>
  <c r="E54" i="3" s="1"/>
  <c r="B54" i="3"/>
  <c r="D54" i="3" s="1"/>
  <c r="B42" i="3"/>
  <c r="D42" i="3" s="1"/>
  <c r="C41" i="3"/>
  <c r="E41" i="3" s="1"/>
  <c r="F41" i="3" s="1"/>
  <c r="K16" i="3"/>
  <c r="J16" i="3"/>
  <c r="I16" i="3"/>
  <c r="G16" i="3"/>
  <c r="F16" i="3"/>
  <c r="E16" i="3"/>
  <c r="D16" i="3"/>
  <c r="C16" i="3"/>
  <c r="B16" i="3"/>
  <c r="K15" i="3"/>
  <c r="J15" i="3"/>
  <c r="I15" i="3"/>
  <c r="G15" i="3"/>
  <c r="F15" i="3"/>
  <c r="E15" i="3"/>
  <c r="D15" i="3"/>
  <c r="C15" i="3"/>
  <c r="B15" i="3"/>
  <c r="L14" i="3"/>
  <c r="H14" i="3"/>
  <c r="G14" i="3"/>
  <c r="F14" i="3"/>
  <c r="E14" i="3"/>
  <c r="D14" i="3"/>
  <c r="B14" i="3"/>
  <c r="D10" i="3"/>
  <c r="H32" i="3" s="1"/>
  <c r="B9" i="3"/>
  <c r="D9" i="3" s="1"/>
  <c r="D3" i="3"/>
  <c r="D8" i="3" s="1"/>
  <c r="I53" i="3" s="1"/>
  <c r="A3" i="3"/>
  <c r="D16" i="5"/>
  <c r="B16" i="5"/>
  <c r="K15" i="5"/>
  <c r="J15" i="5"/>
  <c r="I15" i="5"/>
  <c r="G15" i="5"/>
  <c r="F15" i="5"/>
  <c r="E15" i="5"/>
  <c r="D15" i="5"/>
  <c r="C15" i="5"/>
  <c r="B15" i="5"/>
  <c r="B9" i="5"/>
  <c r="D9" i="5" s="1"/>
  <c r="D10" i="5"/>
  <c r="H24" i="5" s="1"/>
  <c r="F35" i="3" l="1"/>
  <c r="F39" i="3"/>
  <c r="F48" i="3"/>
  <c r="F44" i="5"/>
  <c r="F46" i="5"/>
  <c r="F48" i="5"/>
  <c r="F50" i="5"/>
  <c r="F52" i="5"/>
  <c r="F51" i="3"/>
  <c r="F47" i="3"/>
  <c r="F32" i="3"/>
  <c r="F52" i="3"/>
  <c r="F44" i="3"/>
  <c r="F17" i="3"/>
  <c r="I98" i="15" s="1"/>
  <c r="K17" i="3"/>
  <c r="F38" i="3"/>
  <c r="F36" i="3"/>
  <c r="F34" i="3"/>
  <c r="C42" i="3"/>
  <c r="E42" i="3" s="1"/>
  <c r="F53" i="3"/>
  <c r="F49" i="3"/>
  <c r="F45" i="3"/>
  <c r="F43" i="3"/>
  <c r="B17" i="3"/>
  <c r="D98" i="15" s="1"/>
  <c r="D17" i="3"/>
  <c r="G98" i="15" s="1"/>
  <c r="H17" i="3"/>
  <c r="L98" i="15" s="1"/>
  <c r="I17" i="3"/>
  <c r="B55" i="3"/>
  <c r="D55" i="3" s="1"/>
  <c r="H43" i="5"/>
  <c r="H53" i="5"/>
  <c r="H45" i="5"/>
  <c r="H48" i="5"/>
  <c r="H51" i="5"/>
  <c r="H44" i="5"/>
  <c r="H47" i="5"/>
  <c r="H49" i="5"/>
  <c r="H52" i="5"/>
  <c r="H46" i="5"/>
  <c r="H50" i="5"/>
  <c r="H54" i="5"/>
  <c r="F32" i="5"/>
  <c r="H32" i="5"/>
  <c r="F33" i="5"/>
  <c r="H33" i="5"/>
  <c r="F34" i="5"/>
  <c r="H34" i="5"/>
  <c r="F35" i="5"/>
  <c r="H35" i="5"/>
  <c r="F36" i="5"/>
  <c r="H36" i="5"/>
  <c r="F37" i="5"/>
  <c r="H37" i="5"/>
  <c r="F38" i="5"/>
  <c r="H38" i="5"/>
  <c r="F39" i="5"/>
  <c r="H39" i="5"/>
  <c r="F40" i="5"/>
  <c r="H40" i="5"/>
  <c r="H41" i="5"/>
  <c r="H42" i="5"/>
  <c r="C55" i="5"/>
  <c r="E55" i="5" s="1"/>
  <c r="B55" i="5"/>
  <c r="H55" i="5" s="1"/>
  <c r="F41" i="5"/>
  <c r="E42" i="5"/>
  <c r="F42" i="5" s="1"/>
  <c r="E54" i="5"/>
  <c r="F54" i="5" s="1"/>
  <c r="F42" i="3"/>
  <c r="I24" i="3"/>
  <c r="K24" i="3"/>
  <c r="E22" i="3"/>
  <c r="G22" i="3"/>
  <c r="C23" i="3"/>
  <c r="E23" i="3"/>
  <c r="G23" i="3"/>
  <c r="J23" i="3"/>
  <c r="B23" i="3"/>
  <c r="C24" i="3"/>
  <c r="E24" i="3"/>
  <c r="G24" i="3"/>
  <c r="H55" i="3"/>
  <c r="H53" i="3"/>
  <c r="J53" i="3" s="1"/>
  <c r="K53" i="3" s="1"/>
  <c r="H51" i="3"/>
  <c r="H49" i="3"/>
  <c r="H47" i="3"/>
  <c r="H45" i="3"/>
  <c r="H43" i="3"/>
  <c r="H41" i="3"/>
  <c r="H40" i="3"/>
  <c r="H38" i="3"/>
  <c r="H36" i="3"/>
  <c r="H34" i="3"/>
  <c r="H24" i="3"/>
  <c r="C14" i="3"/>
  <c r="L15" i="3"/>
  <c r="L23" i="3" s="1"/>
  <c r="J24" i="3"/>
  <c r="L16" i="3"/>
  <c r="L24" i="3" s="1"/>
  <c r="E17" i="3"/>
  <c r="H98" i="15" s="1"/>
  <c r="G17" i="3"/>
  <c r="F98" i="15" s="1"/>
  <c r="B22" i="3"/>
  <c r="D22" i="3"/>
  <c r="F22" i="3"/>
  <c r="H22" i="3"/>
  <c r="J22" i="3"/>
  <c r="J25" i="3" s="1"/>
  <c r="J26" i="3" s="1"/>
  <c r="L22" i="3"/>
  <c r="I32" i="3"/>
  <c r="F33" i="3"/>
  <c r="H33" i="3"/>
  <c r="I36" i="3"/>
  <c r="F37" i="3"/>
  <c r="H37" i="3"/>
  <c r="I40" i="3"/>
  <c r="I42" i="3"/>
  <c r="H42" i="3"/>
  <c r="I45" i="3"/>
  <c r="F46" i="3"/>
  <c r="H46" i="3"/>
  <c r="I49" i="3"/>
  <c r="F50" i="3"/>
  <c r="H50" i="3"/>
  <c r="F54" i="3"/>
  <c r="I52" i="3"/>
  <c r="I50" i="3"/>
  <c r="I48" i="3"/>
  <c r="I46" i="3"/>
  <c r="I44" i="3"/>
  <c r="I39" i="3"/>
  <c r="I37" i="3"/>
  <c r="I35" i="3"/>
  <c r="I33" i="3"/>
  <c r="D23" i="3"/>
  <c r="F23" i="3"/>
  <c r="I23" i="3"/>
  <c r="K23" i="3"/>
  <c r="B24" i="3"/>
  <c r="D24" i="3"/>
  <c r="F24" i="3"/>
  <c r="J17" i="3"/>
  <c r="I22" i="3"/>
  <c r="K22" i="3"/>
  <c r="I34" i="3"/>
  <c r="H35" i="3"/>
  <c r="I38" i="3"/>
  <c r="H39" i="3"/>
  <c r="I41" i="3"/>
  <c r="I43" i="3"/>
  <c r="H44" i="3"/>
  <c r="I47" i="3"/>
  <c r="H48" i="3"/>
  <c r="I51" i="3"/>
  <c r="H52" i="3"/>
  <c r="C55" i="3"/>
  <c r="E55" i="3" s="1"/>
  <c r="K98" i="15" s="1"/>
  <c r="I54" i="3"/>
  <c r="H54" i="3"/>
  <c r="L15" i="5"/>
  <c r="F55" i="3" l="1"/>
  <c r="J39" i="3"/>
  <c r="K39" i="3" s="1"/>
  <c r="H25" i="3"/>
  <c r="H26" i="3" s="1"/>
  <c r="J35" i="3"/>
  <c r="K35" i="3" s="1"/>
  <c r="L25" i="3"/>
  <c r="L26" i="3" s="1"/>
  <c r="D55" i="5"/>
  <c r="F55" i="5"/>
  <c r="I25" i="3"/>
  <c r="I26" i="3" s="1"/>
  <c r="K25" i="3"/>
  <c r="K26" i="3" s="1"/>
  <c r="E25" i="3"/>
  <c r="E26" i="3" s="1"/>
  <c r="J52" i="3"/>
  <c r="K52" i="3" s="1"/>
  <c r="J48" i="3"/>
  <c r="K48" i="3" s="1"/>
  <c r="J44" i="3"/>
  <c r="K44" i="3" s="1"/>
  <c r="G25" i="3"/>
  <c r="G26" i="3" s="1"/>
  <c r="J46" i="3"/>
  <c r="K46" i="3" s="1"/>
  <c r="J37" i="3"/>
  <c r="K37" i="3" s="1"/>
  <c r="D25" i="3"/>
  <c r="D26" i="3" s="1"/>
  <c r="J34" i="3"/>
  <c r="K34" i="3" s="1"/>
  <c r="J38" i="3"/>
  <c r="K38" i="3" s="1"/>
  <c r="J41" i="3"/>
  <c r="K41" i="3" s="1"/>
  <c r="J45" i="3"/>
  <c r="K45" i="3" s="1"/>
  <c r="J49" i="3"/>
  <c r="K49" i="3" s="1"/>
  <c r="J54" i="3"/>
  <c r="I55" i="3"/>
  <c r="J50" i="3"/>
  <c r="K50" i="3" s="1"/>
  <c r="J42" i="3"/>
  <c r="K42" i="3" s="1"/>
  <c r="J33" i="3"/>
  <c r="K33" i="3" s="1"/>
  <c r="F25" i="3"/>
  <c r="F26" i="3" s="1"/>
  <c r="B25" i="3"/>
  <c r="B26" i="3" s="1"/>
  <c r="C22" i="3"/>
  <c r="C25" i="3" s="1"/>
  <c r="C26" i="3" s="1"/>
  <c r="C17" i="3"/>
  <c r="E98" i="15" s="1"/>
  <c r="J32" i="3"/>
  <c r="K32" i="3" s="1"/>
  <c r="J36" i="3"/>
  <c r="K36" i="3" s="1"/>
  <c r="J40" i="3"/>
  <c r="K40" i="3" s="1"/>
  <c r="J43" i="3"/>
  <c r="K43" i="3" s="1"/>
  <c r="J47" i="3"/>
  <c r="K47" i="3" s="1"/>
  <c r="J51" i="3"/>
  <c r="K51" i="3" s="1"/>
  <c r="L17" i="3"/>
  <c r="J98" i="15" s="1"/>
  <c r="B17" i="6"/>
  <c r="B18" i="6" s="1"/>
  <c r="J55" i="3" l="1"/>
  <c r="K54" i="3"/>
  <c r="K55" i="3" s="1"/>
  <c r="K106" i="15"/>
  <c r="F106" i="15"/>
  <c r="E106" i="15"/>
  <c r="E107" i="15"/>
  <c r="D107" i="15"/>
  <c r="D106" i="15"/>
  <c r="K104" i="15"/>
  <c r="J104" i="15"/>
  <c r="I104" i="15"/>
  <c r="H104" i="15"/>
  <c r="G104" i="15"/>
  <c r="F104" i="15"/>
  <c r="E104" i="15"/>
  <c r="D104" i="15"/>
  <c r="K102" i="15"/>
  <c r="I102" i="15"/>
  <c r="H102" i="15"/>
  <c r="G102" i="15"/>
  <c r="F102" i="15"/>
  <c r="E102" i="15"/>
  <c r="D102" i="15"/>
  <c r="K101" i="15"/>
  <c r="F101" i="15"/>
  <c r="K100" i="15"/>
  <c r="F100" i="15"/>
  <c r="H18" i="12" l="1"/>
  <c r="H19" i="12"/>
  <c r="H20" i="12"/>
  <c r="H21" i="12"/>
  <c r="H22" i="12"/>
  <c r="H23" i="12"/>
  <c r="H24" i="12"/>
  <c r="B19" i="12"/>
  <c r="C19" i="12"/>
  <c r="D19" i="12"/>
  <c r="E19" i="12"/>
  <c r="F19" i="12"/>
  <c r="G19" i="12"/>
  <c r="L103" i="15" s="1"/>
  <c r="B20" i="12"/>
  <c r="C20" i="12"/>
  <c r="D20" i="12"/>
  <c r="E20" i="12"/>
  <c r="F20" i="12"/>
  <c r="G20" i="12"/>
  <c r="B21" i="12"/>
  <c r="C21" i="12"/>
  <c r="D21" i="12"/>
  <c r="E21" i="12"/>
  <c r="F21" i="12"/>
  <c r="G21" i="12"/>
  <c r="B22" i="12"/>
  <c r="C22" i="12"/>
  <c r="D22" i="12"/>
  <c r="E22" i="12"/>
  <c r="F22" i="12"/>
  <c r="G22" i="12"/>
  <c r="B23" i="12"/>
  <c r="C23" i="12"/>
  <c r="D23" i="12"/>
  <c r="E23" i="12"/>
  <c r="F23" i="12"/>
  <c r="G23" i="12"/>
  <c r="B24" i="12"/>
  <c r="C24" i="12"/>
  <c r="D24" i="12"/>
  <c r="E24" i="12"/>
  <c r="F24" i="12"/>
  <c r="G24" i="12"/>
  <c r="B18" i="12"/>
  <c r="G18" i="12"/>
  <c r="F18" i="12"/>
  <c r="E18" i="12"/>
  <c r="D18" i="12"/>
  <c r="C18" i="12"/>
  <c r="I16" i="5"/>
  <c r="J16" i="5"/>
  <c r="K16" i="5"/>
  <c r="G16" i="5"/>
  <c r="G24" i="5" s="1"/>
  <c r="F16" i="5"/>
  <c r="F24" i="5" s="1"/>
  <c r="E16" i="5"/>
  <c r="E24" i="5" s="1"/>
  <c r="D24" i="5"/>
  <c r="C16" i="5"/>
  <c r="C24" i="5" s="1"/>
  <c r="B24" i="5"/>
  <c r="L14" i="5"/>
  <c r="H12" i="14"/>
  <c r="H14" i="14" s="1"/>
  <c r="H15" i="14" s="1"/>
  <c r="E105" i="15" s="1"/>
  <c r="I12" i="14"/>
  <c r="I14" i="14" s="1"/>
  <c r="I15" i="14" s="1"/>
  <c r="G12" i="14"/>
  <c r="G14" i="14" s="1"/>
  <c r="G15" i="14" s="1"/>
  <c r="D105" i="15" s="1"/>
  <c r="B8" i="6"/>
  <c r="B9" i="6" s="1"/>
  <c r="D8" i="5"/>
  <c r="A3" i="5"/>
  <c r="H14" i="5"/>
  <c r="G14" i="5"/>
  <c r="F14" i="5"/>
  <c r="E14" i="5"/>
  <c r="D14" i="5"/>
  <c r="B14" i="5"/>
  <c r="H22" i="5" l="1"/>
  <c r="E25" i="12"/>
  <c r="D25" i="12"/>
  <c r="I36" i="5"/>
  <c r="J36" i="5" s="1"/>
  <c r="K36" i="5" s="1"/>
  <c r="I32" i="5"/>
  <c r="J32" i="5" s="1"/>
  <c r="K32" i="5" s="1"/>
  <c r="I53" i="5"/>
  <c r="J53" i="5" s="1"/>
  <c r="K53" i="5" s="1"/>
  <c r="I52" i="5"/>
  <c r="J52" i="5" s="1"/>
  <c r="K52" i="5" s="1"/>
  <c r="I51" i="5"/>
  <c r="J51" i="5" s="1"/>
  <c r="K51" i="5" s="1"/>
  <c r="I50" i="5"/>
  <c r="J50" i="5" s="1"/>
  <c r="K50" i="5" s="1"/>
  <c r="I49" i="5"/>
  <c r="J49" i="5" s="1"/>
  <c r="K49" i="5" s="1"/>
  <c r="I48" i="5"/>
  <c r="J48" i="5" s="1"/>
  <c r="K48" i="5" s="1"/>
  <c r="I47" i="5"/>
  <c r="J47" i="5" s="1"/>
  <c r="K47" i="5" s="1"/>
  <c r="I46" i="5"/>
  <c r="J46" i="5" s="1"/>
  <c r="K46" i="5" s="1"/>
  <c r="I45" i="5"/>
  <c r="J45" i="5" s="1"/>
  <c r="K45" i="5" s="1"/>
  <c r="I44" i="5"/>
  <c r="J44" i="5" s="1"/>
  <c r="K44" i="5" s="1"/>
  <c r="I43" i="5"/>
  <c r="J43" i="5" s="1"/>
  <c r="K43" i="5" s="1"/>
  <c r="I41" i="5"/>
  <c r="J41" i="5" s="1"/>
  <c r="K41" i="5" s="1"/>
  <c r="I40" i="5"/>
  <c r="J40" i="5" s="1"/>
  <c r="K40" i="5" s="1"/>
  <c r="I39" i="5"/>
  <c r="J39" i="5" s="1"/>
  <c r="K39" i="5" s="1"/>
  <c r="I38" i="5"/>
  <c r="J38" i="5" s="1"/>
  <c r="K38" i="5" s="1"/>
  <c r="I37" i="5"/>
  <c r="J37" i="5" s="1"/>
  <c r="K37" i="5" s="1"/>
  <c r="I35" i="5"/>
  <c r="J35" i="5" s="1"/>
  <c r="K35" i="5" s="1"/>
  <c r="I34" i="5"/>
  <c r="J34" i="5" s="1"/>
  <c r="K34" i="5" s="1"/>
  <c r="I33" i="5"/>
  <c r="J33" i="5" s="1"/>
  <c r="K33" i="5" s="1"/>
  <c r="I42" i="5"/>
  <c r="J42" i="5" s="1"/>
  <c r="K42" i="5" s="1"/>
  <c r="I55" i="5"/>
  <c r="I54" i="5"/>
  <c r="J54" i="5" s="1"/>
  <c r="B22" i="5"/>
  <c r="E17" i="5"/>
  <c r="H99" i="15" s="1"/>
  <c r="H123" i="15" s="1"/>
  <c r="E22" i="5"/>
  <c r="G17" i="5"/>
  <c r="F99" i="15" s="1"/>
  <c r="F123" i="15" s="1"/>
  <c r="G22" i="5"/>
  <c r="K17" i="5"/>
  <c r="K24" i="5"/>
  <c r="I17" i="5"/>
  <c r="I24" i="5"/>
  <c r="D17" i="5"/>
  <c r="G99" i="15" s="1"/>
  <c r="G123" i="15" s="1"/>
  <c r="D22" i="5"/>
  <c r="F17" i="5"/>
  <c r="I99" i="15" s="1"/>
  <c r="I123" i="15" s="1"/>
  <c r="F22" i="5"/>
  <c r="J22" i="5"/>
  <c r="K22" i="5"/>
  <c r="I22" i="5"/>
  <c r="L22" i="5"/>
  <c r="J17" i="5"/>
  <c r="J24" i="5"/>
  <c r="H17" i="5"/>
  <c r="L99" i="15" s="1"/>
  <c r="L123" i="15" s="1"/>
  <c r="C14" i="5"/>
  <c r="B17" i="5"/>
  <c r="D99" i="15" s="1"/>
  <c r="C25" i="12"/>
  <c r="G25" i="12"/>
  <c r="K103" i="15" s="1"/>
  <c r="F25" i="12"/>
  <c r="B25" i="12"/>
  <c r="H25" i="12"/>
  <c r="D103" i="15"/>
  <c r="E103" i="15"/>
  <c r="L16" i="5"/>
  <c r="K54" i="5" l="1"/>
  <c r="K55" i="5" s="1"/>
  <c r="J55" i="5"/>
  <c r="L24" i="5"/>
  <c r="J23" i="5"/>
  <c r="J25" i="5" s="1"/>
  <c r="J26" i="5" s="1"/>
  <c r="H25" i="5"/>
  <c r="H26" i="5" s="1"/>
  <c r="F23" i="5"/>
  <c r="K23" i="5"/>
  <c r="K25" i="5" s="1"/>
  <c r="K26" i="5" s="1"/>
  <c r="I23" i="5"/>
  <c r="G23" i="5"/>
  <c r="E23" i="5"/>
  <c r="E25" i="5" s="1"/>
  <c r="E26" i="5" s="1"/>
  <c r="C23" i="5"/>
  <c r="D23" i="5"/>
  <c r="L23" i="5"/>
  <c r="C17" i="5"/>
  <c r="E99" i="15" s="1"/>
  <c r="E123" i="15" s="1"/>
  <c r="C22" i="5"/>
  <c r="B23" i="5"/>
  <c r="B25" i="5" s="1"/>
  <c r="B26" i="5" s="1"/>
  <c r="L17" i="5"/>
  <c r="J99" i="15" s="1"/>
  <c r="J123" i="15" s="1"/>
  <c r="K99" i="15"/>
  <c r="K123" i="15" s="1"/>
  <c r="D123" i="15"/>
  <c r="L25" i="5" l="1"/>
  <c r="L26" i="5" s="1"/>
  <c r="C25" i="5"/>
  <c r="C26" i="5" s="1"/>
  <c r="F25" i="5"/>
  <c r="F26" i="5" s="1"/>
  <c r="D25" i="5"/>
  <c r="D26" i="5" s="1"/>
  <c r="G25" i="5"/>
  <c r="G26" i="5" s="1"/>
  <c r="I25" i="5"/>
  <c r="I26" i="5" s="1"/>
</calcChain>
</file>

<file path=xl/sharedStrings.xml><?xml version="1.0" encoding="utf-8"?>
<sst xmlns="http://schemas.openxmlformats.org/spreadsheetml/2006/main" count="600" uniqueCount="360">
  <si>
    <t>PM</t>
  </si>
  <si>
    <t>VOC</t>
  </si>
  <si>
    <t>CO2e</t>
  </si>
  <si>
    <t>MMBtu/hour (each)</t>
  </si>
  <si>
    <t>MMBtu/hr (total)</t>
  </si>
  <si>
    <t>MMBtu/mmcf</t>
  </si>
  <si>
    <t>CO</t>
  </si>
  <si>
    <t>Lead</t>
  </si>
  <si>
    <t>Gas</t>
  </si>
  <si>
    <t>lb/mmcf</t>
  </si>
  <si>
    <t>lb/gallon</t>
  </si>
  <si>
    <t>Sample:  7.6 lb PM/mmcf x 0.21581 mmcf/hour = 1.64 lb PM/hour</t>
  </si>
  <si>
    <r>
      <t>PM</t>
    </r>
    <r>
      <rPr>
        <b/>
        <vertAlign val="subscript"/>
        <sz val="10"/>
        <rFont val="Arial"/>
        <family val="2"/>
      </rPr>
      <t>10</t>
    </r>
  </si>
  <si>
    <r>
      <t>SO</t>
    </r>
    <r>
      <rPr>
        <b/>
        <vertAlign val="subscript"/>
        <sz val="10"/>
        <rFont val="Arial"/>
        <family val="2"/>
      </rPr>
      <t>2</t>
    </r>
  </si>
  <si>
    <r>
      <t>NO</t>
    </r>
    <r>
      <rPr>
        <b/>
        <vertAlign val="subscript"/>
        <sz val="10"/>
        <rFont val="Arial"/>
        <family val="2"/>
      </rPr>
      <t>X</t>
    </r>
  </si>
  <si>
    <t>lb/hour</t>
  </si>
  <si>
    <t>(lb/kgal)</t>
  </si>
  <si>
    <t>(lb/mmcf)</t>
  </si>
  <si>
    <t>Benzene</t>
  </si>
  <si>
    <t>Dichlorobenzene</t>
  </si>
  <si>
    <t>Ethylbenzene</t>
  </si>
  <si>
    <t>Formaldehyde</t>
  </si>
  <si>
    <t>Hexane</t>
  </si>
  <si>
    <t>Naphthalene</t>
  </si>
  <si>
    <t>Methyl Chloroform</t>
  </si>
  <si>
    <t>Toluene</t>
  </si>
  <si>
    <t>o-Xylene</t>
  </si>
  <si>
    <t>POM</t>
  </si>
  <si>
    <t>Total Volatile HAPs</t>
  </si>
  <si>
    <t>Antimony</t>
  </si>
  <si>
    <t>Arsensic</t>
  </si>
  <si>
    <t>Beryllium</t>
  </si>
  <si>
    <t>Cadmium</t>
  </si>
  <si>
    <t>Cobalt</t>
  </si>
  <si>
    <t>Chromium</t>
  </si>
  <si>
    <t>Manganese</t>
  </si>
  <si>
    <t>Mercury</t>
  </si>
  <si>
    <t>Nickel</t>
  </si>
  <si>
    <t>Phosphorus</t>
  </si>
  <si>
    <t>Selenium</t>
  </si>
  <si>
    <t>Total Metalic HAPs</t>
  </si>
  <si>
    <t>Total HAPs</t>
  </si>
  <si>
    <t>Btu/hr (total)</t>
  </si>
  <si>
    <t>Btu/hour (each)</t>
  </si>
  <si>
    <t>gasoline storage tanks with a combined total tankage capacity of not more than 10,000 gallons</t>
  </si>
  <si>
    <t>days</t>
  </si>
  <si>
    <t>gallons/day</t>
  </si>
  <si>
    <t>gallons/year</t>
  </si>
  <si>
    <t>lb/year VOC, proportionally</t>
  </si>
  <si>
    <t>A gasoline storage tank with a throughput of 1.5 million gallons per year (example, ethanol plant) has VOC emissions of approximately 62 pounds.</t>
  </si>
  <si>
    <t>AP-42 chapter 12.19</t>
  </si>
  <si>
    <t>Electric Arc Welding is the highest emitting process</t>
  </si>
  <si>
    <t xml:space="preserve">Fugitive dust emissions from unpaved entrance roads and parking lots, </t>
  </si>
  <si>
    <t>Traffic volume:</t>
  </si>
  <si>
    <t>(lb/btu)</t>
  </si>
  <si>
    <t>lb/btu</t>
  </si>
  <si>
    <t>PM Values</t>
  </si>
  <si>
    <t>PM10 Values</t>
  </si>
  <si>
    <t>Source</t>
  </si>
  <si>
    <t>a =</t>
  </si>
  <si>
    <t>AP42 13.2.2-2</t>
  </si>
  <si>
    <t>b =</t>
  </si>
  <si>
    <t>(source:  AP42 13.2.2)</t>
  </si>
  <si>
    <t>k =</t>
  </si>
  <si>
    <t>Unpaved Roads Emission Factor</t>
  </si>
  <si>
    <t>AP42 13.2.2-1</t>
  </si>
  <si>
    <t>PM2.5 Values</t>
  </si>
  <si>
    <t>s =</t>
  </si>
  <si>
    <t>W = Average vehicle weight  = 5 tons</t>
  </si>
  <si>
    <t>Emission Rate (lbs/day) =</t>
  </si>
  <si>
    <t>Emission Rate (tpy) =</t>
  </si>
  <si>
    <t>Traffic Volume (VMT/day) =</t>
  </si>
  <si>
    <t>7008.4100</t>
  </si>
  <si>
    <t>7008.4110</t>
  </si>
  <si>
    <t>CO2</t>
  </si>
  <si>
    <t>N2O</t>
  </si>
  <si>
    <t>CH4</t>
  </si>
  <si>
    <t>Pollutant</t>
  </si>
  <si>
    <t>Emission Factor</t>
  </si>
  <si>
    <t>PM/PM10</t>
  </si>
  <si>
    <t>Units</t>
  </si>
  <si>
    <t>lb/1000 lb electrode</t>
  </si>
  <si>
    <t>14Mn-4Cr</t>
  </si>
  <si>
    <t>Chromium (VI)</t>
  </si>
  <si>
    <t>E308</t>
  </si>
  <si>
    <t>E310</t>
  </si>
  <si>
    <t>E7028</t>
  </si>
  <si>
    <t>Source
(Electrode Type)</t>
  </si>
  <si>
    <t>Emissions (TPY)</t>
  </si>
  <si>
    <t>Small Business Environmental Assistance Program</t>
  </si>
  <si>
    <t>(651) 282-6143 or (800) 657-3938</t>
  </si>
  <si>
    <t>Read Me (Instructions)</t>
  </si>
  <si>
    <t>Emissions Estimate &amp; Results</t>
  </si>
  <si>
    <t>Legend</t>
  </si>
  <si>
    <t>Rule Citation</t>
  </si>
  <si>
    <t>7007.1300, subp. 3(A)</t>
  </si>
  <si>
    <t>7007.1300, subp. 3(B)(2)</t>
  </si>
  <si>
    <t>Select "Yes" or "No"</t>
  </si>
  <si>
    <t>Locked &amp; Uneditable</t>
  </si>
  <si>
    <t>"Yes" or "No"
(Previous Table)</t>
  </si>
  <si>
    <t>Value
(Btu per hour)</t>
  </si>
  <si>
    <t>• 4,000 pounds per year of carbon monoxide;</t>
  </si>
  <si>
    <t>Value
(1, 2, 3, etc...)</t>
  </si>
  <si>
    <t>Total number of qualifying emission units</t>
  </si>
  <si>
    <t>Qualifying emission units that emit carbon monoxide (CO)</t>
  </si>
  <si>
    <t>Qualifying emission units that emit particulate matter (PM)</t>
  </si>
  <si>
    <t>Qualifying emission units that emit volatile organic compounds (VOCs)</t>
  </si>
  <si>
    <t>Qualifying emission units that emit hazardous air pollutants (HAPs)</t>
  </si>
  <si>
    <t>HAPs</t>
  </si>
  <si>
    <r>
      <t>PM</t>
    </r>
    <r>
      <rPr>
        <b/>
        <vertAlign val="subscript"/>
        <sz val="10"/>
        <color theme="1"/>
        <rFont val="Arial"/>
        <family val="2"/>
      </rPr>
      <t>10</t>
    </r>
  </si>
  <si>
    <r>
      <t>SO</t>
    </r>
    <r>
      <rPr>
        <b/>
        <vertAlign val="subscript"/>
        <sz val="10"/>
        <color theme="1"/>
        <rFont val="Arial"/>
        <family val="2"/>
      </rPr>
      <t>2</t>
    </r>
  </si>
  <si>
    <r>
      <t>NO</t>
    </r>
    <r>
      <rPr>
        <b/>
        <vertAlign val="subscript"/>
        <sz val="10"/>
        <color theme="1"/>
        <rFont val="Arial"/>
        <family val="2"/>
      </rPr>
      <t>X</t>
    </r>
  </si>
  <si>
    <r>
      <t>CO</t>
    </r>
    <r>
      <rPr>
        <b/>
        <vertAlign val="subscript"/>
        <sz val="10"/>
        <color theme="1"/>
        <rFont val="Arial"/>
        <family val="2"/>
      </rPr>
      <t>2</t>
    </r>
    <r>
      <rPr>
        <b/>
        <sz val="10"/>
        <color theme="1"/>
        <rFont val="Arial"/>
        <family val="2"/>
      </rPr>
      <t>e</t>
    </r>
  </si>
  <si>
    <t>An ethanol storage tank with a throughput of 1.5 million gallons per year has VOC emissions of approximately 60 pounds.</t>
  </si>
  <si>
    <t>Heating Value</t>
  </si>
  <si>
    <t>Consumption Rate</t>
  </si>
  <si>
    <t>(lb/hr)</t>
  </si>
  <si>
    <t>Emission Rates</t>
  </si>
  <si>
    <t>(tpy)</t>
  </si>
  <si>
    <t>Emissions from a laboratory, as defined in this item. "Laboratory" means a place or activity devoted to experimental study or teaching in any science, or to the testing and analysis of drugs, chemicals, chemical compounds or other substances, or similar activities, provided that the activities described in this sentence are conducted on a laboratory scale. Activities are conducted on a laboratory scale if the containers used for reactions, transfers, and other handling of substances are designed to be easily and safely manipulated by one person. If an emission facility manufactures or produces products for profit in any quantity, it may not be considered to be a laboratory under this item. Support activities necessary to the operation of the laboratory are considered to be part of the laboratory. Support activities do not include the provision of power to the laboratory from sources that provide power to multiple projects or from sources which would otherwise require permitting, such as boilers that provide power to an entire facility.</t>
  </si>
  <si>
    <t>For the purposes of this spreadsheet and consistency across users, assume emission rates do not exceed 0.5 tons per year. These are very small, intermittent, bench-top operations that typically do not even have any emissions.</t>
  </si>
  <si>
    <t>If a source uses this many pounds of electrode per year:</t>
  </si>
  <si>
    <t>Individual emission units at a stationary source, each of which have a potential to emit the following pollutants in amounts less than:</t>
  </si>
  <si>
    <t>Assumed conditions for unpaved roads</t>
  </si>
  <si>
    <t>Emission Factor (lb/VMT) =</t>
  </si>
  <si>
    <t>vehicle miles traveled (VMT) per day</t>
  </si>
  <si>
    <t>Propane</t>
  </si>
  <si>
    <t>tons/year</t>
  </si>
  <si>
    <t>Value</t>
  </si>
  <si>
    <t>mmcf/hour</t>
  </si>
  <si>
    <t>Sulfur Content</t>
  </si>
  <si>
    <t>%</t>
  </si>
  <si>
    <r>
      <t>gr/100 ft</t>
    </r>
    <r>
      <rPr>
        <vertAlign val="superscript"/>
        <sz val="10"/>
        <rFont val="Arial"/>
        <family val="2"/>
      </rPr>
      <t>3</t>
    </r>
  </si>
  <si>
    <t>n/a</t>
  </si>
  <si>
    <t>gallons/hour</t>
  </si>
  <si>
    <t>Btu/gallon</t>
  </si>
  <si>
    <r>
      <t>Qualifying emission units that emit nitrogen oxide (NO</t>
    </r>
    <r>
      <rPr>
        <vertAlign val="subscript"/>
        <sz val="10"/>
        <color theme="1"/>
        <rFont val="Arial"/>
        <family val="2"/>
      </rPr>
      <t>X</t>
    </r>
    <r>
      <rPr>
        <sz val="10"/>
        <color theme="1"/>
        <rFont val="Arial"/>
        <family val="2"/>
      </rPr>
      <t>)</t>
    </r>
  </si>
  <si>
    <r>
      <t>Qualifying emission units that emit sulfur dioxide (SO</t>
    </r>
    <r>
      <rPr>
        <vertAlign val="subscript"/>
        <sz val="10"/>
        <color theme="1"/>
        <rFont val="Arial"/>
        <family val="2"/>
      </rPr>
      <t>2</t>
    </r>
    <r>
      <rPr>
        <sz val="10"/>
        <color theme="1"/>
        <rFont val="Arial"/>
        <family val="2"/>
      </rPr>
      <t>)</t>
    </r>
  </si>
  <si>
    <r>
      <t>Qualifying emission units that emit particulate matter less than ten microns (PM</t>
    </r>
    <r>
      <rPr>
        <vertAlign val="subscript"/>
        <sz val="10"/>
        <color theme="1"/>
        <rFont val="Arial"/>
        <family val="2"/>
      </rPr>
      <t>10</t>
    </r>
    <r>
      <rPr>
        <sz val="10"/>
        <color theme="1"/>
        <rFont val="Arial"/>
        <family val="2"/>
      </rPr>
      <t>)</t>
    </r>
  </si>
  <si>
    <r>
      <t>Qualifying emission units that emit greenhouse gases (CO</t>
    </r>
    <r>
      <rPr>
        <vertAlign val="subscript"/>
        <sz val="10"/>
        <color theme="1"/>
        <rFont val="Arial"/>
        <family val="2"/>
      </rPr>
      <t>2</t>
    </r>
    <r>
      <rPr>
        <sz val="10"/>
        <color theme="1"/>
        <rFont val="Arial"/>
        <family val="2"/>
      </rPr>
      <t>e)</t>
    </r>
  </si>
  <si>
    <t>For each row in the following table, indicate whether or not your facility has emission units that qualify under the identified rule citation. Choose "Yes" from the drop down box if your facility has this type of emission unit. Choose "No" from the drop down box if your facility does not have this type of emission unit. Click on the rule citation link for the full description of the activity.</t>
  </si>
  <si>
    <t>Some of the insignificant activities require additional information to estimate potential emissions. In the following tables, provide the additional information for each rule citation if you marked "Yes" in the previous table. Provide the required information in the format (i.e., the number "1,2,3,...") or units (i.e., Btu per hour) specified.</t>
  </si>
  <si>
    <t>Enter additional information in the following table when your source has emission units qualifying as insignificant activities in Minn. R. 7007.1300, subp. 3(B)(2).This insignificant activity is for indirect heating equipment with a heat input capacity less than 420,000 Btu per hour, but only if the combined total heat input capacity of all indirect heating equipment at the facility is less than or equal to 1,400,000 Btu per hour. In the table below, enter the combined total heat input capacity of all indirect heating equipment in Btu per hour (must be less than or equal to 1,400,000 Btu per hour):</t>
  </si>
  <si>
    <t>Based on the information entered in the previous tables, the table below provides an estimate of the potential emissions from each insignificant activity at the facility.</t>
  </si>
  <si>
    <t>The table below sums the potential emissions from each insignificant activity at the facility and the applicable permitting emission thresholds. If the potential emissions estimated in this spreadsheet are less than the permitting thresholds, then your facility does not require a permit and the business qualifies as an insignificant facility. Save the spreadsheet or print this worksheet and keep it in your files. If you change or add any air emission sources, update the spreadsheet to confirm whether your facility still qualifies as an insignificant facility.</t>
  </si>
  <si>
    <t>What does this spreadsheet do?</t>
  </si>
  <si>
    <t>Do I have to use this spreadsheet?</t>
  </si>
  <si>
    <t xml:space="preserve">No. If you prefer, you can calculate the potential emissions (PTE) of each air emission source at your facility to confirm that it is under the limits that define an insignificant facility.
</t>
  </si>
  <si>
    <t>Who can use this spreadsheet?</t>
  </si>
  <si>
    <t>How do I use this spreadsheet?</t>
  </si>
  <si>
    <t>What are the grey tabs for?</t>
  </si>
  <si>
    <t xml:space="preserve">Worksheets marked with grey tabs are for reference only. Inputs are not allowed on the grey tabbed worksheets. </t>
  </si>
  <si>
    <t>This tab provides a general overview and instructions on spreadsheet use.</t>
  </si>
  <si>
    <t>Subpart 3(A)</t>
  </si>
  <si>
    <t>Subpart 3(B)</t>
  </si>
  <si>
    <t>Subpart 3(E)</t>
  </si>
  <si>
    <t>Subpart 3(G)</t>
  </si>
  <si>
    <t>No inputs allowed on this page. This worksheet provides a reference to the emission factors used to determine the potential emissions from the insignificant activities described in Minn. R. 7007.1300, subp. 3(A).</t>
  </si>
  <si>
    <t>No inputs allowed on this page. This worksheet provides a reference to the emission factors used to determine the potential emissions from the insignificant activities described in Minn. R. 7007.1300, subp. 3(B).</t>
  </si>
  <si>
    <t>No inputs allowed on this page. This worksheet provides a reference to the emission rates allowed for an emission unit that qualifies as a conditionally insignificant activity under Minn. R. 7008.4100.</t>
  </si>
  <si>
    <t>No inputs allowed on this page. This worksheet provides a reference to the emission rates allowed for an emission unit that qualifies as a conditionally insignificant activity under Minn. R. 7008.4110.</t>
  </si>
  <si>
    <t>Subpart 3(C)</t>
  </si>
  <si>
    <t>No inputs allowed on this page. This worksheet provides a reference to the emission factors and assumptions used to determine the potential emissions from the insignificant activities described in Minn. R. 7007.1300, subp. 3(C).</t>
  </si>
  <si>
    <t>C(1)</t>
  </si>
  <si>
    <t>C(2)</t>
  </si>
  <si>
    <t>Subpart 3(D)</t>
  </si>
  <si>
    <t>No inputs allowed on this page. This worksheet provides a reference to the assumptions used to determine the potential emissions from the insignificant activities described in Minn. R. 7007.1300, subp. 3(D).</t>
  </si>
  <si>
    <t>Subpart 3(F)</t>
  </si>
  <si>
    <t>No inputs allowed on this page. This worksheet provides a reference to the emission rates allowed for an emission unit that qualifies as an insignificant activity under Minn. R. 7007.1300, subp. 3(F). There are no emission factors included in this worksheet. To estimate emissions from these activities, the user must know what pollutants the individual emission units emit and that the individual emission units have potential emissions less than the rates specified in Minn. R. 7007.1300, subp. 3(F).</t>
  </si>
  <si>
    <t>No inputs allowed on this page. This worksheet provides a reference to the emission factors used to determine the potential emissions from the insignificant activities described in Minn. R. 7007.1300, subp. 3(G).</t>
  </si>
  <si>
    <t>Enter additional information in the following table when your facility has emission units qualifying as insignificant activities in Minn. R. 7007.1300, subp. 3(F).This insignificant activity is for individual emission units at a facility, each of which have a potential to emit the following pollutants in amounts less than:</t>
  </si>
  <si>
    <t>In the table below, enter the total number of emission units that qualify as an insignificant activity under Minn. R. 7007.1300, subp. 3(F). In the table below, also enter the number of emission units that emit each identified pollutant. For example, if the facility has 30 total emission units that qualify but only 25 of those 30 emission units emit carbon monoxide, enter "30" for the total number of qualifying emission units and "25" for the number of units that emit carbon monoxide. Repeat this action for each pollutant.</t>
  </si>
  <si>
    <t>7007.1300, subp. 3(F)</t>
  </si>
  <si>
    <t>No inputs allowed on this page. This worksheet provides a reference to the emission factors and assumptions used to determine the potential emissions from the insignificant activities described in Minn. R. 7007.1300, subp. 3(E).</t>
  </si>
  <si>
    <t>For each rule citation that you marked "Yes", provide a brief description of the activity taking place at your facility. Provide enough detail in the description so it is clear how the emission unit(s) at your source meet the definition of the insignificant activity. For example, insignificant activity subpart 3(C)(1) corresponds to gasoline storage tanks with a combined total tankage capacity of not more than 10,000 gallons. If you have gasoline storage tanks that meet this definition, list the total capacity of your tanks to show that it is under 10,000 gallons.</t>
  </si>
  <si>
    <r>
      <t xml:space="preserve">Combined total heat input capacity
(must be </t>
    </r>
    <r>
      <rPr>
        <sz val="10"/>
        <color theme="1"/>
        <rFont val="Calibri"/>
        <family val="2"/>
      </rPr>
      <t>≤</t>
    </r>
    <r>
      <rPr>
        <sz val="10"/>
        <color theme="1"/>
        <rFont val="Arial"/>
        <family val="2"/>
      </rPr>
      <t xml:space="preserve"> 1,400,000 Btu per hour)</t>
    </r>
  </si>
  <si>
    <r>
      <t xml:space="preserve">Combined total heat input capacity
(must be </t>
    </r>
    <r>
      <rPr>
        <sz val="10"/>
        <color theme="1"/>
        <rFont val="Calibri"/>
        <family val="2"/>
      </rPr>
      <t>≤</t>
    </r>
    <r>
      <rPr>
        <sz val="10"/>
        <color theme="1"/>
        <rFont val="Arial"/>
        <family val="2"/>
      </rPr>
      <t xml:space="preserve"> 420,000 Btu per hour)</t>
    </r>
  </si>
  <si>
    <t>Enter values into all boxes that are blue</t>
  </si>
  <si>
    <t>Date:</t>
  </si>
  <si>
    <r>
      <t xml:space="preserve">7007.1300, subp. 3(E)
</t>
    </r>
    <r>
      <rPr>
        <sz val="10"/>
        <rFont val="Arial"/>
        <family val="2"/>
      </rPr>
      <t>(Brazing, soldering, welding, torch cutting)</t>
    </r>
  </si>
  <si>
    <r>
      <t xml:space="preserve">7007.1300, subp. 3(A)
</t>
    </r>
    <r>
      <rPr>
        <sz val="10"/>
        <rFont val="Arial"/>
        <family val="2"/>
      </rPr>
      <t>(Space heaters)</t>
    </r>
  </si>
  <si>
    <r>
      <t xml:space="preserve">7007.1300, subp. 3(C)(1)
</t>
    </r>
    <r>
      <rPr>
        <sz val="10"/>
        <rFont val="Arial"/>
        <family val="2"/>
      </rPr>
      <t>(Gasoline storage tanks)</t>
    </r>
  </si>
  <si>
    <r>
      <t xml:space="preserve">7007.1300, subp. 3(C)(2)
</t>
    </r>
    <r>
      <rPr>
        <sz val="10"/>
        <rFont val="Arial"/>
        <family val="2"/>
      </rPr>
      <t>(VOC storage tanks)</t>
    </r>
  </si>
  <si>
    <r>
      <t xml:space="preserve">7007.1300, subp. 3(D)
</t>
    </r>
    <r>
      <rPr>
        <sz val="10"/>
        <rFont val="Arial"/>
        <family val="2"/>
      </rPr>
      <t>(Laboratory emissions)</t>
    </r>
  </si>
  <si>
    <r>
      <t xml:space="preserve">7007.1300, subp. 3(F)
</t>
    </r>
    <r>
      <rPr>
        <sz val="10"/>
        <rFont val="Arial"/>
        <family val="2"/>
      </rPr>
      <t>(Individual miscellaneous equipment)</t>
    </r>
  </si>
  <si>
    <r>
      <t xml:space="preserve">7007.1300, subp. 3(G)
</t>
    </r>
    <r>
      <rPr>
        <sz val="10"/>
        <rFont val="Arial"/>
        <family val="2"/>
      </rPr>
      <t>(Unpaved entrance roads and parking lots)</t>
    </r>
  </si>
  <si>
    <t>Space heaters</t>
  </si>
  <si>
    <t>Boilers and furnaces</t>
  </si>
  <si>
    <t>Gasoline storage tanks</t>
  </si>
  <si>
    <t>VOC storage tanks</t>
  </si>
  <si>
    <t>Laboratory emissions</t>
  </si>
  <si>
    <t>Brazing, soldering, welding, torch cutting</t>
  </si>
  <si>
    <t>Individual misc. equipment</t>
  </si>
  <si>
    <t>Unpaved entrance roads and parking lots</t>
  </si>
  <si>
    <t>Mechanical finishing</t>
  </si>
  <si>
    <t>Paint and solvent use</t>
  </si>
  <si>
    <r>
      <t xml:space="preserve">7007.1300, subp. 3(B)(2)
</t>
    </r>
    <r>
      <rPr>
        <sz val="10"/>
        <rFont val="Arial"/>
        <family val="2"/>
      </rPr>
      <t>(Indirect heating equipment: 
boilers and furnaces)</t>
    </r>
  </si>
  <si>
    <r>
      <t xml:space="preserve">7008.4100
</t>
    </r>
    <r>
      <rPr>
        <sz val="10"/>
        <rFont val="Arial"/>
        <family val="2"/>
      </rPr>
      <t>(Material use: paint and solvent)</t>
    </r>
  </si>
  <si>
    <t xml:space="preserve">For help call: </t>
  </si>
  <si>
    <t>https://www.pca.state.mn.us/smallbizhelp</t>
  </si>
  <si>
    <t xml:space="preserve">Use this spreadsheet to determine if your facility qualifies as an insignificant facility under Minn. R. 7008.2600. Insignificant facilities do not need a permit but must follow the requirements of the Insignificant Facility Technical Standards found in Minn. R. 7008.2600. This spreadsheet estimates emissions to make the determination quicker and simpler for small facilities.
</t>
  </si>
  <si>
    <t>Tab descriptions</t>
  </si>
  <si>
    <t>Required inputs:</t>
  </si>
  <si>
    <t>All other cells:</t>
  </si>
  <si>
    <t>Facility information</t>
  </si>
  <si>
    <t>Facility name:</t>
  </si>
  <si>
    <t>Facility address:</t>
  </si>
  <si>
    <t>Step 1: Eligibility information</t>
  </si>
  <si>
    <t>Description of activities at the facility</t>
  </si>
  <si>
    <t>Step 2: Eligibility calculations (Additional information)</t>
  </si>
  <si>
    <t>Minn. R. 7007.1300, subp. 3(A) - Space heaters</t>
  </si>
  <si>
    <t>Enter additional information in the following table when your source has emission units qualifying as insignificant activities in Minn. R. 7007.1300, subp. 3(A). This insignificant activity is for space heaters fueled by kerosene, natural gas, or propane when the combined total heat input capacity of all space heaters at the facility is less than or equal to 420,000 British thermal units (Btu) per hour. In the table below, enter the combined total heat input capacity of all space heaters in Btu per hour (must be less than or equal to 420,000 Btu per hour).</t>
  </si>
  <si>
    <t>Additional information*</t>
  </si>
  <si>
    <r>
      <t xml:space="preserve">Potential emissions from each activity at the facility
</t>
    </r>
    <r>
      <rPr>
        <sz val="10"/>
        <color theme="1"/>
        <rFont val="Arial"/>
        <family val="2"/>
      </rPr>
      <t>(tons per year)</t>
    </r>
  </si>
  <si>
    <t>Potential emissions summary</t>
  </si>
  <si>
    <t>If the potential emissions estimated through this spreadsheet are greater than or equal to the permitting thresholds, then the facility may need to obtain a permit. Because this spreadsheet provides a conservative estimate of air emissions, the facility can perform more refined potential to emit calculations than those performed by this spreadsheet. More refined calculations may show that the potential emissions are below the permitting thresholds. For example, this spreadsheet assumes the maximum potential to emit from insignificant activities under Minn. R. 7007.1300, subp. 3(F). If the emission unit was identified as emitting particulate matter (PM), the spreadsheet uses the full 2,000 lbs allowed by the rule; if the emission unit was identified as emitting hazardous air pollutant (HAP), the spreadsheet uses 2,000 lbs, since the HAP can be either PM or VOC.</t>
  </si>
  <si>
    <r>
      <t xml:space="preserve">Emission totals
</t>
    </r>
    <r>
      <rPr>
        <sz val="10"/>
        <color theme="1"/>
        <rFont val="Arial"/>
        <family val="2"/>
      </rPr>
      <t>(tons per year)</t>
    </r>
  </si>
  <si>
    <r>
      <t xml:space="preserve">Permit thresholds
</t>
    </r>
    <r>
      <rPr>
        <sz val="10"/>
        <color theme="1"/>
        <rFont val="Arial"/>
        <family val="2"/>
      </rPr>
      <t>(tons per year)</t>
    </r>
  </si>
  <si>
    <t>Minn. R. 7007.1300, subp. 3(B)(2) - Indirect heating equipment</t>
  </si>
  <si>
    <t>Minn. R. 7007.1300, subp. 3(F) - Individual emission units with low potential emissions</t>
  </si>
  <si>
    <t>• 2,000 pounds per year each of nitrogen oxide, sulfur dioxide, particulate matter, particulate matter less than ten
  microns, volatile organic compounds (VOCs) (including hazardous air pollutant-containing VOCs), and ozone; and</t>
  </si>
  <si>
    <t>Step 3: Eligibility summary</t>
  </si>
  <si>
    <t>Fuel characteristics</t>
  </si>
  <si>
    <t>Emission factors (AP 42 Section 1.3 and 1.5)</t>
  </si>
  <si>
    <t>Potential emissions</t>
  </si>
  <si>
    <t>Fuel type</t>
  </si>
  <si>
    <t>Natural gas</t>
  </si>
  <si>
    <t>Fuel oil</t>
  </si>
  <si>
    <t>Worst case</t>
  </si>
  <si>
    <t>HAP emissions</t>
  </si>
  <si>
    <t>Emission factors (No propane HAP emission factors available)</t>
  </si>
  <si>
    <t>Emission factors</t>
  </si>
  <si>
    <r>
      <t>EF = k(s/12)</t>
    </r>
    <r>
      <rPr>
        <b/>
        <vertAlign val="superscript"/>
        <sz val="10"/>
        <rFont val="Arial"/>
        <family val="2"/>
      </rPr>
      <t xml:space="preserve">a </t>
    </r>
    <r>
      <rPr>
        <b/>
        <sz val="10"/>
        <rFont val="Arial"/>
        <family val="2"/>
      </rPr>
      <t>(W/3)</t>
    </r>
    <r>
      <rPr>
        <b/>
        <vertAlign val="superscript"/>
        <sz val="10"/>
        <rFont val="Arial"/>
        <family val="2"/>
      </rPr>
      <t>b</t>
    </r>
  </si>
  <si>
    <r>
      <t xml:space="preserve">Material usage limits. </t>
    </r>
    <r>
      <rPr>
        <sz val="10"/>
        <color rgb="FF333333"/>
        <rFont val="Arial"/>
        <family val="2"/>
      </rPr>
      <t>The owner or operator must limit emissions from all material usage as provided in items A and B at the stationary source to qualify as a conditionally insignificant activity under this part.</t>
    </r>
  </si>
  <si>
    <r>
      <t xml:space="preserve">Requirements. </t>
    </r>
    <r>
      <rPr>
        <sz val="10"/>
        <color rgb="FF333333"/>
        <rFont val="Arial"/>
        <family val="2"/>
      </rPr>
      <t>The owner or operator of a stationary source claiming mechanical finishing operations as a conditionally insignificant activity must comply with the requirements in items A and B.</t>
    </r>
  </si>
  <si>
    <r>
      <t xml:space="preserve">A. </t>
    </r>
    <r>
      <rPr>
        <sz val="10"/>
        <color rgb="FF333333"/>
        <rFont val="Arial"/>
        <family val="2"/>
      </rPr>
      <t>Install, operate, and maintain control equipment designed to control emissions of particulate matter on the mechanical finishing operations.</t>
    </r>
  </si>
  <si>
    <t xml:space="preserve">This spreadsheet can be used by any facility where all sources of air emissions are listed as insignificant activities in Minn. R. 7007.1300, subp. 2 and 3; are conditionally insignificant activities in Minn. R. ch. 7008; or a combination of both. If your facility has any other sources of air emissions that do not meet this description, your facility does not qualify as an insignificant facility and you cannot use this spreadsheet. </t>
  </si>
  <si>
    <r>
      <t xml:space="preserve">A. </t>
    </r>
    <r>
      <rPr>
        <sz val="10"/>
        <color rgb="FF333333"/>
        <rFont val="Arial"/>
        <family val="2"/>
      </rPr>
      <t>VOCs. The owner or operator must limit VOC emissions to less than 10,000 pounds, or VOC-containing material usage to less than 1,000 gallons, in each calendar year. Pounds of VOC emissions must be calculated according to the method in subpart 4. All VOC emissions from all material usage activities at the stationary source must be accounted for in the annual calculation. This limit applies regardless of the hazardous air pollutant content of the VOC.</t>
    </r>
  </si>
  <si>
    <r>
      <t xml:space="preserve">B. </t>
    </r>
    <r>
      <rPr>
        <sz val="10"/>
        <color rgb="FF333333"/>
        <rFont val="Arial"/>
        <family val="2"/>
      </rPr>
      <t>Particulate matter. The owner or operator must limit emissions of particulate matter to less than 8,000 pounds in each calendar year calculated according to the method in subpart 5. All particulate matter emissions from all material usage activities at the stationary source must be accounted for in the annual calculation. This limit applies regardless of the hazardous air pollutant content of the particulate matter.</t>
    </r>
  </si>
  <si>
    <r>
      <t xml:space="preserve">B. </t>
    </r>
    <r>
      <rPr>
        <sz val="10"/>
        <color rgb="FF333333"/>
        <rFont val="Arial"/>
        <family val="2"/>
      </rPr>
      <t>Limit emissions from all mechanical finishing operations to less than 10,000 pounds in each calendar year, calculated according to the method in subpart 4. All emissions of particulate matter from all mechanical finishing operations at the stationary source must be accounted for in the annual calculation.</t>
    </r>
  </si>
  <si>
    <t>Check one</t>
  </si>
  <si>
    <t>Enter information for your business in the blue cells.</t>
  </si>
  <si>
    <t>What year are the calculations for?</t>
  </si>
  <si>
    <t>Choose one</t>
  </si>
  <si>
    <t>Step 1</t>
  </si>
  <si>
    <t>Enter total hours the control equipment was operated last year</t>
  </si>
  <si>
    <t>hours</t>
  </si>
  <si>
    <t>Enter the design concentration of PM from your control equipment</t>
  </si>
  <si>
    <t>grain/cubic foot</t>
  </si>
  <si>
    <t>This information is often listed on the control equipment nameplate, or enter 0.07 if you have cyclones or 0.03 if you have fabric filters.</t>
  </si>
  <si>
    <t xml:space="preserve">Designed airflow rate from the control equipment </t>
  </si>
  <si>
    <t>CFM</t>
  </si>
  <si>
    <t>This information is often listed on the equipment nameplate.</t>
  </si>
  <si>
    <t>Conversion factor</t>
  </si>
  <si>
    <t>lb./grain * min/hour</t>
  </si>
  <si>
    <t>1 lb. = 7000 grains; 60 minutes = 1 hour</t>
  </si>
  <si>
    <t>pounds of PM emissions from control equipment for the year</t>
  </si>
  <si>
    <t>Step 2</t>
  </si>
  <si>
    <t>Choose control equipment type</t>
  </si>
  <si>
    <t>Ratio of uncaptured to captured emissions from the control equipment</t>
  </si>
  <si>
    <t>pounds of uncaptured emissions from control equipment for the year</t>
  </si>
  <si>
    <t>Result</t>
  </si>
  <si>
    <t>total pounds of particulate matter for the year</t>
  </si>
  <si>
    <t>Facility type</t>
  </si>
  <si>
    <t>Data Validation</t>
  </si>
  <si>
    <t>Woodworking facility</t>
  </si>
  <si>
    <t>Mechanical finishing operations</t>
  </si>
  <si>
    <t>Control equipment type</t>
  </si>
  <si>
    <t>total enclosure vented to any type of control equipment</t>
  </si>
  <si>
    <t>certified hood vented to a fabric filter</t>
  </si>
  <si>
    <t>certified hood vented to a cyclone or other type of control equipment</t>
  </si>
  <si>
    <t>uncertified hood vented to a fabric filter</t>
  </si>
  <si>
    <t>uncertified hood vented to a cyclone or other type of control equipment</t>
  </si>
  <si>
    <t>Control equipment selection</t>
  </si>
  <si>
    <r>
      <t xml:space="preserve">7008.4110
</t>
    </r>
    <r>
      <rPr>
        <sz val="10"/>
        <rFont val="Arial"/>
        <family val="2"/>
      </rPr>
      <t xml:space="preserve">(Mechanical finishing)
</t>
    </r>
    <r>
      <rPr>
        <b/>
        <sz val="10"/>
        <color rgb="FF008EAA"/>
        <rFont val="Arial"/>
        <family val="2"/>
      </rPr>
      <t>Go to the blue "Mechanical finishing" tab for help</t>
    </r>
  </si>
  <si>
    <t>Calculate whether your mechanical finishing operations are conditionally insignificant per Minn. R. 7008.4110</t>
  </si>
  <si>
    <t>Enter information in the blue cells. This worksheet provides a reference to the emission calculations that can be performed to help identify emission units that qualify as a conditionally insignificant activity under Minn. R. 7008.4110.</t>
  </si>
  <si>
    <t>This worksheet is where the user will enter data to estimate potential emissions and see the emission results displayed for the facility. Other worksheets are marked with grey tabs and are included for reference. The user must enter values into all boxes that are yellow (for each activity that is considered) in this worksheet. All other boxes are locked and cannot be modified. Instructions for entering information in this spreadsheet are included before each question.</t>
  </si>
  <si>
    <r>
      <t>• 1,000 tons per year of CO</t>
    </r>
    <r>
      <rPr>
        <vertAlign val="subscript"/>
        <sz val="10"/>
        <color theme="1"/>
        <rFont val="Arial"/>
        <family val="2"/>
      </rPr>
      <t>2</t>
    </r>
    <r>
      <rPr>
        <sz val="10"/>
        <color theme="1"/>
        <rFont val="Arial"/>
        <family val="2"/>
      </rPr>
      <t>e</t>
    </r>
  </si>
  <si>
    <t>List of activities</t>
  </si>
  <si>
    <t>Number of gallons used annually</t>
  </si>
  <si>
    <t>Brief description of mechanical finishing activities; complete Mechanical finishing tab</t>
  </si>
  <si>
    <t>Example of descriptions</t>
  </si>
  <si>
    <t>Conditionally insignificant activity: Material usage</t>
  </si>
  <si>
    <t>Conditionally insignificant activity: Mechanical finishing operations</t>
  </si>
  <si>
    <t>If the result is 10,000 pounds or less, select "Yes" on the 'Emissions estimate &amp; results' tab.</t>
  </si>
  <si>
    <t>If the result is greater than 10,000 pounds, then the activities are not conditionally insignificant. If the mechanical finishing activities do not fall under any of the other insignificant activity categories, then the facility does not qualify as an Insignificant Facility.</t>
  </si>
  <si>
    <t>Insignificant facility PTE</t>
  </si>
  <si>
    <t>Facility Potential Emissions Estimate (PTE) tool</t>
  </si>
  <si>
    <t xml:space="preserve">Enter data about your facility in the 'Emission Estimate and Results' worksheet to estimate potential emissions. It is the blue tab. </t>
  </si>
  <si>
    <t>Instructions (Read me)</t>
  </si>
  <si>
    <t>Identify number of space heaters 
and Btu/hr ratings</t>
  </si>
  <si>
    <t>Identify number of process heaters 
and Btu/hr ratings</t>
  </si>
  <si>
    <t>Capacity and throughput of tank 
(in gallons)</t>
  </si>
  <si>
    <t>Brief description of laboratory 
'bench-scale' activities</t>
  </si>
  <si>
    <t>Type of road (i.e. gravel, dirt) 
and length</t>
  </si>
  <si>
    <t>Emissions estimate &amp; results for an insignificant facility</t>
  </si>
  <si>
    <r>
      <t xml:space="preserve">Rule citation
</t>
    </r>
    <r>
      <rPr>
        <sz val="10"/>
        <color theme="1"/>
        <rFont val="Arial"/>
        <family val="2"/>
      </rPr>
      <t>(Rule activity description)</t>
    </r>
  </si>
  <si>
    <r>
      <rPr>
        <b/>
        <sz val="11"/>
        <rFont val="Arial"/>
        <family val="2"/>
      </rPr>
      <t>Brazing, soldering, or welding equipment (</t>
    </r>
    <r>
      <rPr>
        <b/>
        <u/>
        <sz val="11"/>
        <color theme="10"/>
        <rFont val="Arial"/>
        <family val="2"/>
      </rPr>
      <t>Minn. R. 7007.1300, subp. 3(E)</t>
    </r>
    <r>
      <rPr>
        <b/>
        <sz val="11"/>
        <rFont val="Arial"/>
        <family val="2"/>
      </rPr>
      <t>)</t>
    </r>
  </si>
  <si>
    <r>
      <rPr>
        <b/>
        <sz val="11"/>
        <rFont val="Arial"/>
        <family val="2"/>
      </rPr>
      <t>Gasoline storage tanks (</t>
    </r>
    <r>
      <rPr>
        <b/>
        <u/>
        <sz val="11"/>
        <color theme="10"/>
        <rFont val="Arial"/>
        <family val="2"/>
      </rPr>
      <t>Minn. R. 7007.1300, subp. 3(C)</t>
    </r>
    <r>
      <rPr>
        <b/>
        <sz val="11"/>
        <rFont val="Arial"/>
        <family val="2"/>
      </rPr>
      <t>)</t>
    </r>
  </si>
  <si>
    <r>
      <rPr>
        <b/>
        <sz val="11"/>
        <rFont val="Arial"/>
        <family val="2"/>
      </rPr>
      <t>Heat input capacity (</t>
    </r>
    <r>
      <rPr>
        <b/>
        <u/>
        <sz val="11"/>
        <color theme="10"/>
        <rFont val="Arial"/>
        <family val="2"/>
      </rPr>
      <t>Minn. R. 7007.1300, subp. 3(A)</t>
    </r>
    <r>
      <rPr>
        <b/>
        <sz val="11"/>
        <rFont val="Arial"/>
        <family val="2"/>
      </rPr>
      <t>)</t>
    </r>
  </si>
  <si>
    <r>
      <rPr>
        <b/>
        <sz val="11"/>
        <rFont val="Arial"/>
        <family val="2"/>
      </rPr>
      <t>Heat input capacity (</t>
    </r>
    <r>
      <rPr>
        <b/>
        <u/>
        <sz val="11"/>
        <color theme="10"/>
        <rFont val="Arial"/>
        <family val="2"/>
      </rPr>
      <t>Minn. R. 7007.1300, subp. 3(B)</t>
    </r>
    <r>
      <rPr>
        <b/>
        <sz val="11"/>
        <rFont val="Arial"/>
        <family val="2"/>
      </rPr>
      <t>)</t>
    </r>
  </si>
  <si>
    <r>
      <rPr>
        <b/>
        <sz val="11"/>
        <rFont val="Arial"/>
        <family val="2"/>
      </rPr>
      <t>Individual miscellaneous emissions (</t>
    </r>
    <r>
      <rPr>
        <b/>
        <u/>
        <sz val="11"/>
        <color theme="10"/>
        <rFont val="Arial"/>
        <family val="2"/>
      </rPr>
      <t>Minn. R. 7007.1300, subp. 3(F)</t>
    </r>
    <r>
      <rPr>
        <b/>
        <sz val="11"/>
        <rFont val="Arial"/>
        <family val="2"/>
      </rPr>
      <t>)</t>
    </r>
  </si>
  <si>
    <r>
      <rPr>
        <b/>
        <sz val="11"/>
        <rFont val="Arial"/>
        <family val="2"/>
      </rPr>
      <t>Unpaved enterence roads and parking lots (</t>
    </r>
    <r>
      <rPr>
        <b/>
        <u/>
        <sz val="11"/>
        <color theme="10"/>
        <rFont val="Arial"/>
        <family val="2"/>
      </rPr>
      <t>Minn. R. 7007.1300, subp. 3(G)</t>
    </r>
    <r>
      <rPr>
        <b/>
        <sz val="11"/>
        <rFont val="Arial"/>
        <family val="2"/>
      </rPr>
      <t>)</t>
    </r>
  </si>
  <si>
    <r>
      <rPr>
        <b/>
        <sz val="11"/>
        <rFont val="Arial"/>
        <family val="2"/>
      </rPr>
      <t>Mechanical finishing (</t>
    </r>
    <r>
      <rPr>
        <b/>
        <u/>
        <sz val="11"/>
        <color theme="10"/>
        <rFont val="Arial"/>
        <family val="2"/>
      </rPr>
      <t>Minn. R. 7008.4110</t>
    </r>
    <r>
      <rPr>
        <b/>
        <sz val="11"/>
        <rFont val="Arial"/>
        <family val="2"/>
      </rPr>
      <t>)</t>
    </r>
  </si>
  <si>
    <r>
      <rPr>
        <b/>
        <sz val="11"/>
        <rFont val="Arial"/>
        <family val="2"/>
      </rPr>
      <t>Material use: paint and solvent (</t>
    </r>
    <r>
      <rPr>
        <b/>
        <u/>
        <sz val="11"/>
        <color theme="10"/>
        <rFont val="Arial"/>
        <family val="2"/>
      </rPr>
      <t>Minn. R. 7008.4100</t>
    </r>
    <r>
      <rPr>
        <b/>
        <sz val="11"/>
        <rFont val="Arial"/>
        <family val="2"/>
      </rPr>
      <t>)</t>
    </r>
  </si>
  <si>
    <r>
      <t>• 1,000 tons per year of carbon dioxide equivalent (CO</t>
    </r>
    <r>
      <rPr>
        <vertAlign val="subscript"/>
        <sz val="10"/>
        <color theme="1"/>
        <rFont val="Arial"/>
        <family val="2"/>
      </rPr>
      <t>2</t>
    </r>
    <r>
      <rPr>
        <sz val="10"/>
        <color theme="1"/>
        <rFont val="Arial"/>
        <family val="2"/>
      </rPr>
      <t>e)</t>
    </r>
  </si>
  <si>
    <t>smallbizhelp.pca@state.mn.us</t>
  </si>
  <si>
    <r>
      <rPr>
        <b/>
        <sz val="11"/>
        <rFont val="Arial"/>
        <family val="2"/>
      </rPr>
      <t>Laboratory emissions (</t>
    </r>
    <r>
      <rPr>
        <b/>
        <u/>
        <sz val="11"/>
        <color theme="10"/>
        <rFont val="Arial"/>
        <family val="2"/>
      </rPr>
      <t>Minn. R. 7007.1300, subp. 3(D)</t>
    </r>
    <r>
      <rPr>
        <b/>
        <sz val="11"/>
        <rFont val="Arial"/>
        <family val="2"/>
      </rPr>
      <t>)</t>
    </r>
  </si>
  <si>
    <t>• 2,000 pounds per year each of nitrogen oxide, sulfur dioxide, particulate matter, particulate matter less than ten microns, VOCs (including hazardous air pollutant-containing VOCs), and ozone; and</t>
  </si>
  <si>
    <t xml:space="preserve">If the total volume (10000 gallons) was turned over daily (which seems conservative), annual VOC emissions would be expected to be not more than a fraction of a ton. </t>
  </si>
  <si>
    <t>* If the combined total heat input capacity of all indirect heating equipment exceeds 1,400,000 Btu per hour, then the indirect heating equipment at the facility cannot qualify as an insignificant activity under Minn. R. 7007.1300, subp. 3(B)(2). The individual indirect heating equipment may still be able to qualify as an insignificant activity under Minn. R. 7007.1300, subp. 3(F), but emission calculations for each indirect heating equipment must be performed to show that the individual unit qualifies under that citation.</t>
  </si>
  <si>
    <t>Updates</t>
  </si>
  <si>
    <t>Add "Mechanical finishing" tab</t>
  </si>
  <si>
    <t>Add examples of descriptions on "Emissions estimate &amp; results" tab</t>
  </si>
  <si>
    <t>Correct reference on "Emissions estimate &amp; results" tab</t>
  </si>
  <si>
    <r>
      <t>* If the combined total heat input capacity of all indirect heating equipment exceeds 1,400,000 Btu per hour, then the indirect heating equipment at the facility cannot qualify as an insignificant activity under Minn. R. 7007.1300, subp. 3(B)(2). The individual indirect heating equipment may still be able to qualify as an insignificant activity under Minn. R. 7007.1300, subp. 3</t>
    </r>
    <r>
      <rPr>
        <b/>
        <sz val="10"/>
        <color rgb="FFFF0000"/>
        <rFont val="Calibri"/>
        <family val="2"/>
        <scheme val="minor"/>
      </rPr>
      <t>(F)</t>
    </r>
    <r>
      <rPr>
        <sz val="10"/>
        <color theme="1"/>
        <rFont val="Calibri"/>
        <family val="2"/>
        <scheme val="minor"/>
      </rPr>
      <t>, but emission calculations for each indirect heating equipment must be performed to show that the individual unit qualifies under that citation.</t>
    </r>
  </si>
  <si>
    <t>Prior reference was to subp. 3(I), which no longer exists.</t>
  </si>
  <si>
    <t>* If the combined total heat input capacity of all space heaters exceeds 420,000 Btu per hour, then the space heaters at the facility cannot qualify as an insignificant activity under Minn. R. 7007.1300, subp. 3(A). The individual space heaters may still be able to qualify as an insignificant activity under Minn. R. 7007.1300, subp. 3(F), but emission calculations for each space heater must be performed to show that the individual space heater qualifies under that citation.</t>
  </si>
  <si>
    <r>
      <t>▪  If lead is a component of any mechanical finishing operation, including the composition of the metal being finished, this</t>
    </r>
    <r>
      <rPr>
        <b/>
        <sz val="10"/>
        <color theme="1"/>
        <rFont val="Arial"/>
        <family val="2"/>
      </rPr>
      <t xml:space="preserve"> rule does not apply</t>
    </r>
    <r>
      <rPr>
        <sz val="10"/>
        <color theme="1"/>
        <rFont val="Arial"/>
        <family val="2"/>
      </rPr>
      <t xml:space="preserve">. 
   Check the safety data sheet of the metal being finished. </t>
    </r>
  </si>
  <si>
    <t>In order to qualify, you must:</t>
  </si>
  <si>
    <t xml:space="preserve">A. install, operate, and maintain control equipment designed to control emissions of particulate matter on the mechanical finishing operations; and
</t>
  </si>
  <si>
    <t>B. limit emissions of particulate matter from all mechanical finishing operations to less than 10,000 pounds in each calendar year, calculated according to the method below. All emissions of particulate matter from all mechanical finishing operations at the stationary source must be accounted for in the annual calculation.</t>
  </si>
  <si>
    <t>C. comply with the monitoring and record keeping requirements (see below)</t>
  </si>
  <si>
    <t>Minn. R. 7008.4110</t>
  </si>
  <si>
    <r>
      <t xml:space="preserve">Mechanical finishing conditionally insignificant activity
</t>
    </r>
    <r>
      <rPr>
        <sz val="16"/>
        <rFont val="Calibri"/>
        <family val="2"/>
        <scheme val="minor"/>
      </rPr>
      <t>particulate matter air emissions calculator</t>
    </r>
  </si>
  <si>
    <r>
      <t xml:space="preserve">A </t>
    </r>
    <r>
      <rPr>
        <b/>
        <sz val="10"/>
        <color theme="1"/>
        <rFont val="Arial"/>
        <family val="2"/>
      </rPr>
      <t>total enclosure</t>
    </r>
    <r>
      <rPr>
        <sz val="10"/>
        <color theme="1"/>
        <rFont val="Arial"/>
        <family val="2"/>
      </rPr>
      <t xml:space="preserve"> means an enclosure that completely surrounds emissions from an emissions unit such that all emissions are captured and discharged through ductwork to control equipment.</t>
    </r>
  </si>
  <si>
    <r>
      <t xml:space="preserve">A </t>
    </r>
    <r>
      <rPr>
        <b/>
        <sz val="10"/>
        <color theme="1"/>
        <rFont val="Arial"/>
        <family val="2"/>
      </rPr>
      <t>hood</t>
    </r>
    <r>
      <rPr>
        <sz val="10"/>
        <color theme="1"/>
        <rFont val="Arial"/>
        <family val="2"/>
      </rPr>
      <t xml:space="preserve"> means a shaped inlet to a pollution control system that does not totally surround emissions from an emissions unit, that is designed, used, and maintained to capture and discharge the air emissions through ductwork to control equipment, and that conforms to the design and operating practices recommended in "Industrial Ventilation - A Manual of Recommended Practice, American Conference of Governmental Industrial Hygienists." This document is subject to frequent change. A spray booth can be a hood if it meets the definition in this subpart.</t>
    </r>
  </si>
  <si>
    <t>Monitoring and record keeping</t>
  </si>
  <si>
    <t>Control equipment:</t>
  </si>
  <si>
    <t xml:space="preserve">▪ </t>
  </si>
  <si>
    <t>Operate and maintain, as required by the manufacturer's specification. Proper operation and maintenance includes effective performance, adequate funding, adequate operator staffing and training, and adequate laboratory and process controls, including appropriate quality assurance procedures.</t>
  </si>
  <si>
    <t>Inspect once each calendar quarter or more frequently according to the manufacturer's specification</t>
  </si>
  <si>
    <t>Maintain records:</t>
  </si>
  <si>
    <t>of inspection, maintenance, and repair activities and the manufacturer's inspection, maintenance, and repair specifications for the control equipment for at least five years.</t>
  </si>
  <si>
    <r>
      <t xml:space="preserve">for each calendar year of the hours operated and design airflow rate for the control equipment </t>
    </r>
    <r>
      <rPr>
        <u/>
        <sz val="10"/>
        <color rgb="FF000000"/>
        <rFont val="Arial"/>
        <family val="2"/>
      </rPr>
      <t>associated with each mechanical finishing operation</t>
    </r>
  </si>
  <si>
    <t>If not using the default design airflow rate:</t>
  </si>
  <si>
    <t>If the default value for design airflow rate is not used, maintain records for each calendar year of the manufacturer's design concentration for particulate matter from the control equipment associated with each mechanical finishing operation</t>
  </si>
  <si>
    <t>If using a certified hood:</t>
  </si>
  <si>
    <t xml:space="preserve">     ▪  if a permit is required under chapter 7007, include with the permit application the certification required in part 7011.0072, subpart 2</t>
  </si>
  <si>
    <t xml:space="preserve">     ▪  maintain at the stationary source records of the evaluation of each hood</t>
  </si>
  <si>
    <t xml:space="preserve">     ▪  record each month the fan rotation speed, fan power draw, face velocity, or other comparable airflow indicator for each hood</t>
  </si>
  <si>
    <r>
      <t>Choose your control equipment type</t>
    </r>
    <r>
      <rPr>
        <vertAlign val="superscript"/>
        <sz val="10"/>
        <color theme="1"/>
        <rFont val="Arial"/>
        <family val="2"/>
      </rPr>
      <t>1</t>
    </r>
    <r>
      <rPr>
        <sz val="10"/>
        <color theme="1"/>
        <rFont val="Arial"/>
        <family val="2"/>
      </rPr>
      <t xml:space="preserve"> from the drop-down list</t>
    </r>
  </si>
  <si>
    <r>
      <rPr>
        <b/>
        <vertAlign val="superscript"/>
        <sz val="10"/>
        <color theme="1"/>
        <rFont val="Arial"/>
        <family val="2"/>
      </rPr>
      <t>1</t>
    </r>
    <r>
      <rPr>
        <b/>
        <sz val="10"/>
        <color theme="1"/>
        <rFont val="Arial"/>
        <family val="2"/>
      </rPr>
      <t>Control equipment type definitions:</t>
    </r>
  </si>
  <si>
    <r>
      <rPr>
        <sz val="10"/>
        <rFont val="Arial"/>
        <family val="2"/>
      </rPr>
      <t>See the control equipment rule (</t>
    </r>
    <r>
      <rPr>
        <u/>
        <sz val="10"/>
        <color rgb="FF0000E1"/>
        <rFont val="Arial"/>
        <family val="2"/>
      </rPr>
      <t>Minn. R. 7011.0060 to 7011.0080</t>
    </r>
    <r>
      <rPr>
        <sz val="10"/>
        <rFont val="Arial"/>
        <family val="2"/>
      </rPr>
      <t xml:space="preserve">) for definitions and requirements, including monitoring and recordkeeping. </t>
    </r>
  </si>
  <si>
    <r>
      <rPr>
        <sz val="10"/>
        <rFont val="Arial"/>
        <family val="2"/>
      </rPr>
      <t xml:space="preserve">A </t>
    </r>
    <r>
      <rPr>
        <b/>
        <sz val="10"/>
        <rFont val="Arial"/>
        <family val="2"/>
      </rPr>
      <t>certified hood</t>
    </r>
    <r>
      <rPr>
        <sz val="10"/>
        <rFont val="Arial"/>
        <family val="2"/>
      </rPr>
      <t xml:space="preserve"> complies with </t>
    </r>
    <r>
      <rPr>
        <u/>
        <sz val="10"/>
        <color rgb="FF0000E1"/>
        <rFont val="Arial"/>
        <family val="2"/>
      </rPr>
      <t>Minn. R. 7011.0072</t>
    </r>
  </si>
  <si>
    <t>OP</t>
  </si>
  <si>
    <t>EF</t>
  </si>
  <si>
    <t>Qair</t>
  </si>
  <si>
    <t>EC</t>
  </si>
  <si>
    <t>R</t>
  </si>
  <si>
    <t>EU</t>
  </si>
  <si>
    <t>E</t>
  </si>
  <si>
    <t>EC * EU =</t>
  </si>
  <si>
    <t>R * EC =</t>
  </si>
  <si>
    <t>OP * EF * Qair * Conversion factor =</t>
  </si>
  <si>
    <r>
      <rPr>
        <b/>
        <sz val="10"/>
        <color theme="1"/>
        <rFont val="Arial"/>
        <family val="2"/>
      </rPr>
      <t>Mechanical finishing operations</t>
    </r>
    <r>
      <rPr>
        <sz val="10"/>
        <color theme="1"/>
        <rFont val="Arial"/>
        <family val="2"/>
      </rPr>
      <t xml:space="preserve"> means buffing, abrasive blasting, polishing, carving, cutting, drilling, machining, routing, sanding, sawing, surface grinding, or turning equipment. </t>
    </r>
    <r>
      <rPr>
        <b/>
        <sz val="10"/>
        <color theme="1"/>
        <rFont val="Arial"/>
        <family val="2"/>
      </rPr>
      <t>Does not include</t>
    </r>
    <r>
      <rPr>
        <sz val="10"/>
        <color theme="1"/>
        <rFont val="Arial"/>
        <family val="2"/>
      </rPr>
      <t xml:space="preserve"> abrasive blasting for removing lead-containing paint.</t>
    </r>
  </si>
  <si>
    <t xml:space="preserve">If the emissions from mechanical finishing operations are vented to the control equipment through a hood, you may evaluate, on a form provided by the commissioner, whether the hood conforms to the design and operating practices recommended in "Industrial Ventilation - A Manual of Recommended Practice, American Conference of Governmental Industrial Hygienists," in order to use the certified hood values in subpart 4. The manual is incorporated by reference under part 7011.0061.  An owner or operator that performs this evaluation must:
</t>
  </si>
  <si>
    <t>nonhazardous air pollutant VOC storage tanks with a combined total tankage capacity of not more than 10,000 gallons of nonhazardous air pollutant VOCs and with a vapor pressure of not more than 1.0 psia at 60 degrees Fahrenheit</t>
  </si>
  <si>
    <t>p-sbap5-35 • 3/29/21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</si>
</sst>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0.0000"/>
    <numFmt numFmtId="165" formatCode="0.000"/>
    <numFmt numFmtId="166" formatCode="0.0"/>
    <numFmt numFmtId="167" formatCode="0.00000"/>
    <numFmt numFmtId="168" formatCode="00000"/>
  </numFmts>
  <fonts count="45" x14ac:knownFonts="1">
    <font>
      <sz val="11"/>
      <color theme="1"/>
      <name val="Calibri"/>
      <family val="2"/>
      <scheme val="minor"/>
    </font>
    <font>
      <sz val="10"/>
      <name val="Arial"/>
      <family val="2"/>
    </font>
    <font>
      <b/>
      <sz val="10"/>
      <name val="Arial"/>
      <family val="2"/>
    </font>
    <font>
      <i/>
      <sz val="9"/>
      <name val="Arial"/>
      <family val="2"/>
    </font>
    <font>
      <b/>
      <vertAlign val="subscript"/>
      <sz val="10"/>
      <name val="Arial"/>
      <family val="2"/>
    </font>
    <font>
      <sz val="10"/>
      <name val="Arial"/>
      <family val="2"/>
    </font>
    <font>
      <b/>
      <sz val="11"/>
      <color theme="1"/>
      <name val="Calibri"/>
      <family val="2"/>
      <scheme val="minor"/>
    </font>
    <font>
      <b/>
      <sz val="11"/>
      <color theme="1"/>
      <name val="Arial"/>
      <family val="2"/>
    </font>
    <font>
      <sz val="11"/>
      <color theme="1"/>
      <name val="Arial"/>
      <family val="2"/>
    </font>
    <font>
      <b/>
      <sz val="11"/>
      <name val="Arial"/>
      <family val="2"/>
    </font>
    <font>
      <b/>
      <sz val="10"/>
      <color theme="1"/>
      <name val="Arial"/>
      <family val="2"/>
    </font>
    <font>
      <u/>
      <sz val="11"/>
      <color theme="10"/>
      <name val="Calibri"/>
      <family val="2"/>
      <scheme val="minor"/>
    </font>
    <font>
      <u/>
      <sz val="10"/>
      <color theme="10"/>
      <name val="Arial"/>
      <family val="2"/>
    </font>
    <font>
      <sz val="10"/>
      <color theme="1"/>
      <name val="Arial"/>
      <family val="2"/>
    </font>
    <font>
      <b/>
      <vertAlign val="subscript"/>
      <sz val="10"/>
      <color theme="1"/>
      <name val="Arial"/>
      <family val="2"/>
    </font>
    <font>
      <vertAlign val="superscript"/>
      <sz val="10"/>
      <name val="Arial"/>
      <family val="2"/>
    </font>
    <font>
      <vertAlign val="subscript"/>
      <sz val="10"/>
      <color theme="1"/>
      <name val="Arial"/>
      <family val="2"/>
    </font>
    <font>
      <sz val="10"/>
      <color theme="1"/>
      <name val="Calibri"/>
      <family val="2"/>
    </font>
    <font>
      <b/>
      <sz val="14"/>
      <color theme="1"/>
      <name val="Calibri"/>
      <family val="2"/>
      <scheme val="minor"/>
    </font>
    <font>
      <sz val="10"/>
      <color rgb="FF333333"/>
      <name val="Arial"/>
      <family val="2"/>
    </font>
    <font>
      <b/>
      <sz val="10"/>
      <color rgb="FF333333"/>
      <name val="Arial"/>
      <family val="2"/>
    </font>
    <font>
      <b/>
      <vertAlign val="superscript"/>
      <sz val="10"/>
      <name val="Arial"/>
      <family val="2"/>
    </font>
    <font>
      <b/>
      <sz val="10"/>
      <color rgb="FF000000"/>
      <name val="Arial"/>
      <family val="2"/>
    </font>
    <font>
      <sz val="10"/>
      <color rgb="FF000000"/>
      <name val="Arial"/>
      <family val="2"/>
    </font>
    <font>
      <i/>
      <sz val="8"/>
      <color rgb="FF000000"/>
      <name val="Arial"/>
      <family val="2"/>
    </font>
    <font>
      <sz val="10"/>
      <color theme="1"/>
      <name val="Calibri"/>
      <family val="2"/>
      <scheme val="minor"/>
    </font>
    <font>
      <b/>
      <sz val="10"/>
      <color rgb="FF008EAA"/>
      <name val="Arial"/>
      <family val="2"/>
    </font>
    <font>
      <sz val="20"/>
      <name val="Calibri"/>
      <family val="2"/>
      <scheme val="minor"/>
    </font>
    <font>
      <sz val="16"/>
      <name val="Calibri"/>
      <family val="2"/>
      <scheme val="minor"/>
    </font>
    <font>
      <i/>
      <sz val="10"/>
      <name val="Arial"/>
      <family val="2"/>
    </font>
    <font>
      <sz val="9"/>
      <color theme="1"/>
      <name val="Arial"/>
      <family val="2"/>
    </font>
    <font>
      <i/>
      <sz val="9"/>
      <color rgb="FF000000"/>
      <name val="Arial"/>
      <family val="2"/>
    </font>
    <font>
      <i/>
      <sz val="10"/>
      <color theme="1"/>
      <name val="Arial"/>
      <family val="2"/>
    </font>
    <font>
      <b/>
      <sz val="14"/>
      <name val="Calibri"/>
      <family val="2"/>
      <scheme val="minor"/>
    </font>
    <font>
      <sz val="20"/>
      <color rgb="FF000000"/>
      <name val="Calibri"/>
      <family val="2"/>
      <scheme val="minor"/>
    </font>
    <font>
      <sz val="16"/>
      <color rgb="FF000000"/>
      <name val="Calibri"/>
      <family val="2"/>
      <scheme val="minor"/>
    </font>
    <font>
      <i/>
      <sz val="10"/>
      <color rgb="FF000000"/>
      <name val="Arial"/>
      <family val="2"/>
    </font>
    <font>
      <b/>
      <u/>
      <sz val="11"/>
      <color theme="10"/>
      <name val="Arial"/>
      <family val="2"/>
    </font>
    <font>
      <b/>
      <sz val="10"/>
      <color rgb="FFFF0000"/>
      <name val="Calibri"/>
      <family val="2"/>
      <scheme val="minor"/>
    </font>
    <font>
      <sz val="11"/>
      <color theme="1"/>
      <name val="Calibri"/>
      <family val="2"/>
      <scheme val="minor"/>
    </font>
    <font>
      <u/>
      <sz val="10"/>
      <color indexed="12"/>
      <name val="Arial"/>
      <family val="2"/>
    </font>
    <font>
      <vertAlign val="superscript"/>
      <sz val="10"/>
      <color theme="1"/>
      <name val="Arial"/>
      <family val="2"/>
    </font>
    <font>
      <u/>
      <sz val="10"/>
      <color rgb="FF000000"/>
      <name val="Arial"/>
      <family val="2"/>
    </font>
    <font>
      <b/>
      <vertAlign val="superscript"/>
      <sz val="10"/>
      <color theme="1"/>
      <name val="Arial"/>
      <family val="2"/>
    </font>
    <font>
      <u/>
      <sz val="10"/>
      <color rgb="FF0000E1"/>
      <name val="Arial"/>
      <family val="2"/>
    </font>
  </fonts>
  <fills count="7">
    <fill>
      <patternFill patternType="none"/>
    </fill>
    <fill>
      <patternFill patternType="gray125"/>
    </fill>
    <fill>
      <patternFill patternType="solid">
        <fgColor theme="0"/>
        <bgColor indexed="64"/>
      </patternFill>
    </fill>
    <fill>
      <patternFill patternType="solid">
        <fgColor theme="1" tint="0.499984740745262"/>
        <bgColor indexed="64"/>
      </patternFill>
    </fill>
    <fill>
      <patternFill patternType="solid">
        <fgColor rgb="FFD1EAFF"/>
        <bgColor indexed="64"/>
      </patternFill>
    </fill>
    <fill>
      <patternFill patternType="solid">
        <fgColor rgb="FFEAF8D8"/>
        <bgColor indexed="64"/>
      </patternFill>
    </fill>
    <fill>
      <patternFill patternType="solid">
        <fgColor rgb="FFFFFFCC"/>
        <bgColor indexed="64"/>
      </patternFill>
    </fill>
  </fills>
  <borders count="40">
    <border>
      <left/>
      <right/>
      <top/>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top/>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diagonal/>
    </border>
    <border>
      <left/>
      <right style="thin">
        <color indexed="64"/>
      </right>
      <top/>
      <bottom/>
      <diagonal/>
    </border>
    <border>
      <left/>
      <right style="thin">
        <color indexed="64"/>
      </right>
      <top/>
      <bottom style="medium">
        <color indexed="64"/>
      </bottom>
      <diagonal/>
    </border>
    <border>
      <left style="thin">
        <color indexed="64"/>
      </left>
      <right style="thin">
        <color indexed="64"/>
      </right>
      <top style="medium">
        <color indexed="64"/>
      </top>
      <bottom/>
      <diagonal/>
    </border>
    <border>
      <left/>
      <right/>
      <top style="medium">
        <color auto="1"/>
      </top>
      <bottom/>
      <diagonal/>
    </border>
    <border>
      <left style="thin">
        <color indexed="64"/>
      </left>
      <right/>
      <top style="medium">
        <color auto="1"/>
      </top>
      <bottom/>
      <diagonal/>
    </border>
    <border>
      <left/>
      <right style="thin">
        <color indexed="64"/>
      </right>
      <top style="double">
        <color indexed="64"/>
      </top>
      <bottom style="thin">
        <color indexed="64"/>
      </bottom>
      <diagonal/>
    </border>
    <border>
      <left/>
      <right style="thin">
        <color indexed="64"/>
      </right>
      <top style="thin">
        <color indexed="64"/>
      </top>
      <bottom style="medium">
        <color indexed="64"/>
      </bottom>
      <diagonal/>
    </border>
    <border>
      <left style="thin">
        <color indexed="64"/>
      </left>
      <right/>
      <top style="double">
        <color indexed="64"/>
      </top>
      <bottom style="thin">
        <color indexed="64"/>
      </bottom>
      <diagonal/>
    </border>
    <border>
      <left style="thin">
        <color indexed="64"/>
      </left>
      <right/>
      <top style="thin">
        <color indexed="64"/>
      </top>
      <bottom style="medium">
        <color indexed="64"/>
      </bottom>
      <diagonal/>
    </border>
    <border>
      <left/>
      <right/>
      <top style="double">
        <color indexed="64"/>
      </top>
      <bottom style="thin">
        <color indexed="64"/>
      </bottom>
      <diagonal/>
    </border>
    <border>
      <left/>
      <right/>
      <top style="thin">
        <color indexed="64"/>
      </top>
      <bottom style="medium">
        <color indexed="64"/>
      </bottom>
      <diagonal/>
    </border>
  </borders>
  <cellStyleXfs count="6">
    <xf numFmtId="0" fontId="0" fillId="0" borderId="0"/>
    <xf numFmtId="0" fontId="1" fillId="0" borderId="0"/>
    <xf numFmtId="0" fontId="5" fillId="0" borderId="0"/>
    <xf numFmtId="0" fontId="11" fillId="0" borderId="0" applyNumberFormat="0" applyFill="0" applyBorder="0" applyAlignment="0" applyProtection="0"/>
    <xf numFmtId="0" fontId="25" fillId="0" borderId="0" applyNumberFormat="0" applyFill="0" applyBorder="0" applyProtection="0">
      <alignment vertical="center"/>
    </xf>
    <xf numFmtId="0" fontId="39" fillId="0" borderId="0"/>
  </cellStyleXfs>
  <cellXfs count="332">
    <xf numFmtId="0" fontId="0" fillId="0" borderId="0" xfId="0"/>
    <xf numFmtId="0" fontId="1" fillId="0" borderId="0" xfId="1"/>
    <xf numFmtId="0" fontId="5" fillId="0" borderId="0" xfId="2"/>
    <xf numFmtId="0" fontId="8" fillId="2" borderId="0" xfId="0" applyFont="1" applyFill="1"/>
    <xf numFmtId="0" fontId="8" fillId="0" borderId="0" xfId="0" applyFont="1"/>
    <xf numFmtId="0" fontId="2" fillId="0" borderId="0" xfId="0" applyFont="1" applyAlignment="1">
      <alignment horizontal="center"/>
    </xf>
    <xf numFmtId="0" fontId="0" fillId="2" borderId="0" xfId="0" applyFill="1"/>
    <xf numFmtId="0" fontId="8" fillId="2" borderId="0" xfId="0" applyFont="1" applyFill="1" applyAlignment="1">
      <alignment horizontal="left" vertical="top" wrapText="1"/>
    </xf>
    <xf numFmtId="0" fontId="10" fillId="2" borderId="8" xfId="0" applyFont="1" applyFill="1" applyBorder="1" applyAlignment="1">
      <alignment horizontal="center" vertical="center" wrapText="1"/>
    </xf>
    <xf numFmtId="2" fontId="12" fillId="3" borderId="8" xfId="3" applyNumberFormat="1" applyFont="1" applyFill="1" applyBorder="1" applyAlignment="1">
      <alignment vertical="center"/>
    </xf>
    <xf numFmtId="11" fontId="13" fillId="0" borderId="8" xfId="0" applyNumberFormat="1" applyFont="1" applyBorder="1" applyAlignment="1">
      <alignment horizontal="center"/>
    </xf>
    <xf numFmtId="0" fontId="8" fillId="2" borderId="0" xfId="0" applyFont="1" applyFill="1" applyBorder="1" applyAlignment="1">
      <alignment horizontal="left" vertical="top" wrapText="1"/>
    </xf>
    <xf numFmtId="2" fontId="13" fillId="0" borderId="8" xfId="0" applyNumberFormat="1" applyFont="1" applyBorder="1" applyAlignment="1">
      <alignment horizontal="center"/>
    </xf>
    <xf numFmtId="1" fontId="2" fillId="2" borderId="2" xfId="1" applyNumberFormat="1" applyFont="1" applyFill="1" applyBorder="1" applyAlignment="1">
      <alignment horizontal="left"/>
    </xf>
    <xf numFmtId="0" fontId="1" fillId="2" borderId="0" xfId="1" applyFill="1"/>
    <xf numFmtId="0" fontId="5" fillId="2" borderId="0" xfId="2" applyFill="1"/>
    <xf numFmtId="0" fontId="1" fillId="2" borderId="8" xfId="1" applyFill="1" applyBorder="1" applyAlignment="1">
      <alignment horizontal="center"/>
    </xf>
    <xf numFmtId="0" fontId="2" fillId="2" borderId="0" xfId="2" applyFont="1" applyFill="1"/>
    <xf numFmtId="0" fontId="1" fillId="2" borderId="0" xfId="2" applyFont="1" applyFill="1"/>
    <xf numFmtId="0" fontId="5" fillId="2" borderId="0" xfId="2" applyFill="1" applyAlignment="1">
      <alignment horizontal="center"/>
    </xf>
    <xf numFmtId="0" fontId="3" fillId="2" borderId="0" xfId="2" applyFont="1" applyFill="1"/>
    <xf numFmtId="0" fontId="5" fillId="2" borderId="8" xfId="2" applyFill="1" applyBorder="1"/>
    <xf numFmtId="0" fontId="5" fillId="2" borderId="8" xfId="2" applyFill="1" applyBorder="1" applyAlignment="1">
      <alignment horizontal="center"/>
    </xf>
    <xf numFmtId="0" fontId="1" fillId="2" borderId="8" xfId="2" applyFont="1" applyFill="1" applyBorder="1"/>
    <xf numFmtId="0" fontId="2" fillId="2" borderId="8" xfId="2" applyFont="1" applyFill="1" applyBorder="1" applyAlignment="1">
      <alignment horizontal="center"/>
    </xf>
    <xf numFmtId="0" fontId="2" fillId="2" borderId="8" xfId="1" applyFont="1" applyFill="1" applyBorder="1" applyAlignment="1">
      <alignment horizontal="center"/>
    </xf>
    <xf numFmtId="2" fontId="5" fillId="2" borderId="8" xfId="2" applyNumberFormat="1" applyFill="1" applyBorder="1" applyAlignment="1">
      <alignment horizontal="center"/>
    </xf>
    <xf numFmtId="164" fontId="5" fillId="2" borderId="8" xfId="2" applyNumberFormat="1" applyFill="1" applyBorder="1" applyAlignment="1">
      <alignment horizontal="center"/>
    </xf>
    <xf numFmtId="167" fontId="5" fillId="2" borderId="8" xfId="2" applyNumberFormat="1" applyFill="1" applyBorder="1" applyAlignment="1">
      <alignment horizontal="center"/>
    </xf>
    <xf numFmtId="11" fontId="5" fillId="2" borderId="8" xfId="2" applyNumberFormat="1" applyFill="1" applyBorder="1" applyAlignment="1">
      <alignment horizontal="center"/>
    </xf>
    <xf numFmtId="0" fontId="1" fillId="2" borderId="8" xfId="2" applyFont="1" applyFill="1" applyBorder="1" applyAlignment="1">
      <alignment horizontal="center"/>
    </xf>
    <xf numFmtId="3" fontId="13" fillId="0" borderId="8" xfId="0" applyNumberFormat="1" applyFont="1" applyBorder="1" applyAlignment="1">
      <alignment horizontal="center"/>
    </xf>
    <xf numFmtId="3" fontId="12" fillId="3" borderId="8" xfId="3" applyNumberFormat="1" applyFont="1" applyFill="1" applyBorder="1" applyAlignment="1">
      <alignment vertical="center"/>
    </xf>
    <xf numFmtId="0" fontId="1" fillId="0" borderId="8" xfId="2" applyFont="1" applyBorder="1" applyAlignment="1">
      <alignment horizontal="center"/>
    </xf>
    <xf numFmtId="2" fontId="5" fillId="0" borderId="8" xfId="2" applyNumberFormat="1" applyBorder="1" applyAlignment="1">
      <alignment horizontal="center"/>
    </xf>
    <xf numFmtId="164" fontId="5" fillId="0" borderId="8" xfId="2" applyNumberFormat="1" applyBorder="1" applyAlignment="1">
      <alignment horizontal="center"/>
    </xf>
    <xf numFmtId="2" fontId="5" fillId="2" borderId="0" xfId="2" applyNumberFormat="1" applyFill="1" applyAlignment="1">
      <alignment horizontal="center"/>
    </xf>
    <xf numFmtId="11" fontId="5" fillId="0" borderId="8" xfId="2" applyNumberFormat="1" applyBorder="1" applyAlignment="1">
      <alignment horizontal="center"/>
    </xf>
    <xf numFmtId="1" fontId="13" fillId="0" borderId="8" xfId="0" applyNumberFormat="1" applyFont="1" applyBorder="1" applyAlignment="1">
      <alignment horizontal="center"/>
    </xf>
    <xf numFmtId="11" fontId="12" fillId="3" borderId="8" xfId="3" applyNumberFormat="1" applyFont="1" applyFill="1" applyBorder="1" applyAlignment="1">
      <alignment vertical="center"/>
    </xf>
    <xf numFmtId="0" fontId="7" fillId="2" borderId="0" xfId="0" applyFont="1" applyFill="1"/>
    <xf numFmtId="0" fontId="1" fillId="0" borderId="0" xfId="0" applyFont="1"/>
    <xf numFmtId="0" fontId="0" fillId="0" borderId="0" xfId="0" applyBorder="1"/>
    <xf numFmtId="0" fontId="13" fillId="2" borderId="8" xfId="0" applyFont="1" applyFill="1" applyBorder="1" applyAlignment="1">
      <alignment horizontal="center" vertical="center" wrapText="1"/>
    </xf>
    <xf numFmtId="0" fontId="0" fillId="0" borderId="0" xfId="0" applyFont="1" applyBorder="1" applyAlignment="1" applyProtection="1">
      <alignment wrapText="1"/>
    </xf>
    <xf numFmtId="0" fontId="6" fillId="0" borderId="0" xfId="0" applyFont="1"/>
    <xf numFmtId="0" fontId="0" fillId="0" borderId="0" xfId="0" applyFont="1" applyBorder="1" applyAlignment="1" applyProtection="1">
      <alignment horizontal="center" wrapText="1"/>
    </xf>
    <xf numFmtId="0" fontId="18" fillId="0" borderId="0" xfId="0" applyFont="1" applyBorder="1" applyAlignment="1" applyProtection="1">
      <alignment horizontal="left"/>
    </xf>
    <xf numFmtId="0" fontId="1" fillId="0" borderId="0" xfId="2" applyFont="1"/>
    <xf numFmtId="0" fontId="13" fillId="2" borderId="0" xfId="0" applyFont="1" applyFill="1"/>
    <xf numFmtId="0" fontId="13" fillId="0" borderId="0" xfId="0" applyFont="1"/>
    <xf numFmtId="0" fontId="10" fillId="2" borderId="0" xfId="0" applyFont="1" applyFill="1"/>
    <xf numFmtId="0" fontId="20" fillId="2" borderId="0" xfId="0" applyFont="1" applyFill="1"/>
    <xf numFmtId="0" fontId="10" fillId="0" borderId="0" xfId="0" applyFont="1"/>
    <xf numFmtId="0" fontId="13" fillId="2" borderId="8" xfId="0" applyFont="1" applyFill="1" applyBorder="1" applyAlignment="1">
      <alignment horizontal="center" vertical="center"/>
    </xf>
    <xf numFmtId="0" fontId="13" fillId="2" borderId="0" xfId="0" applyFont="1" applyFill="1" applyAlignment="1">
      <alignment horizontal="right"/>
    </xf>
    <xf numFmtId="166" fontId="13" fillId="2" borderId="0" xfId="0" applyNumberFormat="1" applyFont="1" applyFill="1"/>
    <xf numFmtId="0" fontId="13" fillId="2" borderId="8" xfId="0" applyFont="1" applyFill="1" applyBorder="1" applyAlignment="1">
      <alignment horizontal="center"/>
    </xf>
    <xf numFmtId="0" fontId="13" fillId="2" borderId="8" xfId="0" applyFont="1" applyFill="1" applyBorder="1"/>
    <xf numFmtId="0" fontId="7" fillId="0" borderId="0" xfId="0" applyFont="1"/>
    <xf numFmtId="0" fontId="1" fillId="2" borderId="1" xfId="1" applyFont="1" applyFill="1" applyBorder="1" applyAlignment="1">
      <alignment horizontal="center"/>
    </xf>
    <xf numFmtId="1" fontId="1" fillId="2" borderId="2" xfId="1" applyNumberFormat="1" applyFont="1" applyFill="1" applyBorder="1" applyAlignment="1">
      <alignment horizontal="left"/>
    </xf>
    <xf numFmtId="1" fontId="1" fillId="2" borderId="2" xfId="1" applyNumberFormat="1" applyFont="1" applyFill="1" applyBorder="1" applyAlignment="1">
      <alignment horizontal="center"/>
    </xf>
    <xf numFmtId="3" fontId="1" fillId="2" borderId="2" xfId="1" applyNumberFormat="1" applyFont="1" applyFill="1" applyBorder="1" applyAlignment="1">
      <alignment horizontal="center"/>
    </xf>
    <xf numFmtId="0" fontId="1" fillId="2" borderId="2" xfId="1" applyFont="1" applyFill="1" applyBorder="1" applyAlignment="1">
      <alignment horizontal="left"/>
    </xf>
    <xf numFmtId="0" fontId="1" fillId="2" borderId="3" xfId="1" applyFont="1" applyFill="1" applyBorder="1" applyAlignment="1">
      <alignment horizontal="left"/>
    </xf>
    <xf numFmtId="0" fontId="1" fillId="2" borderId="4" xfId="1" applyFont="1" applyFill="1" applyBorder="1" applyAlignment="1">
      <alignment horizontal="left"/>
    </xf>
    <xf numFmtId="2" fontId="1" fillId="2" borderId="5" xfId="1" applyNumberFormat="1" applyFont="1" applyFill="1" applyBorder="1" applyAlignment="1">
      <alignment horizontal="center"/>
    </xf>
    <xf numFmtId="0" fontId="1" fillId="2" borderId="7" xfId="1" applyFont="1" applyFill="1" applyBorder="1" applyAlignment="1">
      <alignment horizontal="center"/>
    </xf>
    <xf numFmtId="2" fontId="1" fillId="2" borderId="8" xfId="1" applyNumberFormat="1" applyFont="1" applyFill="1" applyBorder="1" applyAlignment="1">
      <alignment horizontal="center"/>
    </xf>
    <xf numFmtId="0" fontId="1" fillId="2" borderId="8" xfId="1" applyFont="1" applyFill="1" applyBorder="1" applyAlignment="1">
      <alignment horizontal="center"/>
    </xf>
    <xf numFmtId="165" fontId="1" fillId="2" borderId="8" xfId="1" applyNumberFormat="1" applyFont="1" applyFill="1" applyBorder="1" applyAlignment="1">
      <alignment horizontal="center"/>
    </xf>
    <xf numFmtId="0" fontId="1" fillId="2" borderId="10" xfId="1" applyFont="1" applyFill="1" applyBorder="1" applyAlignment="1">
      <alignment horizontal="center"/>
    </xf>
    <xf numFmtId="164" fontId="2" fillId="2" borderId="11" xfId="1" applyNumberFormat="1" applyFont="1" applyFill="1" applyBorder="1" applyAlignment="1">
      <alignment horizontal="center"/>
    </xf>
    <xf numFmtId="0" fontId="24" fillId="0" borderId="0" xfId="0" applyFont="1" applyAlignment="1">
      <alignment horizontal="right" vertical="center"/>
    </xf>
    <xf numFmtId="166" fontId="13" fillId="5" borderId="8" xfId="4" applyNumberFormat="1" applyFont="1" applyFill="1" applyBorder="1" applyAlignment="1">
      <alignment horizontal="center" vertical="center"/>
    </xf>
    <xf numFmtId="1" fontId="13" fillId="5" borderId="8" xfId="4" applyNumberFormat="1" applyFont="1" applyFill="1" applyBorder="1" applyAlignment="1">
      <alignment horizontal="center" vertical="center"/>
    </xf>
    <xf numFmtId="164" fontId="13" fillId="5" borderId="8" xfId="4" applyNumberFormat="1" applyFont="1" applyFill="1" applyBorder="1" applyAlignment="1">
      <alignment horizontal="center" vertical="center"/>
    </xf>
    <xf numFmtId="0" fontId="13" fillId="6" borderId="8" xfId="4" applyFont="1" applyFill="1" applyBorder="1" applyAlignment="1">
      <alignment horizontal="center" vertical="center"/>
    </xf>
    <xf numFmtId="1" fontId="13" fillId="6" borderId="8" xfId="4" applyNumberFormat="1" applyFont="1" applyFill="1" applyBorder="1" applyAlignment="1">
      <alignment horizontal="center" vertical="center"/>
    </xf>
    <xf numFmtId="0" fontId="1" fillId="0" borderId="0" xfId="1" applyAlignment="1"/>
    <xf numFmtId="0" fontId="27" fillId="0" borderId="0" xfId="1" applyFont="1" applyAlignment="1">
      <alignment vertical="center"/>
    </xf>
    <xf numFmtId="0" fontId="1" fillId="0" borderId="0" xfId="1" applyFont="1" applyAlignment="1">
      <alignment horizontal="right"/>
    </xf>
    <xf numFmtId="0" fontId="0" fillId="0" borderId="0" xfId="0" applyAlignment="1">
      <alignment vertical="center"/>
    </xf>
    <xf numFmtId="0" fontId="13" fillId="0" borderId="0" xfId="0" applyFont="1" applyAlignment="1">
      <alignment vertical="center"/>
    </xf>
    <xf numFmtId="0" fontId="1" fillId="0" borderId="0" xfId="1" applyFont="1" applyAlignment="1">
      <alignment horizontal="right" vertical="center"/>
    </xf>
    <xf numFmtId="0" fontId="13" fillId="0" borderId="0" xfId="0" applyFont="1" applyAlignment="1">
      <alignment wrapText="1"/>
    </xf>
    <xf numFmtId="0" fontId="1" fillId="0" borderId="0" xfId="1" applyFont="1" applyAlignment="1"/>
    <xf numFmtId="0" fontId="0" fillId="0" borderId="0" xfId="0" applyAlignment="1">
      <alignment wrapText="1"/>
    </xf>
    <xf numFmtId="0" fontId="32" fillId="0" borderId="0" xfId="4" applyFont="1" applyBorder="1" applyAlignment="1">
      <alignment vertical="center" wrapText="1"/>
    </xf>
    <xf numFmtId="0" fontId="13" fillId="0" borderId="0" xfId="0" applyFont="1" applyBorder="1"/>
    <xf numFmtId="0" fontId="13" fillId="0" borderId="0" xfId="0" applyFont="1" applyBorder="1" applyAlignment="1">
      <alignment wrapText="1"/>
    </xf>
    <xf numFmtId="0" fontId="32" fillId="0" borderId="0" xfId="0" applyFont="1" applyBorder="1" applyAlignment="1">
      <alignment wrapText="1"/>
    </xf>
    <xf numFmtId="0" fontId="13" fillId="0" borderId="0" xfId="0" applyFont="1" applyBorder="1" applyAlignment="1">
      <alignment horizontal="center"/>
    </xf>
    <xf numFmtId="0" fontId="1" fillId="0" borderId="0" xfId="1" applyFont="1" applyAlignment="1">
      <alignment horizontal="left" vertical="center" wrapText="1"/>
    </xf>
    <xf numFmtId="0" fontId="30" fillId="0" borderId="0" xfId="0" applyFont="1" applyBorder="1" applyAlignment="1">
      <alignment horizontal="right" vertical="top" indent="1"/>
    </xf>
    <xf numFmtId="0" fontId="13" fillId="4" borderId="8" xfId="0" applyFont="1" applyFill="1" applyBorder="1" applyAlignment="1">
      <alignment horizontal="center" vertical="center"/>
    </xf>
    <xf numFmtId="0" fontId="22" fillId="2" borderId="0" xfId="0" applyFont="1" applyFill="1"/>
    <xf numFmtId="0" fontId="0" fillId="0" borderId="0" xfId="0" applyFont="1" applyBorder="1" applyAlignment="1" applyProtection="1">
      <alignment horizontal="center" wrapText="1"/>
    </xf>
    <xf numFmtId="0" fontId="13" fillId="0" borderId="0" xfId="0" applyFont="1" applyAlignment="1">
      <alignment vertical="center" wrapText="1"/>
    </xf>
    <xf numFmtId="0" fontId="13" fillId="0" borderId="25" xfId="0" applyFont="1" applyBorder="1" applyAlignment="1">
      <alignment vertical="center"/>
    </xf>
    <xf numFmtId="0" fontId="12" fillId="0" borderId="0" xfId="3" applyFont="1" applyBorder="1" applyAlignment="1"/>
    <xf numFmtId="0" fontId="34" fillId="0" borderId="0" xfId="0" applyFont="1" applyAlignment="1">
      <alignment horizontal="right" vertical="center"/>
    </xf>
    <xf numFmtId="0" fontId="35" fillId="0" borderId="0" xfId="0" applyFont="1" applyAlignment="1">
      <alignment horizontal="right" vertical="center"/>
    </xf>
    <xf numFmtId="0" fontId="36" fillId="0" borderId="0" xfId="0" applyFont="1" applyAlignment="1">
      <alignment horizontal="right" vertical="center"/>
    </xf>
    <xf numFmtId="0" fontId="10" fillId="0" borderId="0" xfId="0" applyFont="1" applyAlignment="1">
      <alignment horizontal="center" vertical="center" wrapText="1"/>
    </xf>
    <xf numFmtId="3" fontId="5" fillId="2" borderId="0" xfId="2" applyNumberFormat="1" applyFill="1"/>
    <xf numFmtId="0" fontId="2" fillId="0" borderId="0" xfId="0" applyFont="1" applyBorder="1" applyAlignment="1">
      <alignment horizontal="center"/>
    </xf>
    <xf numFmtId="0" fontId="29" fillId="0" borderId="0" xfId="1" applyFont="1" applyAlignment="1">
      <alignment horizontal="right" vertical="center"/>
    </xf>
    <xf numFmtId="0" fontId="13" fillId="2" borderId="0" xfId="0" applyFont="1" applyFill="1" applyAlignment="1">
      <alignment horizontal="left" vertical="top" wrapText="1"/>
    </xf>
    <xf numFmtId="0" fontId="10" fillId="2" borderId="0" xfId="0" applyFont="1" applyFill="1" applyAlignment="1">
      <alignment horizontal="left" vertical="top" wrapText="1"/>
    </xf>
    <xf numFmtId="0" fontId="19" fillId="2" borderId="0" xfId="0" applyFont="1" applyFill="1"/>
    <xf numFmtId="0" fontId="25" fillId="0" borderId="0" xfId="0" applyFont="1"/>
    <xf numFmtId="0" fontId="10" fillId="2" borderId="0" xfId="0" applyFont="1" applyFill="1" applyAlignment="1">
      <alignment horizontal="center" vertical="top"/>
    </xf>
    <xf numFmtId="0" fontId="0" fillId="0" borderId="0" xfId="0" applyAlignment="1"/>
    <xf numFmtId="0" fontId="37" fillId="0" borderId="24" xfId="3" applyFont="1" applyBorder="1" applyAlignment="1">
      <alignment horizontal="left"/>
    </xf>
    <xf numFmtId="0" fontId="1" fillId="2" borderId="6" xfId="1" applyFont="1" applyFill="1" applyBorder="1" applyAlignment="1">
      <alignment horizontal="center"/>
    </xf>
    <xf numFmtId="2" fontId="1" fillId="2" borderId="9" xfId="1" applyNumberFormat="1" applyFont="1" applyFill="1" applyBorder="1" applyAlignment="1">
      <alignment horizontal="center"/>
    </xf>
    <xf numFmtId="0" fontId="1" fillId="2" borderId="9" xfId="1" applyFont="1" applyFill="1" applyBorder="1" applyAlignment="1">
      <alignment horizontal="center"/>
    </xf>
    <xf numFmtId="2" fontId="1" fillId="2" borderId="12" xfId="1" applyNumberFormat="1" applyFont="1" applyFill="1" applyBorder="1" applyAlignment="1">
      <alignment horizontal="center"/>
    </xf>
    <xf numFmtId="0" fontId="13" fillId="2" borderId="0" xfId="0" applyFont="1" applyFill="1" applyAlignment="1">
      <alignment horizontal="center"/>
    </xf>
    <xf numFmtId="0" fontId="13" fillId="2" borderId="0" xfId="0" applyFont="1" applyFill="1" applyAlignment="1">
      <alignment vertical="center"/>
    </xf>
    <xf numFmtId="0" fontId="10" fillId="2" borderId="0" xfId="0" applyFont="1" applyFill="1" applyAlignment="1">
      <alignment horizontal="center"/>
    </xf>
    <xf numFmtId="0" fontId="0" fillId="2" borderId="0" xfId="0" applyFill="1" applyAlignment="1">
      <alignment horizontal="center"/>
    </xf>
    <xf numFmtId="0" fontId="1" fillId="2" borderId="8" xfId="2" applyFont="1" applyFill="1" applyBorder="1" applyAlignment="1">
      <alignment horizontal="center"/>
    </xf>
    <xf numFmtId="0" fontId="0" fillId="0" borderId="0" xfId="0" applyFont="1"/>
    <xf numFmtId="14" fontId="25" fillId="0" borderId="0" xfId="0" applyNumberFormat="1" applyFont="1"/>
    <xf numFmtId="14" fontId="25" fillId="0" borderId="16" xfId="0" applyNumberFormat="1" applyFont="1" applyBorder="1"/>
    <xf numFmtId="0" fontId="25" fillId="0" borderId="16" xfId="0" applyFont="1" applyBorder="1"/>
    <xf numFmtId="0" fontId="7" fillId="0" borderId="24" xfId="0" applyFont="1" applyBorder="1"/>
    <xf numFmtId="0" fontId="8" fillId="0" borderId="24" xfId="0" applyFont="1" applyBorder="1"/>
    <xf numFmtId="0" fontId="13" fillId="0" borderId="0" xfId="5" applyFont="1"/>
    <xf numFmtId="0" fontId="13" fillId="0" borderId="0" xfId="5" applyFont="1" applyAlignment="1">
      <alignment horizontal="left" vertical="center" wrapText="1"/>
    </xf>
    <xf numFmtId="0" fontId="13" fillId="0" borderId="0" xfId="5" applyFont="1" applyAlignment="1">
      <alignment vertical="top" wrapText="1"/>
    </xf>
    <xf numFmtId="0" fontId="32" fillId="0" borderId="0" xfId="5" applyFont="1" applyAlignment="1">
      <alignment vertical="top" wrapText="1"/>
    </xf>
    <xf numFmtId="0" fontId="39" fillId="0" borderId="0" xfId="5" applyAlignment="1">
      <alignment vertical="center"/>
    </xf>
    <xf numFmtId="0" fontId="1" fillId="0" borderId="0" xfId="1" applyFont="1" applyAlignment="1">
      <alignment vertical="center"/>
    </xf>
    <xf numFmtId="0" fontId="1" fillId="0" borderId="0" xfId="1" applyFont="1" applyAlignment="1">
      <alignment vertical="center" wrapText="1"/>
    </xf>
    <xf numFmtId="0" fontId="12" fillId="0" borderId="0" xfId="3" applyFont="1" applyAlignment="1" applyProtection="1">
      <alignment horizontal="left" wrapText="1"/>
    </xf>
    <xf numFmtId="0" fontId="10" fillId="0" borderId="0" xfId="5" applyFont="1" applyAlignment="1">
      <alignment vertical="center" wrapText="1"/>
    </xf>
    <xf numFmtId="168" fontId="13" fillId="0" borderId="0" xfId="0" applyNumberFormat="1" applyFont="1" applyBorder="1" applyAlignment="1">
      <alignment horizontal="right" vertical="top"/>
    </xf>
    <xf numFmtId="0" fontId="1" fillId="0" borderId="0" xfId="1" applyFont="1" applyAlignment="1">
      <alignment horizontal="left" vertical="top" wrapText="1"/>
    </xf>
    <xf numFmtId="0" fontId="1" fillId="0" borderId="0" xfId="1" applyFont="1" applyAlignment="1">
      <alignment vertical="top" wrapText="1"/>
    </xf>
    <xf numFmtId="0" fontId="13" fillId="0" borderId="0" xfId="5" applyFont="1" applyAlignment="1">
      <alignment vertical="top"/>
    </xf>
    <xf numFmtId="0" fontId="1" fillId="0" borderId="0" xfId="1" applyFont="1" applyAlignment="1">
      <alignment vertical="top"/>
    </xf>
    <xf numFmtId="0" fontId="10" fillId="0" borderId="0" xfId="0" applyFont="1" applyAlignment="1"/>
    <xf numFmtId="0" fontId="8" fillId="0" borderId="0" xfId="0" applyFont="1" applyAlignment="1">
      <alignment horizontal="center"/>
    </xf>
    <xf numFmtId="0" fontId="9" fillId="2" borderId="0" xfId="0" applyFont="1" applyFill="1" applyAlignment="1">
      <alignment horizontal="center"/>
    </xf>
    <xf numFmtId="0" fontId="8" fillId="2" borderId="0" xfId="0" applyFont="1" applyFill="1" applyAlignment="1">
      <alignment horizontal="center"/>
    </xf>
    <xf numFmtId="0" fontId="7" fillId="2" borderId="0" xfId="0" applyFont="1" applyFill="1" applyAlignment="1">
      <alignment horizontal="left"/>
    </xf>
    <xf numFmtId="0" fontId="13" fillId="2" borderId="0" xfId="0" applyFont="1" applyFill="1" applyAlignment="1">
      <alignment horizontal="left" vertical="top" wrapText="1"/>
    </xf>
    <xf numFmtId="0" fontId="10" fillId="2" borderId="0" xfId="0" applyFont="1" applyFill="1" applyAlignment="1">
      <alignment horizontal="left" vertical="top" wrapText="1"/>
    </xf>
    <xf numFmtId="0" fontId="12" fillId="0" borderId="0" xfId="3" applyFont="1" applyBorder="1" applyAlignment="1">
      <alignment horizontal="center"/>
    </xf>
    <xf numFmtId="0" fontId="1" fillId="0" borderId="0" xfId="0" applyFont="1" applyBorder="1" applyAlignment="1">
      <alignment horizontal="right"/>
    </xf>
    <xf numFmtId="0" fontId="12" fillId="0" borderId="0" xfId="3" applyFont="1" applyBorder="1" applyAlignment="1">
      <alignment horizontal="left"/>
    </xf>
    <xf numFmtId="0" fontId="8" fillId="2" borderId="0" xfId="0" applyFont="1" applyFill="1" applyAlignment="1">
      <alignment horizontal="left" vertical="top" wrapText="1"/>
    </xf>
    <xf numFmtId="0" fontId="7" fillId="2" borderId="0" xfId="0" applyFont="1" applyFill="1" applyAlignment="1">
      <alignment horizontal="left" vertical="top" wrapText="1"/>
    </xf>
    <xf numFmtId="0" fontId="12" fillId="2" borderId="0" xfId="0" applyFont="1" applyFill="1" applyAlignment="1">
      <alignment horizontal="left" vertical="top" wrapText="1"/>
    </xf>
    <xf numFmtId="0" fontId="18" fillId="2" borderId="24" xfId="0" applyFont="1" applyFill="1" applyBorder="1" applyAlignment="1">
      <alignment horizontal="left"/>
    </xf>
    <xf numFmtId="0" fontId="10" fillId="0" borderId="13" xfId="0" applyFont="1" applyFill="1" applyBorder="1" applyAlignment="1">
      <alignment horizontal="center"/>
    </xf>
    <xf numFmtId="0" fontId="10" fillId="0" borderId="14" xfId="0" applyFont="1" applyFill="1" applyBorder="1" applyAlignment="1">
      <alignment horizontal="center"/>
    </xf>
    <xf numFmtId="0" fontId="10" fillId="0" borderId="13" xfId="0" applyFont="1" applyFill="1" applyBorder="1" applyAlignment="1">
      <alignment horizontal="center" wrapText="1"/>
    </xf>
    <xf numFmtId="0" fontId="10" fillId="0" borderId="15" xfId="0" applyFont="1" applyFill="1" applyBorder="1" applyAlignment="1">
      <alignment horizontal="center"/>
    </xf>
    <xf numFmtId="0" fontId="2" fillId="4" borderId="13" xfId="0" applyFont="1" applyFill="1" applyBorder="1" applyAlignment="1" applyProtection="1">
      <alignment horizontal="center" vertical="center"/>
      <protection locked="0"/>
    </xf>
    <xf numFmtId="0" fontId="2" fillId="4" borderId="14" xfId="0" applyFont="1" applyFill="1" applyBorder="1" applyAlignment="1" applyProtection="1">
      <alignment horizontal="center" vertical="center"/>
      <protection locked="0"/>
    </xf>
    <xf numFmtId="49" fontId="12" fillId="0" borderId="13" xfId="3" applyNumberFormat="1" applyFont="1" applyFill="1" applyBorder="1" applyAlignment="1">
      <alignment horizontal="center" vertical="center" wrapText="1"/>
    </xf>
    <xf numFmtId="49" fontId="12" fillId="0" borderId="15" xfId="3" applyNumberFormat="1" applyFont="1" applyFill="1" applyBorder="1" applyAlignment="1">
      <alignment horizontal="center" vertical="center"/>
    </xf>
    <xf numFmtId="49" fontId="12" fillId="0" borderId="14" xfId="3" applyNumberFormat="1" applyFont="1" applyFill="1" applyBorder="1" applyAlignment="1">
      <alignment horizontal="center" vertical="center"/>
    </xf>
    <xf numFmtId="0" fontId="1" fillId="4" borderId="8" xfId="0" applyFont="1" applyFill="1" applyBorder="1" applyAlignment="1" applyProtection="1">
      <alignment horizontal="center"/>
      <protection locked="0"/>
    </xf>
    <xf numFmtId="0" fontId="13" fillId="2" borderId="8" xfId="0" applyFont="1" applyFill="1" applyBorder="1" applyAlignment="1">
      <alignment horizontal="center"/>
    </xf>
    <xf numFmtId="0" fontId="0" fillId="2" borderId="16" xfId="0" applyFill="1" applyBorder="1" applyAlignment="1">
      <alignment horizontal="center"/>
    </xf>
    <xf numFmtId="0" fontId="1" fillId="4" borderId="13" xfId="0" applyFont="1" applyFill="1" applyBorder="1" applyAlignment="1" applyProtection="1">
      <alignment horizontal="left"/>
      <protection locked="0"/>
    </xf>
    <xf numFmtId="0" fontId="1" fillId="4" borderId="15" xfId="0" applyFont="1" applyFill="1" applyBorder="1" applyAlignment="1" applyProtection="1">
      <alignment horizontal="left"/>
      <protection locked="0"/>
    </xf>
    <xf numFmtId="0" fontId="1" fillId="4" borderId="14" xfId="0" applyFont="1" applyFill="1" applyBorder="1" applyAlignment="1" applyProtection="1">
      <alignment horizontal="left"/>
      <protection locked="0"/>
    </xf>
    <xf numFmtId="0" fontId="10" fillId="2" borderId="0" xfId="0" applyFont="1" applyFill="1" applyBorder="1" applyAlignment="1">
      <alignment horizontal="left"/>
    </xf>
    <xf numFmtId="0" fontId="32" fillId="2" borderId="0" xfId="0" applyFont="1" applyFill="1" applyAlignment="1">
      <alignment horizontal="right"/>
    </xf>
    <xf numFmtId="0" fontId="10" fillId="2" borderId="16" xfId="0" applyFont="1" applyFill="1" applyBorder="1" applyAlignment="1">
      <alignment horizontal="left"/>
    </xf>
    <xf numFmtId="0" fontId="10" fillId="0" borderId="15" xfId="0" applyFont="1" applyFill="1" applyBorder="1" applyAlignment="1">
      <alignment horizontal="center" wrapText="1"/>
    </xf>
    <xf numFmtId="0" fontId="10" fillId="0" borderId="14" xfId="0" applyFont="1" applyFill="1" applyBorder="1" applyAlignment="1">
      <alignment horizontal="center" wrapText="1"/>
    </xf>
    <xf numFmtId="49" fontId="13" fillId="4" borderId="13" xfId="0" applyNumberFormat="1" applyFont="1" applyFill="1" applyBorder="1" applyAlignment="1" applyProtection="1">
      <alignment horizontal="center" vertical="center" wrapText="1"/>
      <protection locked="0"/>
    </xf>
    <xf numFmtId="49" fontId="13" fillId="4" borderId="15" xfId="0" applyNumberFormat="1" applyFont="1" applyFill="1" applyBorder="1" applyAlignment="1" applyProtection="1">
      <alignment horizontal="center" vertical="center" wrapText="1"/>
      <protection locked="0"/>
    </xf>
    <xf numFmtId="0" fontId="13" fillId="0" borderId="8" xfId="0" applyFont="1" applyBorder="1" applyAlignment="1">
      <alignment horizontal="center" vertical="center" wrapText="1"/>
    </xf>
    <xf numFmtId="0" fontId="10" fillId="2" borderId="0" xfId="0" applyFont="1" applyFill="1" applyAlignment="1">
      <alignment horizontal="left" vertical="top"/>
    </xf>
    <xf numFmtId="0" fontId="13" fillId="2" borderId="0" xfId="0" applyFont="1" applyFill="1" applyAlignment="1">
      <alignment horizontal="left"/>
    </xf>
    <xf numFmtId="0" fontId="0" fillId="2" borderId="16" xfId="0" applyFill="1" applyBorder="1" applyAlignment="1">
      <alignment horizontal="left"/>
    </xf>
    <xf numFmtId="0" fontId="0" fillId="2" borderId="19" xfId="0" applyFill="1" applyBorder="1" applyAlignment="1">
      <alignment horizontal="left" vertical="top"/>
    </xf>
    <xf numFmtId="0" fontId="1" fillId="2" borderId="13" xfId="0" applyFont="1" applyFill="1" applyBorder="1" applyAlignment="1" applyProtection="1">
      <alignment horizontal="center" vertical="center"/>
    </xf>
    <xf numFmtId="0" fontId="1" fillId="2" borderId="15" xfId="0" applyFont="1" applyFill="1" applyBorder="1" applyAlignment="1" applyProtection="1">
      <alignment horizontal="center" vertical="center"/>
    </xf>
    <xf numFmtId="49" fontId="12" fillId="2" borderId="13" xfId="3" applyNumberFormat="1" applyFont="1" applyFill="1" applyBorder="1" applyAlignment="1">
      <alignment horizontal="center" vertical="center"/>
    </xf>
    <xf numFmtId="49" fontId="12" fillId="2" borderId="15" xfId="3" applyNumberFormat="1" applyFont="1" applyFill="1" applyBorder="1" applyAlignment="1">
      <alignment horizontal="center" vertical="center"/>
    </xf>
    <xf numFmtId="49" fontId="12" fillId="2" borderId="14" xfId="3" applyNumberFormat="1" applyFont="1" applyFill="1" applyBorder="1" applyAlignment="1">
      <alignment horizontal="center" vertical="center"/>
    </xf>
    <xf numFmtId="0" fontId="13" fillId="2" borderId="8" xfId="0" applyFont="1" applyFill="1" applyBorder="1" applyAlignment="1">
      <alignment horizontal="center" vertical="center" wrapText="1"/>
    </xf>
    <xf numFmtId="3" fontId="1" fillId="2" borderId="8" xfId="0" applyNumberFormat="1" applyFont="1" applyFill="1" applyBorder="1" applyAlignment="1" applyProtection="1">
      <alignment horizontal="center" vertical="center"/>
      <protection locked="0"/>
    </xf>
    <xf numFmtId="0" fontId="10" fillId="2" borderId="8" xfId="0" applyFont="1" applyFill="1" applyBorder="1" applyAlignment="1">
      <alignment horizontal="center" wrapText="1"/>
    </xf>
    <xf numFmtId="0" fontId="10" fillId="2" borderId="8" xfId="0" applyFont="1" applyFill="1" applyBorder="1" applyAlignment="1">
      <alignment horizontal="center"/>
    </xf>
    <xf numFmtId="0" fontId="13" fillId="2" borderId="8" xfId="0" applyFont="1" applyFill="1" applyBorder="1" applyAlignment="1">
      <alignment horizontal="left" vertical="center" wrapText="1"/>
    </xf>
    <xf numFmtId="0" fontId="13" fillId="2" borderId="13" xfId="0" applyFont="1" applyFill="1" applyBorder="1" applyAlignment="1">
      <alignment horizontal="left" vertical="center" wrapText="1"/>
    </xf>
    <xf numFmtId="0" fontId="10" fillId="0" borderId="8" xfId="0" applyFont="1" applyFill="1" applyBorder="1" applyAlignment="1">
      <alignment horizontal="center" wrapText="1"/>
    </xf>
    <xf numFmtId="0" fontId="10" fillId="0" borderId="8" xfId="0" applyFont="1" applyFill="1" applyBorder="1" applyAlignment="1">
      <alignment horizontal="center"/>
    </xf>
    <xf numFmtId="0" fontId="10" fillId="0" borderId="22" xfId="0" applyFont="1" applyFill="1" applyBorder="1" applyAlignment="1">
      <alignment horizontal="center" wrapText="1"/>
    </xf>
    <xf numFmtId="0" fontId="10" fillId="2" borderId="8" xfId="0" applyFont="1" applyFill="1" applyBorder="1" applyAlignment="1">
      <alignment horizontal="right" vertical="top" wrapText="1"/>
    </xf>
    <xf numFmtId="0" fontId="13" fillId="2" borderId="8" xfId="0" applyFont="1" applyFill="1" applyBorder="1" applyAlignment="1">
      <alignment horizontal="left" vertical="top" wrapText="1"/>
    </xf>
    <xf numFmtId="0" fontId="1" fillId="2" borderId="8" xfId="0" applyFont="1" applyFill="1" applyBorder="1" applyAlignment="1" applyProtection="1">
      <alignment horizontal="center" vertical="center"/>
      <protection locked="0"/>
    </xf>
    <xf numFmtId="49" fontId="12" fillId="2" borderId="8" xfId="3" applyNumberFormat="1" applyFont="1" applyFill="1" applyBorder="1" applyAlignment="1">
      <alignment horizontal="center" vertical="center"/>
    </xf>
    <xf numFmtId="0" fontId="13" fillId="0" borderId="15" xfId="0" applyFont="1" applyBorder="1"/>
    <xf numFmtId="0" fontId="13" fillId="0" borderId="14" xfId="0" applyFont="1" applyBorder="1"/>
    <xf numFmtId="0" fontId="13" fillId="0" borderId="15" xfId="0" applyFont="1" applyBorder="1" applyAlignment="1">
      <alignment wrapText="1"/>
    </xf>
    <xf numFmtId="0" fontId="13" fillId="0" borderId="14" xfId="0" applyFont="1" applyBorder="1" applyAlignment="1">
      <alignment wrapText="1"/>
    </xf>
    <xf numFmtId="0" fontId="10" fillId="2" borderId="8" xfId="0" applyFont="1" applyFill="1" applyBorder="1" applyAlignment="1">
      <alignment horizontal="right" vertical="center" wrapText="1"/>
    </xf>
    <xf numFmtId="0" fontId="10" fillId="2" borderId="13" xfId="0" applyFont="1" applyFill="1" applyBorder="1" applyAlignment="1">
      <alignment horizontal="center" vertical="top" wrapText="1"/>
    </xf>
    <xf numFmtId="0" fontId="10" fillId="2" borderId="15" xfId="0" applyFont="1" applyFill="1" applyBorder="1" applyAlignment="1">
      <alignment horizontal="center" vertical="top" wrapText="1"/>
    </xf>
    <xf numFmtId="0" fontId="10" fillId="2" borderId="14" xfId="0" applyFont="1" applyFill="1" applyBorder="1" applyAlignment="1">
      <alignment horizontal="center" vertical="top" wrapText="1"/>
    </xf>
    <xf numFmtId="0" fontId="18" fillId="0" borderId="24" xfId="0" applyFont="1" applyBorder="1" applyAlignment="1" applyProtection="1">
      <alignment horizontal="left"/>
    </xf>
    <xf numFmtId="0" fontId="8" fillId="2" borderId="19" xfId="0" applyFont="1" applyFill="1" applyBorder="1" applyAlignment="1">
      <alignment horizontal="left" vertical="top"/>
    </xf>
    <xf numFmtId="0" fontId="10" fillId="0" borderId="20" xfId="0" applyFont="1" applyFill="1" applyBorder="1" applyAlignment="1">
      <alignment horizontal="center" vertical="center"/>
    </xf>
    <xf numFmtId="0" fontId="10" fillId="0" borderId="21" xfId="0" applyFont="1" applyFill="1" applyBorder="1" applyAlignment="1">
      <alignment horizontal="center" vertical="center"/>
    </xf>
    <xf numFmtId="0" fontId="10" fillId="0" borderId="18" xfId="0" applyFont="1" applyFill="1" applyBorder="1" applyAlignment="1">
      <alignment horizontal="center" vertical="center"/>
    </xf>
    <xf numFmtId="0" fontId="10" fillId="0" borderId="17" xfId="0" applyFont="1" applyFill="1" applyBorder="1" applyAlignment="1">
      <alignment horizontal="center" vertical="center"/>
    </xf>
    <xf numFmtId="0" fontId="10" fillId="2" borderId="13" xfId="0" applyFont="1" applyFill="1" applyBorder="1" applyAlignment="1">
      <alignment horizontal="center" vertical="center" wrapText="1"/>
    </xf>
    <xf numFmtId="0" fontId="10" fillId="2" borderId="15" xfId="0" applyFont="1" applyFill="1" applyBorder="1" applyAlignment="1">
      <alignment horizontal="center" vertical="center" wrapText="1"/>
    </xf>
    <xf numFmtId="0" fontId="10" fillId="2" borderId="14" xfId="0" applyFont="1" applyFill="1" applyBorder="1" applyAlignment="1">
      <alignment horizontal="center" vertical="center" wrapText="1"/>
    </xf>
    <xf numFmtId="0" fontId="13" fillId="2" borderId="0" xfId="0" applyFont="1" applyFill="1" applyAlignment="1">
      <alignment horizontal="left" vertical="center" wrapText="1"/>
    </xf>
    <xf numFmtId="0" fontId="13" fillId="2" borderId="19" xfId="0" applyFont="1" applyFill="1" applyBorder="1" applyAlignment="1">
      <alignment horizontal="left" vertical="top" wrapText="1"/>
    </xf>
    <xf numFmtId="0" fontId="13" fillId="2" borderId="0" xfId="0" applyFont="1" applyFill="1" applyBorder="1" applyAlignment="1">
      <alignment horizontal="left" vertical="top" wrapText="1"/>
    </xf>
    <xf numFmtId="0" fontId="10" fillId="0" borderId="8" xfId="0" applyFont="1" applyBorder="1" applyAlignment="1">
      <alignment horizontal="center"/>
    </xf>
    <xf numFmtId="0" fontId="13" fillId="0" borderId="0" xfId="5" applyFont="1" applyAlignment="1">
      <alignment horizontal="left" wrapText="1"/>
    </xf>
    <xf numFmtId="0" fontId="23" fillId="0" borderId="0" xfId="0" applyFont="1" applyAlignment="1">
      <alignment vertical="top" wrapText="1"/>
    </xf>
    <xf numFmtId="0" fontId="13" fillId="0" borderId="0" xfId="5" applyFont="1" applyAlignment="1">
      <alignment horizontal="left" vertical="top" wrapText="1"/>
    </xf>
    <xf numFmtId="0" fontId="23" fillId="0" borderId="0" xfId="0" applyFont="1" applyAlignment="1">
      <alignment horizontal="left" vertical="top" wrapText="1"/>
    </xf>
    <xf numFmtId="0" fontId="13" fillId="0" borderId="0" xfId="5" applyFont="1" applyAlignment="1">
      <alignment horizontal="left" vertical="center" wrapText="1"/>
    </xf>
    <xf numFmtId="0" fontId="23" fillId="0" borderId="0" xfId="0" applyFont="1" applyAlignment="1">
      <alignment horizontal="left" vertical="top"/>
    </xf>
    <xf numFmtId="0" fontId="13" fillId="0" borderId="0" xfId="0" applyFont="1" applyAlignment="1">
      <alignment vertical="center" wrapText="1"/>
    </xf>
    <xf numFmtId="0" fontId="13" fillId="0" borderId="0" xfId="0" applyFont="1" applyAlignment="1">
      <alignment horizontal="left" vertical="top" wrapText="1"/>
    </xf>
    <xf numFmtId="0" fontId="12" fillId="0" borderId="0" xfId="3" applyFont="1" applyAlignment="1" applyProtection="1">
      <alignment horizontal="left" wrapText="1"/>
    </xf>
    <xf numFmtId="0" fontId="10" fillId="0" borderId="0" xfId="5" applyFont="1" applyAlignment="1">
      <alignment horizontal="left" vertical="center" wrapText="1"/>
    </xf>
    <xf numFmtId="0" fontId="44" fillId="0" borderId="0" xfId="3" applyFont="1" applyAlignment="1" applyProtection="1">
      <alignment horizontal="left" vertical="center" wrapText="1"/>
    </xf>
    <xf numFmtId="0" fontId="13" fillId="0" borderId="25" xfId="0" applyFont="1" applyBorder="1" applyAlignment="1">
      <alignment horizontal="left" vertical="center" wrapText="1"/>
    </xf>
    <xf numFmtId="0" fontId="13" fillId="0" borderId="0" xfId="0" applyFont="1" applyBorder="1" applyAlignment="1">
      <alignment horizontal="left" vertical="center" wrapText="1"/>
    </xf>
    <xf numFmtId="0" fontId="13" fillId="0" borderId="0" xfId="0" applyFont="1" applyAlignment="1">
      <alignment horizontal="center"/>
    </xf>
    <xf numFmtId="0" fontId="13" fillId="0" borderId="0" xfId="0" applyFont="1" applyAlignment="1">
      <alignment horizontal="left" vertical="center" wrapText="1"/>
    </xf>
    <xf numFmtId="0" fontId="10" fillId="0" borderId="0" xfId="0" applyFont="1" applyAlignment="1">
      <alignment horizontal="left"/>
    </xf>
    <xf numFmtId="0" fontId="13" fillId="0" borderId="0" xfId="5" applyFont="1" applyAlignment="1">
      <alignment horizontal="center" vertical="center"/>
    </xf>
    <xf numFmtId="0" fontId="13" fillId="0" borderId="32" xfId="0" applyFont="1" applyBorder="1" applyAlignment="1">
      <alignment horizontal="right" vertical="center" wrapText="1"/>
    </xf>
    <xf numFmtId="0" fontId="13" fillId="0" borderId="0" xfId="0" applyFont="1" applyBorder="1" applyAlignment="1">
      <alignment horizontal="right" vertical="center" wrapText="1"/>
    </xf>
    <xf numFmtId="3" fontId="1" fillId="5" borderId="31" xfId="0" applyNumberFormat="1" applyFont="1" applyFill="1" applyBorder="1" applyAlignment="1">
      <alignment horizontal="center" vertical="center" wrapText="1"/>
    </xf>
    <xf numFmtId="3" fontId="1" fillId="5" borderId="23" xfId="0" applyNumberFormat="1" applyFont="1" applyFill="1" applyBorder="1" applyAlignment="1">
      <alignment horizontal="center" vertical="center" wrapText="1"/>
    </xf>
    <xf numFmtId="0" fontId="13" fillId="0" borderId="33" xfId="0" applyFont="1" applyBorder="1" applyAlignment="1">
      <alignment horizontal="left" vertical="center" wrapText="1"/>
    </xf>
    <xf numFmtId="0" fontId="13" fillId="0" borderId="32" xfId="0" applyFont="1" applyBorder="1" applyAlignment="1">
      <alignment horizontal="left" vertical="center" wrapText="1"/>
    </xf>
    <xf numFmtId="0" fontId="13" fillId="0" borderId="29" xfId="0" applyFont="1" applyBorder="1" applyAlignment="1">
      <alignment horizontal="left" vertical="center" wrapText="1"/>
    </xf>
    <xf numFmtId="0" fontId="13" fillId="0" borderId="24" xfId="0" applyFont="1" applyBorder="1" applyAlignment="1">
      <alignment horizontal="left" vertical="center" wrapText="1"/>
    </xf>
    <xf numFmtId="0" fontId="13" fillId="0" borderId="30" xfId="0" applyFont="1" applyBorder="1" applyAlignment="1">
      <alignment horizontal="left" vertical="center" wrapText="1"/>
    </xf>
    <xf numFmtId="0" fontId="13" fillId="0" borderId="28" xfId="0" applyFont="1" applyBorder="1" applyAlignment="1">
      <alignment horizontal="center" vertical="center" wrapText="1"/>
    </xf>
    <xf numFmtId="0" fontId="13" fillId="0" borderId="26" xfId="0" applyFont="1" applyBorder="1" applyAlignment="1">
      <alignment horizontal="center" vertical="center" wrapText="1"/>
    </xf>
    <xf numFmtId="3" fontId="13" fillId="0" borderId="31" xfId="0" applyNumberFormat="1" applyFont="1" applyBorder="1" applyAlignment="1">
      <alignment horizontal="center" vertical="center" wrapText="1"/>
    </xf>
    <xf numFmtId="3" fontId="13" fillId="0" borderId="23" xfId="0" applyNumberFormat="1" applyFont="1" applyBorder="1" applyAlignment="1">
      <alignment horizontal="center" vertical="center" wrapText="1"/>
    </xf>
    <xf numFmtId="0" fontId="12" fillId="0" borderId="0" xfId="3" applyFont="1" applyBorder="1" applyAlignment="1">
      <alignment horizontal="center" vertical="top" wrapText="1"/>
    </xf>
    <xf numFmtId="0" fontId="12" fillId="0" borderId="24" xfId="3" applyFont="1" applyBorder="1" applyAlignment="1">
      <alignment horizontal="center" vertical="top" wrapText="1"/>
    </xf>
    <xf numFmtId="0" fontId="13" fillId="0" borderId="20" xfId="0" applyFont="1" applyBorder="1" applyAlignment="1">
      <alignment horizontal="center"/>
    </xf>
    <xf numFmtId="0" fontId="13" fillId="0" borderId="19" xfId="0" applyFont="1" applyBorder="1" applyAlignment="1">
      <alignment horizontal="center"/>
    </xf>
    <xf numFmtId="0" fontId="13" fillId="0" borderId="27" xfId="0" applyFont="1" applyBorder="1" applyAlignment="1">
      <alignment horizontal="center"/>
    </xf>
    <xf numFmtId="0" fontId="13" fillId="0" borderId="24" xfId="0" applyFont="1" applyBorder="1" applyAlignment="1">
      <alignment horizontal="center"/>
    </xf>
    <xf numFmtId="164" fontId="13" fillId="0" borderId="22" xfId="0" applyNumberFormat="1" applyFont="1" applyBorder="1" applyAlignment="1">
      <alignment horizontal="center" vertical="center"/>
    </xf>
    <xf numFmtId="164" fontId="13" fillId="0" borderId="26" xfId="0" applyNumberFormat="1" applyFont="1" applyBorder="1" applyAlignment="1">
      <alignment horizontal="center" vertical="center"/>
    </xf>
    <xf numFmtId="0" fontId="13" fillId="0" borderId="20" xfId="0" applyFont="1" applyBorder="1" applyAlignment="1">
      <alignment horizontal="left" vertical="center"/>
    </xf>
    <xf numFmtId="0" fontId="13" fillId="0" borderId="27" xfId="0" applyFont="1" applyBorder="1" applyAlignment="1">
      <alignment horizontal="left" vertical="center"/>
    </xf>
    <xf numFmtId="0" fontId="31" fillId="0" borderId="25" xfId="0" applyFont="1" applyBorder="1" applyAlignment="1">
      <alignment horizontal="left" vertical="center" wrapText="1"/>
    </xf>
    <xf numFmtId="0" fontId="31" fillId="0" borderId="0" xfId="0" applyFont="1" applyBorder="1" applyAlignment="1">
      <alignment horizontal="left" vertical="center" wrapText="1"/>
    </xf>
    <xf numFmtId="0" fontId="31" fillId="0" borderId="27" xfId="0" applyFont="1" applyBorder="1" applyAlignment="1">
      <alignment horizontal="left" vertical="center" wrapText="1"/>
    </xf>
    <xf numFmtId="0" fontId="31" fillId="0" borderId="24" xfId="0" applyFont="1" applyBorder="1" applyAlignment="1">
      <alignment horizontal="left" vertical="center" wrapText="1"/>
    </xf>
    <xf numFmtId="3" fontId="13" fillId="0" borderId="28" xfId="0" applyNumberFormat="1" applyFont="1" applyBorder="1" applyAlignment="1">
      <alignment horizontal="center" vertical="center" wrapText="1"/>
    </xf>
    <xf numFmtId="0" fontId="13" fillId="4" borderId="20" xfId="0" applyFont="1" applyFill="1" applyBorder="1" applyAlignment="1">
      <alignment horizontal="center" vertical="center" wrapText="1"/>
    </xf>
    <xf numFmtId="0" fontId="13" fillId="4" borderId="19" xfId="0" applyFont="1" applyFill="1" applyBorder="1" applyAlignment="1">
      <alignment horizontal="center" vertical="center" wrapText="1"/>
    </xf>
    <xf numFmtId="0" fontId="13" fillId="4" borderId="21" xfId="0" applyFont="1" applyFill="1" applyBorder="1" applyAlignment="1">
      <alignment horizontal="center" vertical="center" wrapText="1"/>
    </xf>
    <xf numFmtId="0" fontId="13" fillId="4" borderId="18" xfId="0" applyFont="1" applyFill="1" applyBorder="1" applyAlignment="1">
      <alignment horizontal="center" vertical="center" wrapText="1"/>
    </xf>
    <xf numFmtId="0" fontId="13" fillId="4" borderId="16" xfId="0" applyFont="1" applyFill="1" applyBorder="1" applyAlignment="1">
      <alignment horizontal="center" vertical="center" wrapText="1"/>
    </xf>
    <xf numFmtId="0" fontId="13" fillId="4" borderId="17" xfId="0" applyFont="1" applyFill="1" applyBorder="1" applyAlignment="1">
      <alignment horizontal="center" vertical="center" wrapText="1"/>
    </xf>
    <xf numFmtId="2" fontId="13" fillId="4" borderId="22" xfId="0" applyNumberFormat="1" applyFont="1" applyFill="1" applyBorder="1" applyAlignment="1">
      <alignment horizontal="center" vertical="center"/>
    </xf>
    <xf numFmtId="2" fontId="13" fillId="4" borderId="23" xfId="0" applyNumberFormat="1" applyFont="1" applyFill="1" applyBorder="1" applyAlignment="1">
      <alignment horizontal="center" vertical="center"/>
    </xf>
    <xf numFmtId="0" fontId="13" fillId="0" borderId="22" xfId="0" applyFont="1" applyBorder="1" applyAlignment="1">
      <alignment horizontal="left" vertical="center"/>
    </xf>
    <xf numFmtId="0" fontId="13" fillId="0" borderId="23" xfId="0" applyFont="1" applyBorder="1" applyAlignment="1">
      <alignment horizontal="left" vertical="center"/>
    </xf>
    <xf numFmtId="1" fontId="13" fillId="4" borderId="22" xfId="0" applyNumberFormat="1" applyFont="1" applyFill="1" applyBorder="1" applyAlignment="1">
      <alignment horizontal="center" vertical="center"/>
    </xf>
    <xf numFmtId="1" fontId="13" fillId="4" borderId="23" xfId="0" applyNumberFormat="1" applyFont="1" applyFill="1" applyBorder="1" applyAlignment="1">
      <alignment horizontal="center" vertical="center"/>
    </xf>
    <xf numFmtId="0" fontId="1" fillId="0" borderId="0" xfId="1" applyFont="1" applyAlignment="1">
      <alignment horizontal="center"/>
    </xf>
    <xf numFmtId="0" fontId="13" fillId="0" borderId="25" xfId="0" applyFont="1" applyBorder="1" applyAlignment="1">
      <alignment horizontal="left"/>
    </xf>
    <xf numFmtId="0" fontId="13" fillId="0" borderId="0" xfId="0" applyFont="1" applyBorder="1" applyAlignment="1">
      <alignment horizontal="left"/>
    </xf>
    <xf numFmtId="0" fontId="27" fillId="0" borderId="0" xfId="1" applyFont="1" applyAlignment="1">
      <alignment horizontal="right" vertical="top" wrapText="1"/>
    </xf>
    <xf numFmtId="0" fontId="2" fillId="0" borderId="0" xfId="1" applyFont="1" applyAlignment="1">
      <alignment horizontal="left"/>
    </xf>
    <xf numFmtId="0" fontId="29" fillId="0" borderId="0" xfId="1" applyFont="1" applyAlignment="1">
      <alignment horizontal="right" vertical="center"/>
    </xf>
    <xf numFmtId="0" fontId="9" fillId="0" borderId="24" xfId="1" applyFont="1" applyBorder="1" applyAlignment="1">
      <alignment horizontal="left"/>
    </xf>
    <xf numFmtId="0" fontId="13" fillId="0" borderId="0" xfId="5" applyFont="1" applyAlignment="1">
      <alignment horizontal="left" vertical="center" wrapText="1" indent="2"/>
    </xf>
    <xf numFmtId="0" fontId="1" fillId="0" borderId="0" xfId="1" applyFont="1" applyAlignment="1">
      <alignment horizontal="left" vertical="center" wrapText="1"/>
    </xf>
    <xf numFmtId="0" fontId="40" fillId="0" borderId="0" xfId="3" applyFont="1" applyAlignment="1" applyProtection="1">
      <alignment horizontal="left" vertical="center" wrapText="1"/>
    </xf>
    <xf numFmtId="0" fontId="32" fillId="0" borderId="0" xfId="0" applyFont="1" applyBorder="1" applyAlignment="1">
      <alignment horizontal="right"/>
    </xf>
    <xf numFmtId="0" fontId="33" fillId="0" borderId="24" xfId="1" applyFont="1" applyFill="1" applyBorder="1" applyAlignment="1">
      <alignment horizontal="left"/>
    </xf>
    <xf numFmtId="0" fontId="13" fillId="0" borderId="0" xfId="0" applyFont="1" applyBorder="1" applyAlignment="1">
      <alignment horizontal="center" wrapText="1"/>
    </xf>
    <xf numFmtId="0" fontId="37" fillId="2" borderId="24" xfId="3" applyFont="1" applyFill="1" applyBorder="1" applyAlignment="1">
      <alignment horizontal="left"/>
    </xf>
    <xf numFmtId="0" fontId="1" fillId="2" borderId="8" xfId="2" applyFont="1" applyFill="1" applyBorder="1" applyAlignment="1">
      <alignment horizontal="center"/>
    </xf>
    <xf numFmtId="0" fontId="2" fillId="2" borderId="22" xfId="2" applyFont="1" applyFill="1" applyBorder="1" applyAlignment="1">
      <alignment horizontal="center" vertical="center"/>
    </xf>
    <xf numFmtId="0" fontId="2" fillId="2" borderId="23" xfId="2" applyFont="1" applyFill="1" applyBorder="1" applyAlignment="1">
      <alignment horizontal="center" vertical="center"/>
    </xf>
    <xf numFmtId="0" fontId="2" fillId="2" borderId="8" xfId="2" applyFont="1" applyFill="1" applyBorder="1" applyAlignment="1">
      <alignment horizontal="center"/>
    </xf>
    <xf numFmtId="0" fontId="1" fillId="2" borderId="22" xfId="2" applyFont="1" applyFill="1" applyBorder="1" applyAlignment="1">
      <alignment horizontal="center" vertical="center"/>
    </xf>
    <xf numFmtId="0" fontId="1" fillId="2" borderId="23" xfId="2" applyFont="1" applyFill="1" applyBorder="1" applyAlignment="1">
      <alignment horizontal="center" vertical="center"/>
    </xf>
    <xf numFmtId="0" fontId="13" fillId="2" borderId="0" xfId="0" applyFont="1" applyFill="1" applyAlignment="1">
      <alignment wrapText="1"/>
    </xf>
    <xf numFmtId="0" fontId="20" fillId="2" borderId="0" xfId="0" applyFont="1" applyFill="1" applyAlignment="1">
      <alignment vertical="top" wrapText="1"/>
    </xf>
    <xf numFmtId="0" fontId="13" fillId="2" borderId="0" xfId="0" applyFont="1" applyFill="1" applyAlignment="1">
      <alignment vertical="center"/>
    </xf>
    <xf numFmtId="0" fontId="13" fillId="2" borderId="0" xfId="0" applyFont="1" applyFill="1" applyAlignment="1">
      <alignment horizontal="left" wrapText="1"/>
    </xf>
    <xf numFmtId="0" fontId="37" fillId="2" borderId="24" xfId="3" applyFont="1" applyFill="1" applyBorder="1" applyAlignment="1">
      <alignment horizontal="left" vertical="top" wrapText="1"/>
    </xf>
    <xf numFmtId="0" fontId="13" fillId="2" borderId="32" xfId="0" applyFont="1" applyFill="1" applyBorder="1" applyAlignment="1">
      <alignment horizontal="left" vertical="top" wrapText="1"/>
    </xf>
    <xf numFmtId="0" fontId="37" fillId="0" borderId="24" xfId="3" applyFont="1" applyBorder="1" applyAlignment="1">
      <alignment horizontal="left"/>
    </xf>
    <xf numFmtId="1" fontId="1" fillId="2" borderId="36" xfId="1" applyNumberFormat="1" applyFont="1" applyFill="1" applyBorder="1" applyAlignment="1">
      <alignment horizontal="center"/>
    </xf>
    <xf numFmtId="1" fontId="1" fillId="2" borderId="34" xfId="1" applyNumberFormat="1" applyFont="1" applyFill="1" applyBorder="1" applyAlignment="1">
      <alignment horizontal="center"/>
    </xf>
    <xf numFmtId="1" fontId="1" fillId="2" borderId="13" xfId="1" applyNumberFormat="1" applyFont="1" applyFill="1" applyBorder="1" applyAlignment="1">
      <alignment horizontal="center"/>
    </xf>
    <xf numFmtId="1" fontId="1" fillId="2" borderId="14" xfId="1" applyNumberFormat="1" applyFont="1" applyFill="1" applyBorder="1" applyAlignment="1">
      <alignment horizontal="center"/>
    </xf>
    <xf numFmtId="0" fontId="13" fillId="2" borderId="0" xfId="0" applyFont="1" applyFill="1" applyAlignment="1">
      <alignment horizontal="right"/>
    </xf>
    <xf numFmtId="1" fontId="2" fillId="2" borderId="37" xfId="1" applyNumberFormat="1" applyFont="1" applyFill="1" applyBorder="1" applyAlignment="1">
      <alignment horizontal="center"/>
    </xf>
    <xf numFmtId="1" fontId="2" fillId="2" borderId="35" xfId="1" applyNumberFormat="1" applyFont="1" applyFill="1" applyBorder="1" applyAlignment="1">
      <alignment horizontal="center"/>
    </xf>
    <xf numFmtId="0" fontId="1" fillId="2" borderId="36" xfId="1" applyFont="1" applyFill="1" applyBorder="1"/>
    <xf numFmtId="0" fontId="1" fillId="2" borderId="38" xfId="1" applyFont="1" applyFill="1" applyBorder="1"/>
    <xf numFmtId="0" fontId="1" fillId="2" borderId="34" xfId="1" applyFont="1" applyFill="1" applyBorder="1"/>
    <xf numFmtId="1" fontId="2" fillId="2" borderId="13" xfId="1" applyNumberFormat="1" applyFont="1" applyFill="1" applyBorder="1" applyAlignment="1">
      <alignment horizontal="left"/>
    </xf>
    <xf numFmtId="1" fontId="2" fillId="2" borderId="15" xfId="1" applyNumberFormat="1" applyFont="1" applyFill="1" applyBorder="1" applyAlignment="1">
      <alignment horizontal="left"/>
    </xf>
    <xf numFmtId="1" fontId="2" fillId="2" borderId="14" xfId="1" applyNumberFormat="1" applyFont="1" applyFill="1" applyBorder="1" applyAlignment="1">
      <alignment horizontal="left"/>
    </xf>
    <xf numFmtId="1" fontId="1" fillId="2" borderId="13" xfId="1" applyNumberFormat="1" applyFont="1" applyFill="1" applyBorder="1" applyAlignment="1">
      <alignment horizontal="left"/>
    </xf>
    <xf numFmtId="1" fontId="1" fillId="2" borderId="15" xfId="1" applyNumberFormat="1" applyFont="1" applyFill="1" applyBorder="1" applyAlignment="1">
      <alignment horizontal="left"/>
    </xf>
    <xf numFmtId="1" fontId="1" fillId="2" borderId="14" xfId="1" applyNumberFormat="1" applyFont="1" applyFill="1" applyBorder="1" applyAlignment="1">
      <alignment horizontal="left"/>
    </xf>
    <xf numFmtId="1" fontId="2" fillId="2" borderId="37" xfId="1" applyNumberFormat="1" applyFont="1" applyFill="1" applyBorder="1" applyAlignment="1">
      <alignment horizontal="left"/>
    </xf>
    <xf numFmtId="1" fontId="2" fillId="2" borderId="39" xfId="1" applyNumberFormat="1" applyFont="1" applyFill="1" applyBorder="1" applyAlignment="1">
      <alignment horizontal="left"/>
    </xf>
    <xf numFmtId="1" fontId="2" fillId="2" borderId="35" xfId="1" applyNumberFormat="1" applyFont="1" applyFill="1" applyBorder="1" applyAlignment="1">
      <alignment horizontal="left"/>
    </xf>
    <xf numFmtId="0" fontId="22" fillId="2" borderId="0" xfId="0" applyFont="1" applyFill="1" applyAlignment="1">
      <alignment wrapText="1"/>
    </xf>
    <xf numFmtId="0" fontId="23" fillId="2" borderId="0" xfId="0" applyFont="1" applyFill="1" applyAlignment="1">
      <alignment vertical="top" wrapText="1"/>
    </xf>
    <xf numFmtId="0" fontId="23" fillId="2" borderId="0" xfId="0" applyFont="1" applyFill="1" applyAlignment="1">
      <alignment vertical="center" wrapText="1"/>
    </xf>
    <xf numFmtId="0" fontId="25" fillId="0" borderId="0" xfId="0" applyFont="1" applyAlignment="1">
      <alignment horizontal="left" vertical="top" wrapText="1"/>
    </xf>
  </cellXfs>
  <cellStyles count="6">
    <cellStyle name="Hyperlink" xfId="3" builtinId="8"/>
    <cellStyle name="Normal" xfId="0" builtinId="0"/>
    <cellStyle name="Normal 2" xfId="1"/>
    <cellStyle name="Normal 3" xfId="2"/>
    <cellStyle name="Normal 6" xfId="5"/>
    <cellStyle name="PCA Body Text" xfId="4"/>
  </cellStyles>
  <dxfs count="8">
    <dxf>
      <font>
        <color rgb="FFEAF8D8"/>
      </font>
    </dxf>
    <dxf>
      <font>
        <b/>
        <i val="0"/>
        <color rgb="FF00B050"/>
      </font>
    </dxf>
    <dxf>
      <font>
        <b/>
        <i val="0"/>
        <color rgb="FFFF0000"/>
      </font>
    </dxf>
    <dxf>
      <font>
        <color theme="0"/>
      </font>
    </dxf>
    <dxf>
      <fill>
        <patternFill>
          <bgColor rgb="FFD1EAFF"/>
        </patternFill>
      </fill>
    </dxf>
    <dxf>
      <fill>
        <patternFill>
          <bgColor rgb="FFD1EAFF"/>
        </patternFill>
      </fill>
    </dxf>
    <dxf>
      <fill>
        <patternFill>
          <bgColor rgb="FFD1EAFF"/>
        </patternFill>
      </fill>
    </dxf>
    <dxf>
      <font>
        <color rgb="FFFF0000"/>
      </font>
      <fill>
        <patternFill>
          <bgColor rgb="FFFF9999"/>
        </patternFill>
      </fill>
    </dxf>
  </dxfs>
  <tableStyles count="1" defaultTableStyle="TableStyleMedium2" defaultPivotStyle="PivotStyleLight16">
    <tableStyle name="MySqlDefault" pivot="0" table="0" count="0"/>
  </tableStyles>
  <colors>
    <mruColors>
      <color rgb="FF0000E1"/>
      <color rgb="FF0563C1"/>
      <color rgb="FF008EAA"/>
      <color rgb="FFD1EAFF"/>
      <color rgb="FFD1CCFF"/>
      <color rgb="FF99CCFF"/>
      <color rgb="FFFFFFCC"/>
      <color rgb="FFFFFF99"/>
      <color rgb="FFFF9999"/>
      <color rgb="FFFF5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microsoft.com/office/2006/relationships/vbaProject" Target="vbaProject.bin"/><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57150</xdr:colOff>
      <xdr:row>0</xdr:row>
      <xdr:rowOff>152400</xdr:rowOff>
    </xdr:from>
    <xdr:to>
      <xdr:col>4</xdr:col>
      <xdr:colOff>276225</xdr:colOff>
      <xdr:row>3</xdr:row>
      <xdr:rowOff>47625</xdr:rowOff>
    </xdr:to>
    <xdr:pic>
      <xdr:nvPicPr>
        <xdr:cNvPr id="8" name="Picture 7" descr="Minnesota Pollution Control Agency (MPCA), 520 Lafayette Road North, St. Paul, MN 55155-4194" title="Image of MPCA logo with St. Paul office address">
          <a:extLst>
            <a:ext uri="{FF2B5EF4-FFF2-40B4-BE49-F238E27FC236}">
              <a16:creationId xmlns:a16="http://schemas.microsoft.com/office/drawing/2014/main" id="{00000000-0008-0000-0000-000008000000}"/>
            </a:ext>
          </a:extLst>
        </xdr:cNvPr>
        <xdr:cNvPicPr/>
      </xdr:nvPicPr>
      <xdr:blipFill>
        <a:blip xmlns:r="http://schemas.openxmlformats.org/officeDocument/2006/relationships" r:embed="rId1"/>
        <a:srcRect/>
        <a:stretch>
          <a:fillRect/>
        </a:stretch>
      </xdr:blipFill>
      <xdr:spPr bwMode="auto">
        <a:xfrm>
          <a:off x="57150" y="152400"/>
          <a:ext cx="2390775" cy="68580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47625</xdr:colOff>
      <xdr:row>0</xdr:row>
      <xdr:rowOff>49650</xdr:rowOff>
    </xdr:from>
    <xdr:to>
      <xdr:col>3</xdr:col>
      <xdr:colOff>1025525</xdr:colOff>
      <xdr:row>3</xdr:row>
      <xdr:rowOff>116325</xdr:rowOff>
    </xdr:to>
    <xdr:pic>
      <xdr:nvPicPr>
        <xdr:cNvPr id="2" name="Picture 1" descr="Minnesota Pollution Control Agency (MPCA), 520 Lafayette Road North, St. Paul, MN 55155-4194" title="Image of MPCA logo with St. Paul office address">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1"/>
        <a:srcRect/>
        <a:stretch>
          <a:fillRect/>
        </a:stretch>
      </xdr:blipFill>
      <xdr:spPr bwMode="auto">
        <a:xfrm>
          <a:off x="295275" y="49650"/>
          <a:ext cx="2457450" cy="68580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pca.state.mn.us/smallbizhelp" TargetMode="External"/><Relationship Id="rId1" Type="http://schemas.openxmlformats.org/officeDocument/2006/relationships/hyperlink" Target="mailto:smallbizhelp.pca@state.mn.us"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8" Type="http://schemas.openxmlformats.org/officeDocument/2006/relationships/hyperlink" Target="https://www.revisor.mn.gov/rules/7007.1300/" TargetMode="External"/><Relationship Id="rId13" Type="http://schemas.openxmlformats.org/officeDocument/2006/relationships/hyperlink" Target="https://www.revisor.mn.gov/rules/7007.1300/" TargetMode="External"/><Relationship Id="rId3" Type="http://schemas.openxmlformats.org/officeDocument/2006/relationships/hyperlink" Target="https://www.revisor.mn.gov/rules/7007.1300/" TargetMode="External"/><Relationship Id="rId7" Type="http://schemas.openxmlformats.org/officeDocument/2006/relationships/hyperlink" Target="https://www.revisor.mn.gov/rules/7007.1300/" TargetMode="External"/><Relationship Id="rId12" Type="http://schemas.openxmlformats.org/officeDocument/2006/relationships/hyperlink" Target="https://www.revisor.mn.gov/rules/7007.1300/" TargetMode="External"/><Relationship Id="rId2" Type="http://schemas.openxmlformats.org/officeDocument/2006/relationships/hyperlink" Target="https://www.revisor.mn.gov/rules/?id=7008.4110" TargetMode="External"/><Relationship Id="rId1" Type="http://schemas.openxmlformats.org/officeDocument/2006/relationships/hyperlink" Target="https://www.revisor.mn.gov/rules/?id=7008.4100" TargetMode="External"/><Relationship Id="rId6" Type="http://schemas.openxmlformats.org/officeDocument/2006/relationships/hyperlink" Target="https://www.revisor.mn.gov/rules/7007.1300/" TargetMode="External"/><Relationship Id="rId11" Type="http://schemas.openxmlformats.org/officeDocument/2006/relationships/hyperlink" Target="https://www.revisor.mn.gov/rules/7007.1300/" TargetMode="External"/><Relationship Id="rId5" Type="http://schemas.openxmlformats.org/officeDocument/2006/relationships/hyperlink" Target="https://www.revisor.mn.gov/rules/7007.1300/" TargetMode="External"/><Relationship Id="rId10" Type="http://schemas.openxmlformats.org/officeDocument/2006/relationships/hyperlink" Target="https://www.revisor.mn.gov/rules/7007.1300/" TargetMode="External"/><Relationship Id="rId4" Type="http://schemas.openxmlformats.org/officeDocument/2006/relationships/hyperlink" Target="https://www.revisor.mn.gov/rules/7007.1300/" TargetMode="External"/><Relationship Id="rId9" Type="http://schemas.openxmlformats.org/officeDocument/2006/relationships/hyperlink" Target="https://www.revisor.mn.gov/rules/7007.1300/" TargetMode="External"/><Relationship Id="rId1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s://www.revisor.mn.gov/rules/7008.4110/" TargetMode="External"/><Relationship Id="rId2" Type="http://schemas.openxmlformats.org/officeDocument/2006/relationships/hyperlink" Target="https://www.revisor.mn.gov/rules/7008.4110/" TargetMode="External"/><Relationship Id="rId1" Type="http://schemas.openxmlformats.org/officeDocument/2006/relationships/hyperlink" Target="https://www.revisor.mn.gov/rules/7011/" TargetMode="External"/><Relationship Id="rId6" Type="http://schemas.openxmlformats.org/officeDocument/2006/relationships/drawing" Target="../drawings/drawing2.xml"/><Relationship Id="rId5" Type="http://schemas.openxmlformats.org/officeDocument/2006/relationships/printerSettings" Target="../printerSettings/printerSettings3.bin"/><Relationship Id="rId4" Type="http://schemas.openxmlformats.org/officeDocument/2006/relationships/hyperlink" Target="https://www.revisor.mn.gov/rules/7011.0072/"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www.revisor.mn.gov/rules/7007.1300/"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www.revisor.mn.gov/rules/7007.1300/"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s://www.revisor.mn.gov/rules/7007.1300/"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s://www.revisor.mn.gov/rules/7007.1300/" TargetMode="External"/></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s://www.revisor.mn.gov/rules/7007.1300/" TargetMode="Externa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https://www.revisor.mn.gov/rules/7007.1300/" TargetMode="Externa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https://www.revisor.mn.gov/rules/7007.1300/" TargetMode="External"/></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hyperlink" Target="https://www.revisor.mn.gov/rules/?id=7008.4100" TargetMode="External"/></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https://www.revisor.mn.gov/rules/?id=7008.4110"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rgb="FFFFFFCC"/>
    <pageSetUpPr fitToPage="1"/>
  </sheetPr>
  <dimension ref="B1:Y95"/>
  <sheetViews>
    <sheetView showGridLines="0" tabSelected="1" zoomScaleNormal="100" workbookViewId="0">
      <selection activeCell="Q9" sqref="Q9"/>
    </sheetView>
  </sheetViews>
  <sheetFormatPr defaultColWidth="9.1796875" defaultRowHeight="14.5" x14ac:dyDescent="0.35"/>
  <cols>
    <col min="1" max="1" width="3.54296875" customWidth="1"/>
    <col min="2" max="12" width="10.81640625" customWidth="1"/>
  </cols>
  <sheetData>
    <row r="1" spans="2:25" s="44" customFormat="1" ht="26" x14ac:dyDescent="0.35">
      <c r="L1" s="102" t="s">
        <v>287</v>
      </c>
    </row>
    <row r="2" spans="2:25" s="44" customFormat="1" ht="21" x14ac:dyDescent="0.35">
      <c r="B2" s="98"/>
      <c r="C2" s="98"/>
      <c r="D2" s="98"/>
      <c r="E2" s="98"/>
      <c r="F2" s="98"/>
      <c r="G2" s="98"/>
      <c r="H2" s="98"/>
      <c r="I2" s="98"/>
      <c r="J2" s="98"/>
      <c r="K2" s="98"/>
      <c r="L2" s="103" t="s">
        <v>288</v>
      </c>
      <c r="M2" s="98"/>
      <c r="N2" s="98"/>
      <c r="O2" s="98"/>
      <c r="P2" s="98"/>
      <c r="Q2" s="98"/>
      <c r="R2" s="98"/>
      <c r="S2" s="98"/>
      <c r="T2" s="98"/>
      <c r="U2" s="98"/>
      <c r="V2" s="98"/>
      <c r="W2" s="98"/>
      <c r="X2" s="98"/>
      <c r="Y2" s="98"/>
    </row>
    <row r="3" spans="2:25" s="44" customFormat="1" x14ac:dyDescent="0.35">
      <c r="B3" s="98"/>
      <c r="C3" s="98"/>
      <c r="D3" s="98"/>
      <c r="E3" s="98"/>
      <c r="F3" s="98"/>
      <c r="G3" s="98"/>
      <c r="H3" s="98"/>
      <c r="I3" s="98"/>
      <c r="J3" s="98"/>
      <c r="K3" s="98"/>
      <c r="L3" s="104" t="s">
        <v>359</v>
      </c>
      <c r="M3" s="98"/>
      <c r="N3" s="98"/>
      <c r="O3" s="98"/>
      <c r="P3" s="98"/>
      <c r="Q3" s="98"/>
      <c r="R3" s="98"/>
      <c r="S3" s="98"/>
      <c r="T3" s="98"/>
      <c r="U3" s="98"/>
      <c r="V3" s="98"/>
      <c r="W3" s="98"/>
      <c r="X3" s="98"/>
      <c r="Y3" s="98"/>
    </row>
    <row r="4" spans="2:25" s="44" customFormat="1" x14ac:dyDescent="0.35">
      <c r="B4" s="98"/>
      <c r="C4" s="98"/>
      <c r="D4" s="98"/>
      <c r="E4" s="98"/>
      <c r="F4" s="98"/>
      <c r="G4" s="98"/>
      <c r="H4" s="98"/>
      <c r="I4" s="98"/>
      <c r="J4" s="98"/>
      <c r="K4" s="98"/>
      <c r="L4" s="74"/>
      <c r="M4" s="98"/>
      <c r="N4" s="98"/>
      <c r="O4" s="98"/>
      <c r="P4" s="98"/>
      <c r="Q4" s="98"/>
      <c r="R4" s="98"/>
      <c r="S4" s="98"/>
      <c r="T4" s="98"/>
      <c r="U4" s="98"/>
      <c r="V4" s="98"/>
      <c r="W4" s="98"/>
      <c r="X4" s="98"/>
      <c r="Y4" s="98"/>
    </row>
    <row r="5" spans="2:25" x14ac:dyDescent="0.35">
      <c r="B5" s="146" t="s">
        <v>198</v>
      </c>
      <c r="C5" s="146"/>
      <c r="D5" s="146"/>
      <c r="E5" s="146"/>
      <c r="F5" s="146"/>
      <c r="G5" s="146"/>
      <c r="H5" s="146"/>
      <c r="I5" s="146"/>
      <c r="J5" s="146"/>
      <c r="K5" s="146"/>
      <c r="L5" s="146"/>
    </row>
    <row r="6" spans="2:25" x14ac:dyDescent="0.35">
      <c r="B6" s="147" t="s">
        <v>89</v>
      </c>
      <c r="C6" s="147"/>
      <c r="D6" s="147"/>
      <c r="E6" s="147"/>
      <c r="F6" s="147"/>
      <c r="G6" s="147"/>
      <c r="H6" s="147"/>
      <c r="I6" s="147"/>
      <c r="J6" s="147"/>
      <c r="K6" s="147"/>
      <c r="L6" s="147"/>
    </row>
    <row r="7" spans="2:25" s="42" customFormat="1" x14ac:dyDescent="0.35">
      <c r="B7" s="153" t="s">
        <v>90</v>
      </c>
      <c r="C7" s="153"/>
      <c r="D7" s="153"/>
      <c r="E7" s="153"/>
      <c r="F7" s="153"/>
      <c r="G7" s="107"/>
      <c r="H7" s="154" t="s">
        <v>307</v>
      </c>
      <c r="I7" s="154"/>
      <c r="J7" s="154"/>
      <c r="K7" s="154"/>
      <c r="L7" s="154"/>
    </row>
    <row r="8" spans="2:25" s="101" customFormat="1" ht="15" customHeight="1" x14ac:dyDescent="0.25">
      <c r="B8" s="152" t="s">
        <v>199</v>
      </c>
      <c r="C8" s="152"/>
      <c r="D8" s="152"/>
      <c r="E8" s="152"/>
      <c r="F8" s="152"/>
      <c r="G8" s="152"/>
      <c r="H8" s="152"/>
      <c r="I8" s="152"/>
      <c r="J8" s="152"/>
      <c r="K8" s="152"/>
      <c r="L8" s="152"/>
    </row>
    <row r="9" spans="2:25" x14ac:dyDescent="0.35">
      <c r="B9" s="148"/>
      <c r="C9" s="148"/>
      <c r="D9" s="148"/>
      <c r="E9" s="148"/>
      <c r="F9" s="148"/>
      <c r="G9" s="148"/>
      <c r="H9" s="148"/>
      <c r="I9" s="148"/>
      <c r="J9" s="148"/>
      <c r="K9" s="148"/>
      <c r="L9" s="148"/>
    </row>
    <row r="10" spans="2:25" ht="19" thickBot="1" x14ac:dyDescent="0.5">
      <c r="B10" s="158" t="s">
        <v>290</v>
      </c>
      <c r="C10" s="158"/>
      <c r="D10" s="158"/>
      <c r="E10" s="158"/>
      <c r="F10" s="158"/>
      <c r="G10" s="158"/>
      <c r="H10" s="158"/>
      <c r="I10" s="158"/>
      <c r="J10" s="158"/>
      <c r="K10" s="158"/>
      <c r="L10" s="158"/>
    </row>
    <row r="11" spans="2:25" s="53" customFormat="1" ht="14" x14ac:dyDescent="0.3">
      <c r="B11" s="149" t="s">
        <v>145</v>
      </c>
      <c r="C11" s="149"/>
      <c r="D11" s="149"/>
      <c r="E11" s="149"/>
      <c r="F11" s="149"/>
      <c r="G11" s="149"/>
      <c r="H11" s="149"/>
      <c r="I11" s="149"/>
      <c r="J11" s="149"/>
      <c r="K11" s="149"/>
      <c r="L11" s="149"/>
    </row>
    <row r="12" spans="2:25" s="50" customFormat="1" ht="12.5" x14ac:dyDescent="0.25">
      <c r="B12" s="150" t="s">
        <v>200</v>
      </c>
      <c r="C12" s="150"/>
      <c r="D12" s="150"/>
      <c r="E12" s="150"/>
      <c r="F12" s="150"/>
      <c r="G12" s="150"/>
      <c r="H12" s="150"/>
      <c r="I12" s="150"/>
      <c r="J12" s="150"/>
      <c r="K12" s="150"/>
      <c r="L12" s="150"/>
    </row>
    <row r="13" spans="2:25" s="50" customFormat="1" ht="12.5" x14ac:dyDescent="0.25">
      <c r="B13" s="150"/>
      <c r="C13" s="150"/>
      <c r="D13" s="150"/>
      <c r="E13" s="150"/>
      <c r="F13" s="150"/>
      <c r="G13" s="150"/>
      <c r="H13" s="150"/>
      <c r="I13" s="150"/>
      <c r="J13" s="150"/>
      <c r="K13" s="150"/>
      <c r="L13" s="150"/>
    </row>
    <row r="14" spans="2:25" s="50" customFormat="1" ht="12.5" x14ac:dyDescent="0.25">
      <c r="B14" s="150"/>
      <c r="C14" s="150"/>
      <c r="D14" s="150"/>
      <c r="E14" s="150"/>
      <c r="F14" s="150"/>
      <c r="G14" s="150"/>
      <c r="H14" s="150"/>
      <c r="I14" s="150"/>
      <c r="J14" s="150"/>
      <c r="K14" s="150"/>
      <c r="L14" s="150"/>
    </row>
    <row r="15" spans="2:25" s="50" customFormat="1" ht="13" x14ac:dyDescent="0.3">
      <c r="B15" s="49"/>
      <c r="C15" s="49"/>
      <c r="D15" s="49"/>
      <c r="E15" s="49"/>
      <c r="F15" s="49"/>
      <c r="G15" s="5"/>
      <c r="H15" s="49"/>
      <c r="I15" s="49"/>
      <c r="J15" s="49"/>
      <c r="K15" s="49"/>
      <c r="L15" s="49"/>
    </row>
    <row r="16" spans="2:25" s="53" customFormat="1" ht="14" x14ac:dyDescent="0.3">
      <c r="B16" s="149" t="s">
        <v>148</v>
      </c>
      <c r="C16" s="149"/>
      <c r="D16" s="149"/>
      <c r="E16" s="149"/>
      <c r="F16" s="149"/>
      <c r="G16" s="149"/>
      <c r="H16" s="149"/>
      <c r="I16" s="149"/>
      <c r="J16" s="149"/>
      <c r="K16" s="149"/>
      <c r="L16" s="149"/>
    </row>
    <row r="17" spans="2:12" s="50" customFormat="1" ht="12.5" x14ac:dyDescent="0.25">
      <c r="B17" s="150" t="s">
        <v>236</v>
      </c>
      <c r="C17" s="150"/>
      <c r="D17" s="150"/>
      <c r="E17" s="150"/>
      <c r="F17" s="150"/>
      <c r="G17" s="150"/>
      <c r="H17" s="150"/>
      <c r="I17" s="150"/>
      <c r="J17" s="150"/>
      <c r="K17" s="150"/>
      <c r="L17" s="150"/>
    </row>
    <row r="18" spans="2:12" s="50" customFormat="1" ht="12.5" x14ac:dyDescent="0.25">
      <c r="B18" s="150"/>
      <c r="C18" s="150"/>
      <c r="D18" s="150"/>
      <c r="E18" s="150"/>
      <c r="F18" s="150"/>
      <c r="G18" s="150"/>
      <c r="H18" s="150"/>
      <c r="I18" s="150"/>
      <c r="J18" s="150"/>
      <c r="K18" s="150"/>
      <c r="L18" s="150"/>
    </row>
    <row r="19" spans="2:12" s="50" customFormat="1" ht="12.5" x14ac:dyDescent="0.25">
      <c r="B19" s="150"/>
      <c r="C19" s="150"/>
      <c r="D19" s="150"/>
      <c r="E19" s="150"/>
      <c r="F19" s="150"/>
      <c r="G19" s="150"/>
      <c r="H19" s="150"/>
      <c r="I19" s="150"/>
      <c r="J19" s="150"/>
      <c r="K19" s="150"/>
      <c r="L19" s="150"/>
    </row>
    <row r="20" spans="2:12" s="50" customFormat="1" ht="13" x14ac:dyDescent="0.25">
      <c r="B20" s="150"/>
      <c r="C20" s="151"/>
      <c r="D20" s="151"/>
      <c r="E20" s="151"/>
      <c r="F20" s="151"/>
      <c r="G20" s="151"/>
      <c r="H20" s="151"/>
      <c r="I20" s="151"/>
      <c r="J20" s="151"/>
      <c r="K20" s="151"/>
      <c r="L20" s="151"/>
    </row>
    <row r="21" spans="2:12" s="53" customFormat="1" ht="14" x14ac:dyDescent="0.3">
      <c r="B21" s="149" t="s">
        <v>146</v>
      </c>
      <c r="C21" s="149"/>
      <c r="D21" s="149"/>
      <c r="E21" s="149"/>
      <c r="F21" s="149"/>
      <c r="G21" s="149"/>
      <c r="H21" s="149"/>
      <c r="I21" s="149"/>
      <c r="J21" s="149"/>
      <c r="K21" s="149"/>
      <c r="L21" s="149"/>
    </row>
    <row r="22" spans="2:12" s="53" customFormat="1" ht="13" x14ac:dyDescent="0.3">
      <c r="B22" s="150" t="s">
        <v>147</v>
      </c>
      <c r="C22" s="150"/>
      <c r="D22" s="150"/>
      <c r="E22" s="150"/>
      <c r="F22" s="150"/>
      <c r="G22" s="150"/>
      <c r="H22" s="150"/>
      <c r="I22" s="150"/>
      <c r="J22" s="150"/>
      <c r="K22" s="150"/>
      <c r="L22" s="150"/>
    </row>
    <row r="23" spans="2:12" s="50" customFormat="1" ht="12.5" x14ac:dyDescent="0.25">
      <c r="B23" s="150"/>
      <c r="C23" s="150"/>
      <c r="D23" s="150"/>
      <c r="E23" s="150"/>
      <c r="F23" s="150"/>
      <c r="G23" s="150"/>
      <c r="H23" s="150"/>
      <c r="I23" s="150"/>
      <c r="J23" s="150"/>
      <c r="K23" s="150"/>
      <c r="L23" s="150"/>
    </row>
    <row r="24" spans="2:12" s="50" customFormat="1" ht="13" x14ac:dyDescent="0.25">
      <c r="B24" s="150"/>
      <c r="C24" s="151"/>
      <c r="D24" s="151"/>
      <c r="E24" s="151"/>
      <c r="F24" s="151"/>
      <c r="G24" s="151"/>
      <c r="H24" s="151"/>
      <c r="I24" s="151"/>
      <c r="J24" s="151"/>
      <c r="K24" s="151"/>
      <c r="L24" s="151"/>
    </row>
    <row r="25" spans="2:12" s="53" customFormat="1" ht="14" x14ac:dyDescent="0.3">
      <c r="B25" s="149" t="s">
        <v>149</v>
      </c>
      <c r="C25" s="149"/>
      <c r="D25" s="149"/>
      <c r="E25" s="149"/>
      <c r="F25" s="149"/>
      <c r="G25" s="149"/>
      <c r="H25" s="149"/>
      <c r="I25" s="149"/>
      <c r="J25" s="149"/>
      <c r="K25" s="149"/>
      <c r="L25" s="149"/>
    </row>
    <row r="26" spans="2:12" s="50" customFormat="1" ht="13" x14ac:dyDescent="0.25">
      <c r="B26" s="150" t="s">
        <v>289</v>
      </c>
      <c r="C26" s="151"/>
      <c r="D26" s="151"/>
      <c r="E26" s="151"/>
      <c r="F26" s="151"/>
      <c r="G26" s="151"/>
      <c r="H26" s="151"/>
      <c r="I26" s="151"/>
      <c r="J26" s="151"/>
      <c r="K26" s="151"/>
      <c r="L26" s="151"/>
    </row>
    <row r="27" spans="2:12" s="50" customFormat="1" ht="13" x14ac:dyDescent="0.25">
      <c r="B27" s="150"/>
      <c r="C27" s="151"/>
      <c r="D27" s="151"/>
      <c r="E27" s="151"/>
      <c r="F27" s="151"/>
      <c r="G27" s="151"/>
      <c r="H27" s="151"/>
      <c r="I27" s="151"/>
      <c r="J27" s="151"/>
      <c r="K27" s="151"/>
      <c r="L27" s="151"/>
    </row>
    <row r="28" spans="2:12" s="53" customFormat="1" ht="14" x14ac:dyDescent="0.3">
      <c r="B28" s="149" t="s">
        <v>150</v>
      </c>
      <c r="C28" s="149"/>
      <c r="D28" s="149"/>
      <c r="E28" s="149"/>
      <c r="F28" s="149"/>
      <c r="G28" s="149"/>
      <c r="H28" s="149"/>
      <c r="I28" s="149"/>
      <c r="J28" s="149"/>
      <c r="K28" s="149"/>
      <c r="L28" s="149"/>
    </row>
    <row r="29" spans="2:12" s="50" customFormat="1" ht="12.5" x14ac:dyDescent="0.25">
      <c r="B29" s="150" t="s">
        <v>151</v>
      </c>
      <c r="C29" s="150"/>
      <c r="D29" s="150"/>
      <c r="E29" s="150"/>
      <c r="F29" s="150"/>
      <c r="G29" s="150"/>
      <c r="H29" s="150"/>
      <c r="I29" s="150"/>
      <c r="J29" s="150"/>
      <c r="K29" s="150"/>
      <c r="L29" s="150"/>
    </row>
    <row r="30" spans="2:12" x14ac:dyDescent="0.35">
      <c r="B30" s="155"/>
      <c r="C30" s="156"/>
      <c r="D30" s="156"/>
      <c r="E30" s="156"/>
      <c r="F30" s="156"/>
      <c r="G30" s="156"/>
      <c r="H30" s="156"/>
      <c r="I30" s="156"/>
      <c r="J30" s="156"/>
      <c r="K30" s="156"/>
      <c r="L30" s="156"/>
    </row>
    <row r="31" spans="2:12" ht="19" thickBot="1" x14ac:dyDescent="0.5">
      <c r="B31" s="158" t="s">
        <v>201</v>
      </c>
      <c r="C31" s="158"/>
      <c r="D31" s="158"/>
      <c r="E31" s="158"/>
      <c r="F31" s="158"/>
      <c r="G31" s="158"/>
      <c r="H31" s="158"/>
      <c r="I31" s="158"/>
      <c r="J31" s="158"/>
      <c r="K31" s="158"/>
      <c r="L31" s="158"/>
    </row>
    <row r="32" spans="2:12" s="53" customFormat="1" ht="14" x14ac:dyDescent="0.3">
      <c r="B32" s="149" t="s">
        <v>91</v>
      </c>
      <c r="C32" s="149"/>
      <c r="D32" s="149"/>
      <c r="E32" s="149"/>
      <c r="F32" s="149"/>
      <c r="G32" s="149"/>
      <c r="H32" s="149"/>
      <c r="I32" s="149"/>
      <c r="J32" s="149"/>
      <c r="K32" s="149"/>
      <c r="L32" s="149"/>
    </row>
    <row r="33" spans="2:12" s="50" customFormat="1" ht="13" x14ac:dyDescent="0.25">
      <c r="B33" s="150" t="s">
        <v>152</v>
      </c>
      <c r="C33" s="151"/>
      <c r="D33" s="157"/>
      <c r="E33" s="151"/>
      <c r="F33" s="151"/>
      <c r="G33" s="151"/>
      <c r="H33" s="151"/>
      <c r="I33" s="151"/>
      <c r="J33" s="151"/>
      <c r="K33" s="151"/>
      <c r="L33" s="151"/>
    </row>
    <row r="34" spans="2:12" s="50" customFormat="1" ht="13" x14ac:dyDescent="0.25">
      <c r="B34" s="150"/>
      <c r="C34" s="151"/>
      <c r="D34" s="157"/>
      <c r="E34" s="151"/>
      <c r="F34" s="151"/>
      <c r="G34" s="151"/>
      <c r="H34" s="151"/>
      <c r="I34" s="151"/>
      <c r="J34" s="151"/>
      <c r="K34" s="151"/>
      <c r="L34" s="151"/>
    </row>
    <row r="35" spans="2:12" s="53" customFormat="1" ht="14" x14ac:dyDescent="0.3">
      <c r="B35" s="149" t="s">
        <v>92</v>
      </c>
      <c r="C35" s="149"/>
      <c r="D35" s="149"/>
      <c r="E35" s="149"/>
      <c r="F35" s="149"/>
      <c r="G35" s="149"/>
      <c r="H35" s="149"/>
      <c r="I35" s="149"/>
      <c r="J35" s="149"/>
      <c r="K35" s="149"/>
      <c r="L35" s="149"/>
    </row>
    <row r="36" spans="2:12" s="53" customFormat="1" ht="13" x14ac:dyDescent="0.3">
      <c r="B36" s="150" t="s">
        <v>277</v>
      </c>
      <c r="C36" s="150"/>
      <c r="D36" s="150"/>
      <c r="E36" s="150"/>
      <c r="F36" s="150"/>
      <c r="G36" s="150"/>
      <c r="H36" s="150"/>
      <c r="I36" s="150"/>
      <c r="J36" s="150"/>
      <c r="K36" s="150"/>
      <c r="L36" s="150"/>
    </row>
    <row r="37" spans="2:12" s="53" customFormat="1" ht="13" x14ac:dyDescent="0.3">
      <c r="B37" s="150"/>
      <c r="C37" s="150"/>
      <c r="D37" s="150"/>
      <c r="E37" s="150"/>
      <c r="F37" s="150"/>
      <c r="G37" s="150"/>
      <c r="H37" s="150"/>
      <c r="I37" s="150"/>
      <c r="J37" s="150"/>
      <c r="K37" s="150"/>
      <c r="L37" s="150"/>
    </row>
    <row r="38" spans="2:12" s="53" customFormat="1" ht="13" x14ac:dyDescent="0.3">
      <c r="B38" s="150"/>
      <c r="C38" s="150"/>
      <c r="D38" s="150"/>
      <c r="E38" s="150"/>
      <c r="F38" s="150"/>
      <c r="G38" s="150"/>
      <c r="H38" s="150"/>
      <c r="I38" s="150"/>
      <c r="J38" s="150"/>
      <c r="K38" s="150"/>
      <c r="L38" s="150"/>
    </row>
    <row r="39" spans="2:12" s="53" customFormat="1" ht="13" x14ac:dyDescent="0.3">
      <c r="B39" s="150"/>
      <c r="C39" s="150"/>
      <c r="D39" s="150"/>
      <c r="E39" s="150"/>
      <c r="F39" s="150"/>
      <c r="G39" s="150"/>
      <c r="H39" s="150"/>
      <c r="I39" s="150"/>
      <c r="J39" s="150"/>
      <c r="K39" s="150"/>
      <c r="L39" s="150"/>
    </row>
    <row r="40" spans="2:12" s="50" customFormat="1" ht="13" x14ac:dyDescent="0.25">
      <c r="B40" s="150"/>
      <c r="C40" s="151"/>
      <c r="D40" s="151"/>
      <c r="E40" s="151"/>
      <c r="F40" s="151"/>
      <c r="G40" s="151"/>
      <c r="H40" s="151"/>
      <c r="I40" s="151"/>
      <c r="J40" s="151"/>
      <c r="K40" s="151"/>
      <c r="L40" s="151"/>
    </row>
    <row r="41" spans="2:12" s="53" customFormat="1" ht="14" x14ac:dyDescent="0.3">
      <c r="B41" s="149" t="s">
        <v>194</v>
      </c>
      <c r="C41" s="149"/>
      <c r="D41" s="149"/>
      <c r="E41" s="149"/>
      <c r="F41" s="149"/>
      <c r="G41" s="149"/>
      <c r="H41" s="149"/>
      <c r="I41" s="149"/>
      <c r="J41" s="149"/>
      <c r="K41" s="149"/>
      <c r="L41" s="149"/>
    </row>
    <row r="42" spans="2:12" s="53" customFormat="1" ht="13" x14ac:dyDescent="0.3">
      <c r="B42" s="150" t="s">
        <v>276</v>
      </c>
      <c r="C42" s="150"/>
      <c r="D42" s="150"/>
      <c r="E42" s="150"/>
      <c r="F42" s="150"/>
      <c r="G42" s="150"/>
      <c r="H42" s="150"/>
      <c r="I42" s="150"/>
      <c r="J42" s="150"/>
      <c r="K42" s="150"/>
      <c r="L42" s="150"/>
    </row>
    <row r="43" spans="2:12" s="50" customFormat="1" ht="12.5" x14ac:dyDescent="0.25">
      <c r="B43" s="150"/>
      <c r="C43" s="150"/>
      <c r="D43" s="150"/>
      <c r="E43" s="150"/>
      <c r="F43" s="150"/>
      <c r="G43" s="150"/>
      <c r="H43" s="150"/>
      <c r="I43" s="150"/>
      <c r="J43" s="150"/>
      <c r="K43" s="150"/>
      <c r="L43" s="150"/>
    </row>
    <row r="44" spans="2:12" s="50" customFormat="1" ht="13" x14ac:dyDescent="0.25">
      <c r="B44" s="150"/>
      <c r="C44" s="151"/>
      <c r="D44" s="151"/>
      <c r="E44" s="151"/>
      <c r="F44" s="151"/>
      <c r="G44" s="151"/>
      <c r="H44" s="151"/>
      <c r="I44" s="151"/>
      <c r="J44" s="151"/>
      <c r="K44" s="151"/>
      <c r="L44" s="151"/>
    </row>
    <row r="45" spans="2:12" s="53" customFormat="1" ht="14" x14ac:dyDescent="0.3">
      <c r="B45" s="149" t="s">
        <v>153</v>
      </c>
      <c r="C45" s="149"/>
      <c r="D45" s="149"/>
      <c r="E45" s="149"/>
      <c r="F45" s="149"/>
      <c r="G45" s="149"/>
      <c r="H45" s="149"/>
      <c r="I45" s="149"/>
      <c r="J45" s="149"/>
      <c r="K45" s="149"/>
      <c r="L45" s="149"/>
    </row>
    <row r="46" spans="2:12" s="53" customFormat="1" ht="13" x14ac:dyDescent="0.3">
      <c r="B46" s="150" t="s">
        <v>157</v>
      </c>
      <c r="C46" s="150"/>
      <c r="D46" s="150"/>
      <c r="E46" s="150"/>
      <c r="F46" s="150"/>
      <c r="G46" s="150"/>
      <c r="H46" s="150"/>
      <c r="I46" s="150"/>
      <c r="J46" s="150"/>
      <c r="K46" s="150"/>
      <c r="L46" s="150"/>
    </row>
    <row r="47" spans="2:12" s="50" customFormat="1" ht="12.5" x14ac:dyDescent="0.25">
      <c r="B47" s="150"/>
      <c r="C47" s="150"/>
      <c r="D47" s="150"/>
      <c r="E47" s="150"/>
      <c r="F47" s="150"/>
      <c r="G47" s="150"/>
      <c r="H47" s="150"/>
      <c r="I47" s="150"/>
      <c r="J47" s="150"/>
      <c r="K47" s="150"/>
      <c r="L47" s="150"/>
    </row>
    <row r="48" spans="2:12" s="50" customFormat="1" ht="13" x14ac:dyDescent="0.25">
      <c r="B48" s="150"/>
      <c r="C48" s="151"/>
      <c r="D48" s="151"/>
      <c r="E48" s="151"/>
      <c r="F48" s="151"/>
      <c r="G48" s="151"/>
      <c r="H48" s="151"/>
      <c r="I48" s="151"/>
      <c r="J48" s="151"/>
      <c r="K48" s="151"/>
      <c r="L48" s="151"/>
    </row>
    <row r="49" spans="2:12" s="53" customFormat="1" ht="14" x14ac:dyDescent="0.3">
      <c r="B49" s="149" t="s">
        <v>154</v>
      </c>
      <c r="C49" s="149"/>
      <c r="D49" s="149"/>
      <c r="E49" s="149"/>
      <c r="F49" s="149"/>
      <c r="G49" s="149"/>
      <c r="H49" s="149"/>
      <c r="I49" s="149"/>
      <c r="J49" s="149"/>
      <c r="K49" s="149"/>
      <c r="L49" s="149"/>
    </row>
    <row r="50" spans="2:12" s="53" customFormat="1" ht="13" x14ac:dyDescent="0.3">
      <c r="B50" s="150" t="s">
        <v>158</v>
      </c>
      <c r="C50" s="150"/>
      <c r="D50" s="150"/>
      <c r="E50" s="150"/>
      <c r="F50" s="150"/>
      <c r="G50" s="150"/>
      <c r="H50" s="150"/>
      <c r="I50" s="150"/>
      <c r="J50" s="150"/>
      <c r="K50" s="150"/>
      <c r="L50" s="150"/>
    </row>
    <row r="51" spans="2:12" s="50" customFormat="1" ht="12.5" x14ac:dyDescent="0.25">
      <c r="B51" s="150"/>
      <c r="C51" s="150"/>
      <c r="D51" s="150"/>
      <c r="E51" s="150"/>
      <c r="F51" s="150"/>
      <c r="G51" s="150"/>
      <c r="H51" s="150"/>
      <c r="I51" s="150"/>
      <c r="J51" s="150"/>
      <c r="K51" s="150"/>
      <c r="L51" s="150"/>
    </row>
    <row r="52" spans="2:12" s="50" customFormat="1" ht="13" x14ac:dyDescent="0.25">
      <c r="B52" s="150"/>
      <c r="C52" s="151"/>
      <c r="D52" s="151"/>
      <c r="E52" s="151"/>
      <c r="F52" s="151"/>
      <c r="G52" s="151"/>
      <c r="H52" s="151"/>
      <c r="I52" s="151"/>
      <c r="J52" s="151"/>
      <c r="K52" s="151"/>
      <c r="L52" s="151"/>
    </row>
    <row r="53" spans="2:12" s="53" customFormat="1" ht="14" x14ac:dyDescent="0.3">
      <c r="B53" s="149" t="s">
        <v>161</v>
      </c>
      <c r="C53" s="149"/>
      <c r="D53" s="149"/>
      <c r="E53" s="149"/>
      <c r="F53" s="149"/>
      <c r="G53" s="149"/>
      <c r="H53" s="149"/>
      <c r="I53" s="149"/>
      <c r="J53" s="149"/>
      <c r="K53" s="149"/>
      <c r="L53" s="149"/>
    </row>
    <row r="54" spans="2:12" s="53" customFormat="1" ht="13" x14ac:dyDescent="0.3">
      <c r="B54" s="150" t="s">
        <v>162</v>
      </c>
      <c r="C54" s="150"/>
      <c r="D54" s="150"/>
      <c r="E54" s="150"/>
      <c r="F54" s="150"/>
      <c r="G54" s="150"/>
      <c r="H54" s="150"/>
      <c r="I54" s="150"/>
      <c r="J54" s="150"/>
      <c r="K54" s="150"/>
      <c r="L54" s="150"/>
    </row>
    <row r="55" spans="2:12" s="50" customFormat="1" ht="12.5" x14ac:dyDescent="0.25">
      <c r="B55" s="150"/>
      <c r="C55" s="150"/>
      <c r="D55" s="150"/>
      <c r="E55" s="150"/>
      <c r="F55" s="150"/>
      <c r="G55" s="150"/>
      <c r="H55" s="150"/>
      <c r="I55" s="150"/>
      <c r="J55" s="150"/>
      <c r="K55" s="150"/>
      <c r="L55" s="150"/>
    </row>
    <row r="56" spans="2:12" s="50" customFormat="1" ht="13" x14ac:dyDescent="0.25">
      <c r="B56" s="150"/>
      <c r="C56" s="151"/>
      <c r="D56" s="151"/>
      <c r="E56" s="151"/>
      <c r="F56" s="151"/>
      <c r="G56" s="151"/>
      <c r="H56" s="151"/>
      <c r="I56" s="151"/>
      <c r="J56" s="151"/>
      <c r="K56" s="151"/>
      <c r="L56" s="151"/>
    </row>
    <row r="57" spans="2:12" s="53" customFormat="1" ht="14" x14ac:dyDescent="0.3">
      <c r="B57" s="149" t="s">
        <v>165</v>
      </c>
      <c r="C57" s="149"/>
      <c r="D57" s="149"/>
      <c r="E57" s="149"/>
      <c r="F57" s="149"/>
      <c r="G57" s="149"/>
      <c r="H57" s="149"/>
      <c r="I57" s="149"/>
      <c r="J57" s="149"/>
      <c r="K57" s="149"/>
      <c r="L57" s="149"/>
    </row>
    <row r="58" spans="2:12" s="53" customFormat="1" ht="13" x14ac:dyDescent="0.3">
      <c r="B58" s="150" t="s">
        <v>166</v>
      </c>
      <c r="C58" s="150"/>
      <c r="D58" s="150"/>
      <c r="E58" s="150"/>
      <c r="F58" s="150"/>
      <c r="G58" s="150"/>
      <c r="H58" s="150"/>
      <c r="I58" s="150"/>
      <c r="J58" s="150"/>
      <c r="K58" s="150"/>
      <c r="L58" s="150"/>
    </row>
    <row r="59" spans="2:12" s="50" customFormat="1" ht="12.5" x14ac:dyDescent="0.25">
      <c r="B59" s="150"/>
      <c r="C59" s="150"/>
      <c r="D59" s="150"/>
      <c r="E59" s="150"/>
      <c r="F59" s="150"/>
      <c r="G59" s="150"/>
      <c r="H59" s="150"/>
      <c r="I59" s="150"/>
      <c r="J59" s="150"/>
      <c r="K59" s="150"/>
      <c r="L59" s="150"/>
    </row>
    <row r="60" spans="2:12" s="50" customFormat="1" ht="13" x14ac:dyDescent="0.25">
      <c r="B60" s="150"/>
      <c r="C60" s="151"/>
      <c r="D60" s="151"/>
      <c r="E60" s="151"/>
      <c r="F60" s="151"/>
      <c r="G60" s="151"/>
      <c r="H60" s="151"/>
      <c r="I60" s="151"/>
      <c r="J60" s="151"/>
      <c r="K60" s="151"/>
      <c r="L60" s="151"/>
    </row>
    <row r="61" spans="2:12" s="53" customFormat="1" ht="14" x14ac:dyDescent="0.3">
      <c r="B61" s="149" t="s">
        <v>155</v>
      </c>
      <c r="C61" s="149"/>
      <c r="D61" s="149"/>
      <c r="E61" s="149"/>
      <c r="F61" s="149"/>
      <c r="G61" s="149"/>
      <c r="H61" s="149"/>
      <c r="I61" s="149"/>
      <c r="J61" s="149"/>
      <c r="K61" s="149"/>
      <c r="L61" s="149"/>
    </row>
    <row r="62" spans="2:12" s="50" customFormat="1" ht="12.5" x14ac:dyDescent="0.25">
      <c r="B62" s="150" t="s">
        <v>173</v>
      </c>
      <c r="C62" s="150"/>
      <c r="D62" s="150"/>
      <c r="E62" s="150"/>
      <c r="F62" s="150"/>
      <c r="G62" s="150"/>
      <c r="H62" s="150"/>
      <c r="I62" s="150"/>
      <c r="J62" s="150"/>
      <c r="K62" s="150"/>
      <c r="L62" s="150"/>
    </row>
    <row r="63" spans="2:12" s="50" customFormat="1" ht="12.5" x14ac:dyDescent="0.25">
      <c r="B63" s="150"/>
      <c r="C63" s="150"/>
      <c r="D63" s="150"/>
      <c r="E63" s="150"/>
      <c r="F63" s="150"/>
      <c r="G63" s="150"/>
      <c r="H63" s="150"/>
      <c r="I63" s="150"/>
      <c r="J63" s="150"/>
      <c r="K63" s="150"/>
      <c r="L63" s="150"/>
    </row>
    <row r="64" spans="2:12" s="50" customFormat="1" ht="13" x14ac:dyDescent="0.25">
      <c r="B64" s="150"/>
      <c r="C64" s="151"/>
      <c r="D64" s="151"/>
      <c r="E64" s="151"/>
      <c r="F64" s="151"/>
      <c r="G64" s="151"/>
      <c r="H64" s="151"/>
      <c r="I64" s="151"/>
      <c r="J64" s="151"/>
      <c r="K64" s="151"/>
      <c r="L64" s="151"/>
    </row>
    <row r="65" spans="2:12" s="53" customFormat="1" ht="14" x14ac:dyDescent="0.3">
      <c r="B65" s="149" t="s">
        <v>167</v>
      </c>
      <c r="C65" s="149"/>
      <c r="D65" s="149"/>
      <c r="E65" s="149"/>
      <c r="F65" s="149"/>
      <c r="G65" s="149"/>
      <c r="H65" s="149"/>
      <c r="I65" s="149"/>
      <c r="J65" s="149"/>
      <c r="K65" s="149"/>
      <c r="L65" s="149"/>
    </row>
    <row r="66" spans="2:12" s="50" customFormat="1" ht="12.5" x14ac:dyDescent="0.25">
      <c r="B66" s="150" t="s">
        <v>168</v>
      </c>
      <c r="C66" s="150"/>
      <c r="D66" s="150"/>
      <c r="E66" s="150"/>
      <c r="F66" s="150"/>
      <c r="G66" s="150"/>
      <c r="H66" s="150"/>
      <c r="I66" s="150"/>
      <c r="J66" s="150"/>
      <c r="K66" s="150"/>
      <c r="L66" s="150"/>
    </row>
    <row r="67" spans="2:12" s="50" customFormat="1" ht="12.5" x14ac:dyDescent="0.25">
      <c r="B67" s="150"/>
      <c r="C67" s="150"/>
      <c r="D67" s="150"/>
      <c r="E67" s="150"/>
      <c r="F67" s="150"/>
      <c r="G67" s="150"/>
      <c r="H67" s="150"/>
      <c r="I67" s="150"/>
      <c r="J67" s="150"/>
      <c r="K67" s="150"/>
      <c r="L67" s="150"/>
    </row>
    <row r="68" spans="2:12" s="50" customFormat="1" ht="12.5" x14ac:dyDescent="0.25">
      <c r="B68" s="150"/>
      <c r="C68" s="150"/>
      <c r="D68" s="150"/>
      <c r="E68" s="150"/>
      <c r="F68" s="150"/>
      <c r="G68" s="150"/>
      <c r="H68" s="150"/>
      <c r="I68" s="150"/>
      <c r="J68" s="150"/>
      <c r="K68" s="150"/>
      <c r="L68" s="150"/>
    </row>
    <row r="69" spans="2:12" s="50" customFormat="1" ht="12.5" x14ac:dyDescent="0.25">
      <c r="B69" s="150"/>
      <c r="C69" s="150"/>
      <c r="D69" s="150"/>
      <c r="E69" s="150"/>
      <c r="F69" s="150"/>
      <c r="G69" s="150"/>
      <c r="H69" s="150"/>
      <c r="I69" s="150"/>
      <c r="J69" s="150"/>
      <c r="K69" s="150"/>
      <c r="L69" s="150"/>
    </row>
    <row r="70" spans="2:12" s="50" customFormat="1" ht="13" x14ac:dyDescent="0.25">
      <c r="B70" s="150"/>
      <c r="C70" s="151"/>
      <c r="D70" s="151"/>
      <c r="E70" s="151"/>
      <c r="F70" s="151"/>
      <c r="G70" s="151"/>
      <c r="H70" s="151"/>
      <c r="I70" s="151"/>
      <c r="J70" s="151"/>
      <c r="K70" s="151"/>
      <c r="L70" s="151"/>
    </row>
    <row r="71" spans="2:12" s="53" customFormat="1" ht="14" x14ac:dyDescent="0.3">
      <c r="B71" s="149" t="s">
        <v>156</v>
      </c>
      <c r="C71" s="149"/>
      <c r="D71" s="149"/>
      <c r="E71" s="149"/>
      <c r="F71" s="149"/>
      <c r="G71" s="149"/>
      <c r="H71" s="149"/>
      <c r="I71" s="149"/>
      <c r="J71" s="149"/>
      <c r="K71" s="149"/>
      <c r="L71" s="149"/>
    </row>
    <row r="72" spans="2:12" s="50" customFormat="1" ht="12.5" x14ac:dyDescent="0.25">
      <c r="B72" s="150" t="s">
        <v>169</v>
      </c>
      <c r="C72" s="150"/>
      <c r="D72" s="150"/>
      <c r="E72" s="150"/>
      <c r="F72" s="150"/>
      <c r="G72" s="150"/>
      <c r="H72" s="150"/>
      <c r="I72" s="150"/>
      <c r="J72" s="150"/>
      <c r="K72" s="150"/>
      <c r="L72" s="150"/>
    </row>
    <row r="73" spans="2:12" s="50" customFormat="1" ht="12.5" x14ac:dyDescent="0.25">
      <c r="B73" s="150"/>
      <c r="C73" s="150"/>
      <c r="D73" s="150"/>
      <c r="E73" s="150"/>
      <c r="F73" s="150"/>
      <c r="G73" s="150"/>
      <c r="H73" s="150"/>
      <c r="I73" s="150"/>
      <c r="J73" s="150"/>
      <c r="K73" s="150"/>
      <c r="L73" s="150"/>
    </row>
    <row r="74" spans="2:12" s="50" customFormat="1" ht="13" x14ac:dyDescent="0.25">
      <c r="B74" s="150"/>
      <c r="C74" s="151"/>
      <c r="D74" s="151"/>
      <c r="E74" s="151"/>
      <c r="F74" s="151"/>
      <c r="G74" s="151"/>
      <c r="H74" s="151"/>
      <c r="I74" s="151"/>
      <c r="J74" s="151"/>
      <c r="K74" s="151"/>
      <c r="L74" s="151"/>
    </row>
    <row r="75" spans="2:12" s="53" customFormat="1" ht="14" x14ac:dyDescent="0.3">
      <c r="B75" s="149" t="s">
        <v>72</v>
      </c>
      <c r="C75" s="149"/>
      <c r="D75" s="149"/>
      <c r="E75" s="149"/>
      <c r="F75" s="149"/>
      <c r="G75" s="149"/>
      <c r="H75" s="149"/>
      <c r="I75" s="149"/>
      <c r="J75" s="149"/>
      <c r="K75" s="149"/>
      <c r="L75" s="149"/>
    </row>
    <row r="76" spans="2:12" s="53" customFormat="1" ht="13" x14ac:dyDescent="0.3">
      <c r="B76" s="150" t="s">
        <v>159</v>
      </c>
      <c r="C76" s="150"/>
      <c r="D76" s="150"/>
      <c r="E76" s="150"/>
      <c r="F76" s="150"/>
      <c r="G76" s="150"/>
      <c r="H76" s="150"/>
      <c r="I76" s="150"/>
      <c r="J76" s="150"/>
      <c r="K76" s="150"/>
      <c r="L76" s="150"/>
    </row>
    <row r="77" spans="2:12" s="50" customFormat="1" ht="12.5" x14ac:dyDescent="0.25">
      <c r="B77" s="150"/>
      <c r="C77" s="150"/>
      <c r="D77" s="150"/>
      <c r="E77" s="150"/>
      <c r="F77" s="150"/>
      <c r="G77" s="150"/>
      <c r="H77" s="150"/>
      <c r="I77" s="150"/>
      <c r="J77" s="150"/>
      <c r="K77" s="150"/>
      <c r="L77" s="150"/>
    </row>
    <row r="78" spans="2:12" s="50" customFormat="1" ht="13" x14ac:dyDescent="0.25">
      <c r="B78" s="150"/>
      <c r="C78" s="151"/>
      <c r="D78" s="151"/>
      <c r="E78" s="151"/>
      <c r="F78" s="151"/>
      <c r="G78" s="151"/>
      <c r="H78" s="151"/>
      <c r="I78" s="151"/>
      <c r="J78" s="151"/>
      <c r="K78" s="151"/>
      <c r="L78" s="151"/>
    </row>
    <row r="79" spans="2:12" s="53" customFormat="1" ht="14" x14ac:dyDescent="0.3">
      <c r="B79" s="149" t="s">
        <v>73</v>
      </c>
      <c r="C79" s="149"/>
      <c r="D79" s="149"/>
      <c r="E79" s="149"/>
      <c r="F79" s="149"/>
      <c r="G79" s="149"/>
      <c r="H79" s="149"/>
      <c r="I79" s="149"/>
      <c r="J79" s="149"/>
      <c r="K79" s="149"/>
      <c r="L79" s="149"/>
    </row>
    <row r="80" spans="2:12" s="53" customFormat="1" ht="13" x14ac:dyDescent="0.3">
      <c r="B80" s="150" t="s">
        <v>160</v>
      </c>
      <c r="C80" s="150"/>
      <c r="D80" s="150"/>
      <c r="E80" s="150"/>
      <c r="F80" s="150"/>
      <c r="G80" s="150"/>
      <c r="H80" s="150"/>
      <c r="I80" s="150"/>
      <c r="J80" s="150"/>
      <c r="K80" s="150"/>
      <c r="L80" s="150"/>
    </row>
    <row r="81" spans="2:12" s="50" customFormat="1" ht="12.5" x14ac:dyDescent="0.25">
      <c r="B81" s="150"/>
      <c r="C81" s="150"/>
      <c r="D81" s="150"/>
      <c r="E81" s="150"/>
      <c r="F81" s="150"/>
      <c r="G81" s="150"/>
      <c r="H81" s="150"/>
      <c r="I81" s="150"/>
      <c r="J81" s="150"/>
      <c r="K81" s="150"/>
      <c r="L81" s="150"/>
    </row>
    <row r="82" spans="2:12" x14ac:dyDescent="0.35">
      <c r="B82" s="155"/>
      <c r="C82" s="156"/>
      <c r="D82" s="156"/>
      <c r="E82" s="156"/>
      <c r="F82" s="156"/>
      <c r="G82" s="156"/>
      <c r="H82" s="156"/>
      <c r="I82" s="156"/>
      <c r="J82" s="156"/>
      <c r="K82" s="156"/>
      <c r="L82" s="156"/>
    </row>
    <row r="95" spans="2:12" x14ac:dyDescent="0.35">
      <c r="B95" s="41"/>
      <c r="C95" s="41"/>
    </row>
  </sheetData>
  <mergeCells count="58">
    <mergeCell ref="B58:L59"/>
    <mergeCell ref="B66:L69"/>
    <mergeCell ref="B62:L63"/>
    <mergeCell ref="B72:L73"/>
    <mergeCell ref="B76:L77"/>
    <mergeCell ref="B61:L61"/>
    <mergeCell ref="B64:L64"/>
    <mergeCell ref="B60:L60"/>
    <mergeCell ref="B65:L65"/>
    <mergeCell ref="B70:L70"/>
    <mergeCell ref="B71:L71"/>
    <mergeCell ref="B30:L30"/>
    <mergeCell ref="B34:L34"/>
    <mergeCell ref="B10:L10"/>
    <mergeCell ref="B11:L11"/>
    <mergeCell ref="B24:L24"/>
    <mergeCell ref="B27:L27"/>
    <mergeCell ref="B16:L16"/>
    <mergeCell ref="B25:L25"/>
    <mergeCell ref="B12:L14"/>
    <mergeCell ref="B17:L19"/>
    <mergeCell ref="B22:L23"/>
    <mergeCell ref="B31:L31"/>
    <mergeCell ref="B26:L26"/>
    <mergeCell ref="B28:L28"/>
    <mergeCell ref="B29:L29"/>
    <mergeCell ref="B33:L33"/>
    <mergeCell ref="B32:L32"/>
    <mergeCell ref="B35:L35"/>
    <mergeCell ref="B45:L45"/>
    <mergeCell ref="B49:L49"/>
    <mergeCell ref="B53:L53"/>
    <mergeCell ref="B36:L39"/>
    <mergeCell ref="B46:L47"/>
    <mergeCell ref="B50:L51"/>
    <mergeCell ref="B42:L43"/>
    <mergeCell ref="B57:L57"/>
    <mergeCell ref="B48:L48"/>
    <mergeCell ref="B52:L52"/>
    <mergeCell ref="B40:L40"/>
    <mergeCell ref="B41:L41"/>
    <mergeCell ref="B44:L44"/>
    <mergeCell ref="B56:L56"/>
    <mergeCell ref="B54:L55"/>
    <mergeCell ref="B82:L82"/>
    <mergeCell ref="B74:L74"/>
    <mergeCell ref="B75:L75"/>
    <mergeCell ref="B78:L78"/>
    <mergeCell ref="B79:L79"/>
    <mergeCell ref="B80:L81"/>
    <mergeCell ref="B5:L5"/>
    <mergeCell ref="B6:L6"/>
    <mergeCell ref="B9:L9"/>
    <mergeCell ref="B21:L21"/>
    <mergeCell ref="B20:L20"/>
    <mergeCell ref="B8:L8"/>
    <mergeCell ref="B7:F7"/>
    <mergeCell ref="H7:L7"/>
  </mergeCells>
  <hyperlinks>
    <hyperlink ref="H7" r:id="rId1"/>
    <hyperlink ref="B8:L8" r:id="rId2" display="https://www.pca.state.mn.us/smallbizhelp"/>
  </hyperlinks>
  <pageMargins left="0.7" right="0.7" top="0.75" bottom="0.75" header="0.3" footer="0.3"/>
  <pageSetup fitToHeight="0" orientation="landscape" r:id="rId3"/>
  <headerFooter>
    <oddFooter>&amp;L&amp;"Arial,Italic"&amp;8p-sbap5-35&amp;C&amp;"Arial,Italic"&amp;8https://www.pca.state.mn.us  •  Available in alternative formats  
•  651-296-6300  •  800-657-3864  •  Use your preferred relay service&amp;R&amp;"Arial,Italic"&amp;8Page &amp;P of &amp;N</oddFooter>
  </headerFooter>
  <rowBreaks count="1" manualBreakCount="1">
    <brk id="30" min="1" max="11" man="1"/>
  </rowBreaks>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rgb="FFD1EAFF"/>
    <pageSetUpPr fitToPage="1"/>
  </sheetPr>
  <dimension ref="B1:W125"/>
  <sheetViews>
    <sheetView showGridLines="0" zoomScaleNormal="100" workbookViewId="0">
      <selection activeCell="D5" sqref="D5:J5"/>
    </sheetView>
  </sheetViews>
  <sheetFormatPr defaultColWidth="9.1796875" defaultRowHeight="14.5" x14ac:dyDescent="0.35"/>
  <cols>
    <col min="1" max="1" width="3.54296875" customWidth="1"/>
    <col min="2" max="12" width="11" customWidth="1"/>
    <col min="13" max="13" width="21.7265625" customWidth="1"/>
  </cols>
  <sheetData>
    <row r="1" spans="2:23" x14ac:dyDescent="0.35">
      <c r="L1" s="104" t="str">
        <f>'Read me (instructions)'!L3</f>
        <v>p-sbap5-35 • 3/29/21</v>
      </c>
    </row>
    <row r="2" spans="2:23" s="44" customFormat="1" ht="19" thickBot="1" x14ac:dyDescent="0.5">
      <c r="B2" s="212" t="s">
        <v>296</v>
      </c>
      <c r="C2" s="212"/>
      <c r="D2" s="212"/>
      <c r="E2" s="212"/>
      <c r="F2" s="212"/>
      <c r="G2" s="212"/>
      <c r="H2" s="212"/>
      <c r="I2" s="212"/>
      <c r="J2" s="212"/>
      <c r="K2" s="212"/>
      <c r="L2" s="212"/>
      <c r="M2" s="46"/>
      <c r="N2" s="46"/>
      <c r="O2" s="46"/>
      <c r="P2" s="46"/>
      <c r="Q2" s="46"/>
      <c r="R2" s="46"/>
      <c r="S2" s="46"/>
      <c r="T2" s="46"/>
      <c r="U2" s="46"/>
      <c r="V2" s="46"/>
      <c r="W2" s="46"/>
    </row>
    <row r="3" spans="2:23" s="44" customFormat="1" ht="15" customHeight="1" x14ac:dyDescent="0.45">
      <c r="B3" s="47"/>
      <c r="C3" s="47"/>
      <c r="D3" s="47"/>
      <c r="E3" s="47"/>
      <c r="F3" s="47"/>
      <c r="G3" s="47"/>
      <c r="H3" s="47"/>
      <c r="I3" s="47"/>
      <c r="J3" s="47"/>
      <c r="K3" s="47"/>
      <c r="L3" s="47"/>
      <c r="M3" s="46"/>
      <c r="N3" s="46"/>
      <c r="O3" s="46"/>
      <c r="P3" s="46"/>
      <c r="Q3" s="46"/>
      <c r="R3" s="46"/>
      <c r="S3" s="46"/>
      <c r="T3" s="46"/>
      <c r="U3" s="46"/>
      <c r="V3" s="46"/>
      <c r="W3" s="46"/>
    </row>
    <row r="4" spans="2:23" x14ac:dyDescent="0.35">
      <c r="B4" s="6"/>
      <c r="C4" s="6"/>
      <c r="D4" s="174" t="s">
        <v>93</v>
      </c>
      <c r="E4" s="174"/>
      <c r="F4" s="174"/>
      <c r="G4" s="3"/>
      <c r="H4" s="3"/>
      <c r="I4" s="3"/>
      <c r="J4" s="3"/>
      <c r="K4" s="3"/>
      <c r="L4" s="3"/>
    </row>
    <row r="5" spans="2:23" s="112" customFormat="1" ht="13" x14ac:dyDescent="0.3">
      <c r="B5" s="175" t="s">
        <v>202</v>
      </c>
      <c r="C5" s="175"/>
      <c r="D5" s="168" t="s">
        <v>177</v>
      </c>
      <c r="E5" s="168"/>
      <c r="F5" s="168"/>
      <c r="G5" s="168"/>
      <c r="H5" s="168"/>
      <c r="I5" s="168"/>
      <c r="J5" s="168"/>
      <c r="K5" s="49"/>
      <c r="L5" s="49"/>
    </row>
    <row r="6" spans="2:23" s="112" customFormat="1" ht="13" x14ac:dyDescent="0.3">
      <c r="B6" s="175" t="s">
        <v>203</v>
      </c>
      <c r="C6" s="175"/>
      <c r="D6" s="169" t="s">
        <v>98</v>
      </c>
      <c r="E6" s="169"/>
      <c r="F6" s="169"/>
      <c r="G6" s="169"/>
      <c r="H6" s="169"/>
      <c r="I6" s="169"/>
      <c r="J6" s="169"/>
      <c r="K6" s="49"/>
      <c r="L6" s="49"/>
    </row>
    <row r="7" spans="2:23" x14ac:dyDescent="0.35">
      <c r="B7" s="3"/>
      <c r="C7" s="3"/>
      <c r="D7" s="3"/>
      <c r="E7" s="3"/>
      <c r="F7" s="3"/>
      <c r="G7" s="6"/>
      <c r="H7" s="6"/>
      <c r="I7" s="6"/>
      <c r="J7" s="3"/>
      <c r="K7" s="3"/>
      <c r="L7" s="3"/>
    </row>
    <row r="8" spans="2:23" x14ac:dyDescent="0.35">
      <c r="C8" s="3"/>
      <c r="D8" s="176" t="s">
        <v>204</v>
      </c>
      <c r="E8" s="176"/>
      <c r="F8" s="176"/>
      <c r="G8" s="176"/>
      <c r="H8" s="176"/>
      <c r="I8" s="176"/>
      <c r="J8" s="3"/>
      <c r="K8" s="3"/>
      <c r="L8" s="3"/>
    </row>
    <row r="9" spans="2:23" s="112" customFormat="1" ht="13" x14ac:dyDescent="0.3">
      <c r="B9" s="175" t="s">
        <v>178</v>
      </c>
      <c r="C9" s="175"/>
      <c r="D9" s="171"/>
      <c r="E9" s="172"/>
      <c r="F9" s="172"/>
      <c r="G9" s="172"/>
      <c r="H9" s="172"/>
      <c r="I9" s="172"/>
      <c r="J9" s="173"/>
      <c r="K9" s="49"/>
      <c r="L9" s="49"/>
    </row>
    <row r="10" spans="2:23" s="112" customFormat="1" ht="13" x14ac:dyDescent="0.3">
      <c r="B10" s="175" t="s">
        <v>205</v>
      </c>
      <c r="C10" s="175"/>
      <c r="D10" s="171"/>
      <c r="E10" s="172"/>
      <c r="F10" s="172"/>
      <c r="G10" s="172"/>
      <c r="H10" s="172"/>
      <c r="I10" s="172"/>
      <c r="J10" s="173"/>
      <c r="K10" s="49"/>
      <c r="L10" s="49"/>
    </row>
    <row r="11" spans="2:23" s="112" customFormat="1" ht="13" x14ac:dyDescent="0.3">
      <c r="B11" s="175" t="s">
        <v>206</v>
      </c>
      <c r="C11" s="175"/>
      <c r="D11" s="171"/>
      <c r="E11" s="172"/>
      <c r="F11" s="172"/>
      <c r="G11" s="172"/>
      <c r="H11" s="172"/>
      <c r="I11" s="172"/>
      <c r="J11" s="173"/>
      <c r="K11" s="49"/>
      <c r="L11" s="49"/>
    </row>
    <row r="12" spans="2:23" x14ac:dyDescent="0.35">
      <c r="B12" s="3"/>
      <c r="C12" s="3"/>
      <c r="D12" s="3"/>
      <c r="E12" s="3"/>
      <c r="F12" s="3"/>
      <c r="G12" s="3"/>
      <c r="H12" s="3"/>
      <c r="I12" s="3"/>
      <c r="J12" s="3"/>
      <c r="K12" s="3"/>
      <c r="L12" s="3"/>
    </row>
    <row r="13" spans="2:23" x14ac:dyDescent="0.35">
      <c r="B13" s="149" t="s">
        <v>207</v>
      </c>
      <c r="C13" s="149"/>
      <c r="D13" s="149"/>
      <c r="E13" s="149"/>
      <c r="F13" s="149"/>
      <c r="G13" s="149"/>
      <c r="H13" s="149"/>
      <c r="I13" s="149"/>
      <c r="J13" s="149"/>
      <c r="K13" s="149"/>
      <c r="L13" s="149"/>
    </row>
    <row r="14" spans="2:23" ht="15.75" customHeight="1" x14ac:dyDescent="0.35">
      <c r="B14" s="150" t="s">
        <v>140</v>
      </c>
      <c r="C14" s="150"/>
      <c r="D14" s="150"/>
      <c r="E14" s="150"/>
      <c r="F14" s="150"/>
      <c r="G14" s="150"/>
      <c r="H14" s="150"/>
      <c r="I14" s="150"/>
      <c r="J14" s="150"/>
      <c r="K14" s="150"/>
      <c r="L14" s="150"/>
    </row>
    <row r="15" spans="2:23" ht="15.75" customHeight="1" x14ac:dyDescent="0.35">
      <c r="B15" s="150"/>
      <c r="C15" s="150"/>
      <c r="D15" s="150"/>
      <c r="E15" s="150"/>
      <c r="F15" s="150"/>
      <c r="G15" s="150"/>
      <c r="H15" s="150"/>
      <c r="I15" s="150"/>
      <c r="J15" s="150"/>
      <c r="K15" s="150"/>
      <c r="L15" s="150"/>
    </row>
    <row r="16" spans="2:23" s="112" customFormat="1" ht="13" x14ac:dyDescent="0.3">
      <c r="B16" s="150"/>
      <c r="C16" s="150"/>
      <c r="D16" s="150"/>
      <c r="E16" s="150"/>
      <c r="F16" s="150"/>
      <c r="G16" s="150"/>
      <c r="H16" s="150"/>
      <c r="I16" s="150"/>
      <c r="J16" s="150"/>
      <c r="K16" s="150"/>
      <c r="L16" s="150"/>
    </row>
    <row r="17" spans="2:13" s="112" customFormat="1" ht="13" x14ac:dyDescent="0.3">
      <c r="B17" s="109"/>
      <c r="C17" s="110"/>
      <c r="D17" s="110"/>
      <c r="E17" s="110"/>
      <c r="F17" s="110"/>
      <c r="G17" s="110"/>
      <c r="H17" s="110"/>
      <c r="I17" s="110"/>
      <c r="J17" s="110"/>
      <c r="K17" s="110"/>
      <c r="L17" s="110"/>
    </row>
    <row r="18" spans="2:13" s="112" customFormat="1" ht="15" customHeight="1" x14ac:dyDescent="0.3">
      <c r="B18" s="150" t="s">
        <v>174</v>
      </c>
      <c r="C18" s="150"/>
      <c r="D18" s="150"/>
      <c r="E18" s="150"/>
      <c r="F18" s="150"/>
      <c r="G18" s="150"/>
      <c r="H18" s="150"/>
      <c r="I18" s="150"/>
      <c r="J18" s="150"/>
      <c r="K18" s="150"/>
      <c r="L18" s="150"/>
    </row>
    <row r="19" spans="2:13" s="112" customFormat="1" ht="13" x14ac:dyDescent="0.3">
      <c r="B19" s="150"/>
      <c r="C19" s="150"/>
      <c r="D19" s="150"/>
      <c r="E19" s="150"/>
      <c r="F19" s="150"/>
      <c r="G19" s="150"/>
      <c r="H19" s="150"/>
      <c r="I19" s="150"/>
      <c r="J19" s="150"/>
      <c r="K19" s="150"/>
      <c r="L19" s="150"/>
    </row>
    <row r="20" spans="2:13" s="112" customFormat="1" ht="13" x14ac:dyDescent="0.3">
      <c r="B20" s="150"/>
      <c r="C20" s="150"/>
      <c r="D20" s="150"/>
      <c r="E20" s="150"/>
      <c r="F20" s="150"/>
      <c r="G20" s="150"/>
      <c r="H20" s="150"/>
      <c r="I20" s="150"/>
      <c r="J20" s="150"/>
      <c r="K20" s="150"/>
      <c r="L20" s="150"/>
    </row>
    <row r="21" spans="2:13" s="112" customFormat="1" ht="13" x14ac:dyDescent="0.3">
      <c r="B21" s="150"/>
      <c r="C21" s="150"/>
      <c r="D21" s="150"/>
      <c r="E21" s="150"/>
      <c r="F21" s="150"/>
      <c r="G21" s="150"/>
      <c r="H21" s="150"/>
      <c r="I21" s="150"/>
      <c r="J21" s="150"/>
      <c r="K21" s="150"/>
      <c r="L21" s="150"/>
    </row>
    <row r="22" spans="2:13" x14ac:dyDescent="0.35">
      <c r="B22" s="170"/>
      <c r="C22" s="170"/>
      <c r="D22" s="170"/>
      <c r="E22" s="170"/>
      <c r="F22" s="170"/>
      <c r="G22" s="170"/>
      <c r="H22" s="170"/>
      <c r="I22" s="170"/>
      <c r="J22" s="170"/>
      <c r="K22" s="170"/>
      <c r="L22" s="170"/>
    </row>
    <row r="23" spans="2:13" ht="30" customHeight="1" x14ac:dyDescent="0.35">
      <c r="B23" s="159" t="s">
        <v>97</v>
      </c>
      <c r="C23" s="160"/>
      <c r="D23" s="161" t="s">
        <v>297</v>
      </c>
      <c r="E23" s="162"/>
      <c r="F23" s="160"/>
      <c r="G23" s="161" t="s">
        <v>208</v>
      </c>
      <c r="H23" s="177"/>
      <c r="I23" s="178"/>
      <c r="J23" s="224" t="s">
        <v>282</v>
      </c>
      <c r="K23" s="224"/>
      <c r="L23" s="224"/>
    </row>
    <row r="24" spans="2:13" ht="37.5" customHeight="1" x14ac:dyDescent="0.35">
      <c r="B24" s="163" t="s">
        <v>240</v>
      </c>
      <c r="C24" s="164"/>
      <c r="D24" s="165" t="s">
        <v>180</v>
      </c>
      <c r="E24" s="166"/>
      <c r="F24" s="167"/>
      <c r="G24" s="179"/>
      <c r="H24" s="180"/>
      <c r="I24" s="180"/>
      <c r="J24" s="181" t="s">
        <v>291</v>
      </c>
      <c r="K24" s="181"/>
      <c r="L24" s="181"/>
      <c r="M24" s="105" t="str">
        <f>IF(B24="Yes","Enter total BTU 
in Step 2 below"," ")</f>
        <v xml:space="preserve"> </v>
      </c>
    </row>
    <row r="25" spans="2:13" ht="37.5" customHeight="1" x14ac:dyDescent="0.35">
      <c r="B25" s="163" t="s">
        <v>240</v>
      </c>
      <c r="C25" s="164"/>
      <c r="D25" s="165" t="s">
        <v>196</v>
      </c>
      <c r="E25" s="166"/>
      <c r="F25" s="167"/>
      <c r="G25" s="179"/>
      <c r="H25" s="180"/>
      <c r="I25" s="180"/>
      <c r="J25" s="181" t="s">
        <v>292</v>
      </c>
      <c r="K25" s="181"/>
      <c r="L25" s="181"/>
      <c r="M25" s="105" t="str">
        <f>IF(B25="Yes","Enter total BTU 
in Step 2 below"," ")</f>
        <v xml:space="preserve"> </v>
      </c>
    </row>
    <row r="26" spans="2:13" ht="37.5" customHeight="1" x14ac:dyDescent="0.35">
      <c r="B26" s="163" t="s">
        <v>240</v>
      </c>
      <c r="C26" s="164"/>
      <c r="D26" s="165" t="s">
        <v>181</v>
      </c>
      <c r="E26" s="166"/>
      <c r="F26" s="167"/>
      <c r="G26" s="179"/>
      <c r="H26" s="180"/>
      <c r="I26" s="180"/>
      <c r="J26" s="181" t="s">
        <v>293</v>
      </c>
      <c r="K26" s="181"/>
      <c r="L26" s="181"/>
      <c r="M26" s="45"/>
    </row>
    <row r="27" spans="2:13" ht="37.5" customHeight="1" x14ac:dyDescent="0.35">
      <c r="B27" s="163" t="s">
        <v>240</v>
      </c>
      <c r="C27" s="164"/>
      <c r="D27" s="165" t="s">
        <v>182</v>
      </c>
      <c r="E27" s="166"/>
      <c r="F27" s="167"/>
      <c r="G27" s="179"/>
      <c r="H27" s="180"/>
      <c r="I27" s="180"/>
      <c r="J27" s="181" t="s">
        <v>293</v>
      </c>
      <c r="K27" s="181"/>
      <c r="L27" s="181"/>
      <c r="M27" s="45"/>
    </row>
    <row r="28" spans="2:13" ht="37.5" customHeight="1" x14ac:dyDescent="0.35">
      <c r="B28" s="163" t="s">
        <v>240</v>
      </c>
      <c r="C28" s="164"/>
      <c r="D28" s="165" t="s">
        <v>183</v>
      </c>
      <c r="E28" s="166"/>
      <c r="F28" s="167"/>
      <c r="G28" s="179"/>
      <c r="H28" s="180"/>
      <c r="I28" s="180"/>
      <c r="J28" s="181" t="s">
        <v>294</v>
      </c>
      <c r="K28" s="181"/>
      <c r="L28" s="181"/>
      <c r="M28" s="45"/>
    </row>
    <row r="29" spans="2:13" ht="37.5" customHeight="1" x14ac:dyDescent="0.35">
      <c r="B29" s="163" t="s">
        <v>240</v>
      </c>
      <c r="C29" s="164"/>
      <c r="D29" s="165" t="s">
        <v>179</v>
      </c>
      <c r="E29" s="166"/>
      <c r="F29" s="167"/>
      <c r="G29" s="179"/>
      <c r="H29" s="180"/>
      <c r="I29" s="180"/>
      <c r="J29" s="181" t="s">
        <v>279</v>
      </c>
      <c r="K29" s="181"/>
      <c r="L29" s="181"/>
      <c r="M29" s="45"/>
    </row>
    <row r="30" spans="2:13" ht="37.5" customHeight="1" x14ac:dyDescent="0.35">
      <c r="B30" s="163" t="s">
        <v>240</v>
      </c>
      <c r="C30" s="164"/>
      <c r="D30" s="165" t="s">
        <v>184</v>
      </c>
      <c r="E30" s="166"/>
      <c r="F30" s="167"/>
      <c r="G30" s="179"/>
      <c r="H30" s="180"/>
      <c r="I30" s="180"/>
      <c r="J30" s="181" t="s">
        <v>279</v>
      </c>
      <c r="K30" s="181"/>
      <c r="L30" s="181"/>
      <c r="M30" s="105" t="str">
        <f>IF(B30="Yes","Enter number of units
in Step 2 below","")</f>
        <v/>
      </c>
    </row>
    <row r="31" spans="2:13" ht="45" customHeight="1" x14ac:dyDescent="0.35">
      <c r="B31" s="163" t="s">
        <v>240</v>
      </c>
      <c r="C31" s="164"/>
      <c r="D31" s="165" t="s">
        <v>185</v>
      </c>
      <c r="E31" s="166"/>
      <c r="F31" s="167"/>
      <c r="G31" s="179"/>
      <c r="H31" s="180"/>
      <c r="I31" s="180"/>
      <c r="J31" s="181" t="s">
        <v>295</v>
      </c>
      <c r="K31" s="181"/>
      <c r="L31" s="181"/>
      <c r="M31" s="45"/>
    </row>
    <row r="32" spans="2:13" ht="37.5" customHeight="1" x14ac:dyDescent="0.35">
      <c r="B32" s="163" t="s">
        <v>240</v>
      </c>
      <c r="C32" s="164"/>
      <c r="D32" s="165" t="s">
        <v>197</v>
      </c>
      <c r="E32" s="166"/>
      <c r="F32" s="167"/>
      <c r="G32" s="179"/>
      <c r="H32" s="180"/>
      <c r="I32" s="180"/>
      <c r="J32" s="181" t="s">
        <v>280</v>
      </c>
      <c r="K32" s="181"/>
      <c r="L32" s="181"/>
    </row>
    <row r="33" spans="2:12" ht="57.75" customHeight="1" x14ac:dyDescent="0.35">
      <c r="B33" s="163" t="s">
        <v>240</v>
      </c>
      <c r="C33" s="164"/>
      <c r="D33" s="165" t="s">
        <v>274</v>
      </c>
      <c r="E33" s="166"/>
      <c r="F33" s="167"/>
      <c r="G33" s="179"/>
      <c r="H33" s="180"/>
      <c r="I33" s="180"/>
      <c r="J33" s="181" t="s">
        <v>281</v>
      </c>
      <c r="K33" s="181"/>
      <c r="L33" s="181"/>
    </row>
    <row r="34" spans="2:12" x14ac:dyDescent="0.35">
      <c r="B34" s="185"/>
      <c r="C34" s="185"/>
      <c r="D34" s="185"/>
      <c r="E34" s="185"/>
      <c r="F34" s="185"/>
      <c r="G34" s="185"/>
      <c r="H34" s="185"/>
      <c r="I34" s="185"/>
      <c r="J34" s="185"/>
      <c r="K34" s="185"/>
      <c r="L34" s="185"/>
    </row>
    <row r="35" spans="2:12" x14ac:dyDescent="0.35">
      <c r="B35" s="149" t="s">
        <v>209</v>
      </c>
      <c r="C35" s="149"/>
      <c r="D35" s="149"/>
      <c r="E35" s="149"/>
      <c r="F35" s="149"/>
      <c r="G35" s="149"/>
      <c r="H35" s="149"/>
      <c r="I35" s="149"/>
      <c r="J35" s="149"/>
      <c r="K35" s="149"/>
      <c r="L35" s="149"/>
    </row>
    <row r="36" spans="2:12" x14ac:dyDescent="0.35">
      <c r="B36" s="150" t="s">
        <v>141</v>
      </c>
      <c r="C36" s="150"/>
      <c r="D36" s="150"/>
      <c r="E36" s="150"/>
      <c r="F36" s="150"/>
      <c r="G36" s="150"/>
      <c r="H36" s="150"/>
      <c r="I36" s="150"/>
      <c r="J36" s="150"/>
      <c r="K36" s="150"/>
      <c r="L36" s="150"/>
    </row>
    <row r="37" spans="2:12" x14ac:dyDescent="0.35">
      <c r="B37" s="150"/>
      <c r="C37" s="150"/>
      <c r="D37" s="150"/>
      <c r="E37" s="150"/>
      <c r="F37" s="150"/>
      <c r="G37" s="150"/>
      <c r="H37" s="150"/>
      <c r="I37" s="150"/>
      <c r="J37" s="150"/>
      <c r="K37" s="150"/>
      <c r="L37" s="150"/>
    </row>
    <row r="38" spans="2:12" s="50" customFormat="1" ht="12.5" x14ac:dyDescent="0.25">
      <c r="B38" s="150"/>
      <c r="C38" s="150"/>
      <c r="D38" s="150"/>
      <c r="E38" s="150"/>
      <c r="F38" s="150"/>
      <c r="G38" s="150"/>
      <c r="H38" s="150"/>
      <c r="I38" s="150"/>
      <c r="J38" s="150"/>
      <c r="K38" s="150"/>
      <c r="L38" s="150"/>
    </row>
    <row r="39" spans="2:12" s="50" customFormat="1" ht="12.5" x14ac:dyDescent="0.25">
      <c r="B39" s="150"/>
      <c r="C39" s="150"/>
      <c r="D39" s="150"/>
      <c r="E39" s="150"/>
      <c r="F39" s="150"/>
      <c r="G39" s="150"/>
      <c r="H39" s="150"/>
      <c r="I39" s="150"/>
      <c r="J39" s="150"/>
      <c r="K39" s="150"/>
      <c r="L39" s="150"/>
    </row>
    <row r="40" spans="2:12" s="50" customFormat="1" ht="13" x14ac:dyDescent="0.25">
      <c r="B40" s="182" t="s">
        <v>210</v>
      </c>
      <c r="C40" s="182"/>
      <c r="D40" s="182"/>
      <c r="E40" s="182"/>
      <c r="F40" s="182"/>
      <c r="G40" s="182"/>
      <c r="H40" s="182"/>
      <c r="I40" s="182"/>
      <c r="J40" s="182"/>
      <c r="K40" s="182"/>
      <c r="L40" s="182"/>
    </row>
    <row r="41" spans="2:12" s="50" customFormat="1" ht="15" customHeight="1" x14ac:dyDescent="0.25">
      <c r="B41" s="150" t="s">
        <v>211</v>
      </c>
      <c r="C41" s="150"/>
      <c r="D41" s="150"/>
      <c r="E41" s="150"/>
      <c r="F41" s="150"/>
      <c r="G41" s="150"/>
      <c r="H41" s="150"/>
      <c r="I41" s="150"/>
      <c r="J41" s="150"/>
      <c r="K41" s="150"/>
      <c r="L41" s="150"/>
    </row>
    <row r="42" spans="2:12" s="50" customFormat="1" ht="12.5" x14ac:dyDescent="0.25">
      <c r="B42" s="150"/>
      <c r="C42" s="150"/>
      <c r="D42" s="150"/>
      <c r="E42" s="150"/>
      <c r="F42" s="150"/>
      <c r="G42" s="150"/>
      <c r="H42" s="150"/>
      <c r="I42" s="150"/>
      <c r="J42" s="150"/>
      <c r="K42" s="150"/>
      <c r="L42" s="150"/>
    </row>
    <row r="43" spans="2:12" s="50" customFormat="1" ht="12.5" x14ac:dyDescent="0.25">
      <c r="B43" s="150"/>
      <c r="C43" s="150"/>
      <c r="D43" s="150"/>
      <c r="E43" s="150"/>
      <c r="F43" s="150"/>
      <c r="G43" s="150"/>
      <c r="H43" s="150"/>
      <c r="I43" s="150"/>
      <c r="J43" s="150"/>
      <c r="K43" s="150"/>
      <c r="L43" s="150"/>
    </row>
    <row r="44" spans="2:12" s="50" customFormat="1" ht="12.5" x14ac:dyDescent="0.25">
      <c r="B44" s="150"/>
      <c r="C44" s="150"/>
      <c r="D44" s="150"/>
      <c r="E44" s="150"/>
      <c r="F44" s="150"/>
      <c r="G44" s="150"/>
      <c r="H44" s="150"/>
      <c r="I44" s="150"/>
      <c r="J44" s="150"/>
      <c r="K44" s="150"/>
      <c r="L44" s="150"/>
    </row>
    <row r="45" spans="2:12" x14ac:dyDescent="0.35">
      <c r="B45" s="184"/>
      <c r="C45" s="184"/>
      <c r="D45" s="184"/>
      <c r="E45" s="184"/>
      <c r="F45" s="184"/>
      <c r="G45" s="184"/>
      <c r="H45" s="184"/>
      <c r="I45" s="184"/>
      <c r="J45" s="184"/>
      <c r="K45" s="184"/>
      <c r="L45" s="184"/>
    </row>
    <row r="46" spans="2:12" ht="30" customHeight="1" x14ac:dyDescent="0.35">
      <c r="B46" s="197" t="s">
        <v>99</v>
      </c>
      <c r="C46" s="197"/>
      <c r="D46" s="198" t="s">
        <v>94</v>
      </c>
      <c r="E46" s="198"/>
      <c r="F46" s="198"/>
      <c r="G46" s="198" t="s">
        <v>212</v>
      </c>
      <c r="H46" s="198"/>
      <c r="I46" s="198"/>
      <c r="J46" s="198"/>
      <c r="K46" s="199" t="s">
        <v>100</v>
      </c>
      <c r="L46" s="199"/>
    </row>
    <row r="47" spans="2:12" ht="30" customHeight="1" x14ac:dyDescent="0.35">
      <c r="B47" s="186" t="str">
        <f>IF($B$24&lt;&gt;"",$B$24,"")</f>
        <v>Check one</v>
      </c>
      <c r="C47" s="187"/>
      <c r="D47" s="188" t="s">
        <v>95</v>
      </c>
      <c r="E47" s="189"/>
      <c r="F47" s="190"/>
      <c r="G47" s="195" t="s">
        <v>176</v>
      </c>
      <c r="H47" s="195"/>
      <c r="I47" s="195"/>
      <c r="J47" s="196"/>
      <c r="K47" s="192"/>
      <c r="L47" s="192"/>
    </row>
    <row r="48" spans="2:12" x14ac:dyDescent="0.35">
      <c r="B48" s="222" t="s">
        <v>318</v>
      </c>
      <c r="C48" s="222"/>
      <c r="D48" s="222"/>
      <c r="E48" s="222"/>
      <c r="F48" s="222"/>
      <c r="G48" s="222"/>
      <c r="H48" s="222"/>
      <c r="I48" s="222"/>
      <c r="J48" s="222"/>
      <c r="K48" s="222"/>
      <c r="L48" s="222"/>
    </row>
    <row r="49" spans="2:12" x14ac:dyDescent="0.35">
      <c r="B49" s="223"/>
      <c r="C49" s="223"/>
      <c r="D49" s="223"/>
      <c r="E49" s="223"/>
      <c r="F49" s="223"/>
      <c r="G49" s="223"/>
      <c r="H49" s="223"/>
      <c r="I49" s="223"/>
      <c r="J49" s="223"/>
      <c r="K49" s="223"/>
      <c r="L49" s="223"/>
    </row>
    <row r="50" spans="2:12" x14ac:dyDescent="0.35">
      <c r="B50" s="223"/>
      <c r="C50" s="223"/>
      <c r="D50" s="223"/>
      <c r="E50" s="223"/>
      <c r="F50" s="223"/>
      <c r="G50" s="223"/>
      <c r="H50" s="223"/>
      <c r="I50" s="223"/>
      <c r="J50" s="223"/>
      <c r="K50" s="223"/>
      <c r="L50" s="223"/>
    </row>
    <row r="51" spans="2:12" s="50" customFormat="1" ht="12.5" x14ac:dyDescent="0.25">
      <c r="B51" s="223"/>
      <c r="C51" s="223"/>
      <c r="D51" s="223"/>
      <c r="E51" s="223"/>
      <c r="F51" s="223"/>
      <c r="G51" s="223"/>
      <c r="H51" s="223"/>
      <c r="I51" s="223"/>
      <c r="J51" s="223"/>
      <c r="K51" s="223"/>
      <c r="L51" s="223"/>
    </row>
    <row r="52" spans="2:12" s="50" customFormat="1" ht="12.5" x14ac:dyDescent="0.25">
      <c r="B52" s="183"/>
      <c r="C52" s="183"/>
      <c r="D52" s="183"/>
      <c r="E52" s="183"/>
      <c r="F52" s="183"/>
      <c r="G52" s="183"/>
      <c r="H52" s="183"/>
      <c r="I52" s="183"/>
      <c r="J52" s="183"/>
      <c r="K52" s="183"/>
      <c r="L52" s="183"/>
    </row>
    <row r="53" spans="2:12" s="50" customFormat="1" ht="13" x14ac:dyDescent="0.25">
      <c r="B53" s="182" t="s">
        <v>218</v>
      </c>
      <c r="C53" s="182"/>
      <c r="D53" s="182"/>
      <c r="E53" s="182"/>
      <c r="F53" s="182"/>
      <c r="G53" s="182"/>
      <c r="H53" s="182"/>
      <c r="I53" s="182"/>
      <c r="J53" s="182"/>
      <c r="K53" s="182"/>
      <c r="L53" s="182"/>
    </row>
    <row r="54" spans="2:12" s="50" customFormat="1" ht="15" customHeight="1" x14ac:dyDescent="0.25">
      <c r="B54" s="150" t="s">
        <v>142</v>
      </c>
      <c r="C54" s="150"/>
      <c r="D54" s="150"/>
      <c r="E54" s="150"/>
      <c r="F54" s="150"/>
      <c r="G54" s="150"/>
      <c r="H54" s="150"/>
      <c r="I54" s="150"/>
      <c r="J54" s="150"/>
      <c r="K54" s="150"/>
      <c r="L54" s="150"/>
    </row>
    <row r="55" spans="2:12" s="50" customFormat="1" ht="12.5" x14ac:dyDescent="0.25">
      <c r="B55" s="150"/>
      <c r="C55" s="150"/>
      <c r="D55" s="150"/>
      <c r="E55" s="150"/>
      <c r="F55" s="150"/>
      <c r="G55" s="150"/>
      <c r="H55" s="150"/>
      <c r="I55" s="150"/>
      <c r="J55" s="150"/>
      <c r="K55" s="150"/>
      <c r="L55" s="150"/>
    </row>
    <row r="56" spans="2:12" s="50" customFormat="1" ht="12.5" x14ac:dyDescent="0.25">
      <c r="B56" s="150"/>
      <c r="C56" s="150"/>
      <c r="D56" s="150"/>
      <c r="E56" s="150"/>
      <c r="F56" s="150"/>
      <c r="G56" s="150"/>
      <c r="H56" s="150"/>
      <c r="I56" s="150"/>
      <c r="J56" s="150"/>
      <c r="K56" s="150"/>
      <c r="L56" s="150"/>
    </row>
    <row r="57" spans="2:12" s="50" customFormat="1" ht="12.5" x14ac:dyDescent="0.25">
      <c r="B57" s="150"/>
      <c r="C57" s="150"/>
      <c r="D57" s="150"/>
      <c r="E57" s="150"/>
      <c r="F57" s="150"/>
      <c r="G57" s="150"/>
      <c r="H57" s="150"/>
      <c r="I57" s="150"/>
      <c r="J57" s="150"/>
      <c r="K57" s="150"/>
      <c r="L57" s="150"/>
    </row>
    <row r="58" spans="2:12" s="50" customFormat="1" ht="12.5" x14ac:dyDescent="0.25">
      <c r="B58" s="150"/>
      <c r="C58" s="150"/>
      <c r="D58" s="150"/>
      <c r="E58" s="150"/>
      <c r="F58" s="150"/>
      <c r="G58" s="150"/>
      <c r="H58" s="150"/>
      <c r="I58" s="150"/>
      <c r="J58" s="150"/>
      <c r="K58" s="150"/>
      <c r="L58" s="150"/>
    </row>
    <row r="59" spans="2:12" s="50" customFormat="1" ht="15" customHeight="1" x14ac:dyDescent="0.25">
      <c r="B59" s="49"/>
      <c r="C59" s="49"/>
      <c r="D59" s="49"/>
      <c r="E59" s="49"/>
      <c r="F59" s="49"/>
      <c r="G59" s="49"/>
      <c r="H59" s="49"/>
      <c r="I59" s="49"/>
      <c r="J59" s="49"/>
      <c r="K59" s="49"/>
      <c r="L59" s="49"/>
    </row>
    <row r="60" spans="2:12" ht="30" customHeight="1" x14ac:dyDescent="0.35">
      <c r="B60" s="193" t="s">
        <v>99</v>
      </c>
      <c r="C60" s="193"/>
      <c r="D60" s="194" t="s">
        <v>94</v>
      </c>
      <c r="E60" s="194"/>
      <c r="F60" s="194"/>
      <c r="G60" s="194" t="s">
        <v>212</v>
      </c>
      <c r="H60" s="194"/>
      <c r="I60" s="194"/>
      <c r="J60" s="194"/>
      <c r="K60" s="193" t="s">
        <v>100</v>
      </c>
      <c r="L60" s="193"/>
    </row>
    <row r="61" spans="2:12" ht="30" customHeight="1" x14ac:dyDescent="0.35">
      <c r="B61" s="186" t="str">
        <f>IF($B$25&lt;&gt;"",$B$25,"")</f>
        <v>Check one</v>
      </c>
      <c r="C61" s="187"/>
      <c r="D61" s="188" t="s">
        <v>96</v>
      </c>
      <c r="E61" s="189"/>
      <c r="F61" s="190"/>
      <c r="G61" s="191" t="s">
        <v>175</v>
      </c>
      <c r="H61" s="191"/>
      <c r="I61" s="191"/>
      <c r="J61" s="191"/>
      <c r="K61" s="192"/>
      <c r="L61" s="192"/>
    </row>
    <row r="62" spans="2:12" x14ac:dyDescent="0.35">
      <c r="B62" s="222" t="s">
        <v>311</v>
      </c>
      <c r="C62" s="222"/>
      <c r="D62" s="222"/>
      <c r="E62" s="222"/>
      <c r="F62" s="222"/>
      <c r="G62" s="222"/>
      <c r="H62" s="222"/>
      <c r="I62" s="222"/>
      <c r="J62" s="222"/>
      <c r="K62" s="222"/>
      <c r="L62" s="222"/>
    </row>
    <row r="63" spans="2:12" x14ac:dyDescent="0.35">
      <c r="B63" s="223"/>
      <c r="C63" s="223"/>
      <c r="D63" s="223"/>
      <c r="E63" s="223"/>
      <c r="F63" s="223"/>
      <c r="G63" s="223"/>
      <c r="H63" s="223"/>
      <c r="I63" s="223"/>
      <c r="J63" s="223"/>
      <c r="K63" s="223"/>
      <c r="L63" s="223"/>
    </row>
    <row r="64" spans="2:12" x14ac:dyDescent="0.35">
      <c r="B64" s="223"/>
      <c r="C64" s="223"/>
      <c r="D64" s="223"/>
      <c r="E64" s="223"/>
      <c r="F64" s="223"/>
      <c r="G64" s="223"/>
      <c r="H64" s="223"/>
      <c r="I64" s="223"/>
      <c r="J64" s="223"/>
      <c r="K64" s="223"/>
      <c r="L64" s="223"/>
    </row>
    <row r="65" spans="2:12" s="50" customFormat="1" ht="12.5" x14ac:dyDescent="0.25">
      <c r="B65" s="223"/>
      <c r="C65" s="223"/>
      <c r="D65" s="223"/>
      <c r="E65" s="223"/>
      <c r="F65" s="223"/>
      <c r="G65" s="223"/>
      <c r="H65" s="223"/>
      <c r="I65" s="223"/>
      <c r="J65" s="223"/>
      <c r="K65" s="223"/>
      <c r="L65" s="223"/>
    </row>
    <row r="66" spans="2:12" s="50" customFormat="1" ht="12.5" x14ac:dyDescent="0.25">
      <c r="B66" s="49"/>
      <c r="C66" s="49"/>
      <c r="D66" s="49"/>
      <c r="E66" s="49"/>
      <c r="F66" s="49"/>
      <c r="G66" s="49"/>
      <c r="H66" s="49"/>
      <c r="I66" s="49"/>
      <c r="J66" s="49"/>
      <c r="K66" s="49"/>
      <c r="L66" s="49"/>
    </row>
    <row r="67" spans="2:12" s="50" customFormat="1" ht="13" x14ac:dyDescent="0.25">
      <c r="B67" s="182" t="s">
        <v>219</v>
      </c>
      <c r="C67" s="182"/>
      <c r="D67" s="182"/>
      <c r="E67" s="182"/>
      <c r="F67" s="182"/>
      <c r="G67" s="182"/>
      <c r="H67" s="182"/>
      <c r="I67" s="182"/>
      <c r="J67" s="182"/>
      <c r="K67" s="182"/>
      <c r="L67" s="182"/>
    </row>
    <row r="68" spans="2:12" s="50" customFormat="1" ht="15" customHeight="1" x14ac:dyDescent="0.25">
      <c r="B68" s="150" t="s">
        <v>170</v>
      </c>
      <c r="C68" s="150"/>
      <c r="D68" s="150"/>
      <c r="E68" s="150"/>
      <c r="F68" s="150"/>
      <c r="G68" s="150"/>
      <c r="H68" s="150"/>
      <c r="I68" s="150"/>
      <c r="J68" s="150"/>
      <c r="K68" s="150"/>
      <c r="L68" s="150"/>
    </row>
    <row r="69" spans="2:12" s="50" customFormat="1" ht="12.5" x14ac:dyDescent="0.25">
      <c r="B69" s="150"/>
      <c r="C69" s="150"/>
      <c r="D69" s="150"/>
      <c r="E69" s="150"/>
      <c r="F69" s="150"/>
      <c r="G69" s="150"/>
      <c r="H69" s="150"/>
      <c r="I69" s="150"/>
      <c r="J69" s="150"/>
      <c r="K69" s="150"/>
      <c r="L69" s="150"/>
    </row>
    <row r="70" spans="2:12" s="50" customFormat="1" ht="12.5" x14ac:dyDescent="0.25">
      <c r="B70" s="150"/>
      <c r="C70" s="150"/>
      <c r="D70" s="150"/>
      <c r="E70" s="150"/>
      <c r="F70" s="150"/>
      <c r="G70" s="150"/>
      <c r="H70" s="150"/>
      <c r="I70" s="150"/>
      <c r="J70" s="150"/>
      <c r="K70" s="150"/>
      <c r="L70" s="150"/>
    </row>
    <row r="71" spans="2:12" s="50" customFormat="1" ht="12.5" x14ac:dyDescent="0.25">
      <c r="B71" s="221" t="s">
        <v>101</v>
      </c>
      <c r="C71" s="221"/>
      <c r="D71" s="221"/>
      <c r="E71" s="221"/>
      <c r="F71" s="221"/>
      <c r="G71" s="221"/>
      <c r="H71" s="221"/>
      <c r="I71" s="221"/>
      <c r="J71" s="221"/>
      <c r="K71" s="221"/>
      <c r="L71" s="221"/>
    </row>
    <row r="72" spans="2:12" s="50" customFormat="1" ht="15" customHeight="1" x14ac:dyDescent="0.25">
      <c r="B72" s="221" t="s">
        <v>220</v>
      </c>
      <c r="C72" s="221"/>
      <c r="D72" s="221"/>
      <c r="E72" s="221"/>
      <c r="F72" s="221"/>
      <c r="G72" s="221"/>
      <c r="H72" s="221"/>
      <c r="I72" s="221"/>
      <c r="J72" s="221"/>
      <c r="K72" s="221"/>
      <c r="L72" s="221"/>
    </row>
    <row r="73" spans="2:12" s="50" customFormat="1" ht="12.5" x14ac:dyDescent="0.25">
      <c r="B73" s="221"/>
      <c r="C73" s="221"/>
      <c r="D73" s="221"/>
      <c r="E73" s="221"/>
      <c r="F73" s="221"/>
      <c r="G73" s="221"/>
      <c r="H73" s="221"/>
      <c r="I73" s="221"/>
      <c r="J73" s="221"/>
      <c r="K73" s="221"/>
      <c r="L73" s="221"/>
    </row>
    <row r="74" spans="2:12" s="50" customFormat="1" ht="12.5" x14ac:dyDescent="0.25">
      <c r="B74" s="221" t="s">
        <v>306</v>
      </c>
      <c r="C74" s="221"/>
      <c r="D74" s="221"/>
      <c r="E74" s="221"/>
      <c r="F74" s="221"/>
      <c r="G74" s="221"/>
      <c r="H74" s="221"/>
      <c r="I74" s="221"/>
      <c r="J74" s="221"/>
      <c r="K74" s="221"/>
      <c r="L74" s="221"/>
    </row>
    <row r="75" spans="2:12" s="50" customFormat="1" ht="12.5" x14ac:dyDescent="0.25">
      <c r="B75" s="221"/>
      <c r="C75" s="221"/>
      <c r="D75" s="221"/>
      <c r="E75" s="221"/>
      <c r="F75" s="221"/>
      <c r="G75" s="221"/>
      <c r="H75" s="221"/>
      <c r="I75" s="221"/>
      <c r="J75" s="221"/>
      <c r="K75" s="221"/>
      <c r="L75" s="221"/>
    </row>
    <row r="76" spans="2:12" s="50" customFormat="1" ht="15" customHeight="1" x14ac:dyDescent="0.25">
      <c r="B76" s="150" t="s">
        <v>171</v>
      </c>
      <c r="C76" s="150"/>
      <c r="D76" s="150"/>
      <c r="E76" s="150"/>
      <c r="F76" s="150"/>
      <c r="G76" s="150"/>
      <c r="H76" s="150"/>
      <c r="I76" s="150"/>
      <c r="J76" s="150"/>
      <c r="K76" s="150"/>
      <c r="L76" s="150"/>
    </row>
    <row r="77" spans="2:12" s="50" customFormat="1" ht="12.5" x14ac:dyDescent="0.25">
      <c r="B77" s="150"/>
      <c r="C77" s="150"/>
      <c r="D77" s="150"/>
      <c r="E77" s="150"/>
      <c r="F77" s="150"/>
      <c r="G77" s="150"/>
      <c r="H77" s="150"/>
      <c r="I77" s="150"/>
      <c r="J77" s="150"/>
      <c r="K77" s="150"/>
      <c r="L77" s="150"/>
    </row>
    <row r="78" spans="2:12" s="50" customFormat="1" ht="12.5" x14ac:dyDescent="0.25">
      <c r="B78" s="150"/>
      <c r="C78" s="150"/>
      <c r="D78" s="150"/>
      <c r="E78" s="150"/>
      <c r="F78" s="150"/>
      <c r="G78" s="150"/>
      <c r="H78" s="150"/>
      <c r="I78" s="150"/>
      <c r="J78" s="150"/>
      <c r="K78" s="150"/>
      <c r="L78" s="150"/>
    </row>
    <row r="79" spans="2:12" s="50" customFormat="1" ht="12.5" x14ac:dyDescent="0.25">
      <c r="B79" s="150"/>
      <c r="C79" s="150"/>
      <c r="D79" s="150"/>
      <c r="E79" s="150"/>
      <c r="F79" s="150"/>
      <c r="G79" s="150"/>
      <c r="H79" s="150"/>
      <c r="I79" s="150"/>
      <c r="J79" s="150"/>
      <c r="K79" s="150"/>
      <c r="L79" s="150"/>
    </row>
    <row r="80" spans="2:12" x14ac:dyDescent="0.35">
      <c r="B80" s="6"/>
      <c r="C80" s="6"/>
      <c r="D80" s="6"/>
      <c r="E80" s="6"/>
      <c r="F80" s="6"/>
      <c r="G80" s="6"/>
      <c r="H80" s="6"/>
      <c r="I80" s="6"/>
      <c r="J80" s="6"/>
      <c r="K80" s="6"/>
      <c r="L80" s="6"/>
    </row>
    <row r="81" spans="2:12" ht="30" customHeight="1" x14ac:dyDescent="0.35">
      <c r="B81" s="193" t="s">
        <v>99</v>
      </c>
      <c r="C81" s="193"/>
      <c r="D81" s="194" t="s">
        <v>94</v>
      </c>
      <c r="E81" s="194"/>
      <c r="F81" s="194"/>
      <c r="G81" s="194" t="s">
        <v>212</v>
      </c>
      <c r="H81" s="194"/>
      <c r="I81" s="194"/>
      <c r="J81" s="194"/>
      <c r="K81" s="193" t="s">
        <v>102</v>
      </c>
      <c r="L81" s="193"/>
    </row>
    <row r="82" spans="2:12" ht="30" customHeight="1" x14ac:dyDescent="0.35">
      <c r="B82" s="202" t="str">
        <f>IF($B$30&lt;&gt;"",$B$30,"")</f>
        <v>Check one</v>
      </c>
      <c r="C82" s="202"/>
      <c r="D82" s="203" t="s">
        <v>172</v>
      </c>
      <c r="E82" s="203"/>
      <c r="F82" s="203"/>
      <c r="G82" s="201" t="s">
        <v>103</v>
      </c>
      <c r="H82" s="201"/>
      <c r="I82" s="201"/>
      <c r="J82" s="201"/>
      <c r="K82" s="192"/>
      <c r="L82" s="192"/>
    </row>
    <row r="83" spans="2:12" ht="30" customHeight="1" x14ac:dyDescent="0.35">
      <c r="B83" s="202"/>
      <c r="C83" s="202"/>
      <c r="D83" s="203"/>
      <c r="E83" s="203"/>
      <c r="F83" s="203"/>
      <c r="G83" s="201" t="s">
        <v>104</v>
      </c>
      <c r="H83" s="201"/>
      <c r="I83" s="201"/>
      <c r="J83" s="201"/>
      <c r="K83" s="192"/>
      <c r="L83" s="192"/>
    </row>
    <row r="84" spans="2:12" ht="30" customHeight="1" x14ac:dyDescent="0.35">
      <c r="B84" s="202"/>
      <c r="C84" s="202"/>
      <c r="D84" s="203"/>
      <c r="E84" s="203"/>
      <c r="F84" s="203"/>
      <c r="G84" s="201" t="s">
        <v>136</v>
      </c>
      <c r="H84" s="201"/>
      <c r="I84" s="201"/>
      <c r="J84" s="201"/>
      <c r="K84" s="192"/>
      <c r="L84" s="192"/>
    </row>
    <row r="85" spans="2:12" ht="30" customHeight="1" x14ac:dyDescent="0.35">
      <c r="B85" s="202"/>
      <c r="C85" s="202"/>
      <c r="D85" s="203"/>
      <c r="E85" s="203"/>
      <c r="F85" s="203"/>
      <c r="G85" s="201" t="s">
        <v>137</v>
      </c>
      <c r="H85" s="201"/>
      <c r="I85" s="201"/>
      <c r="J85" s="201"/>
      <c r="K85" s="192"/>
      <c r="L85" s="192"/>
    </row>
    <row r="86" spans="2:12" ht="30" customHeight="1" x14ac:dyDescent="0.35">
      <c r="B86" s="202"/>
      <c r="C86" s="202"/>
      <c r="D86" s="203"/>
      <c r="E86" s="203"/>
      <c r="F86" s="203"/>
      <c r="G86" s="201" t="s">
        <v>105</v>
      </c>
      <c r="H86" s="201"/>
      <c r="I86" s="201"/>
      <c r="J86" s="201"/>
      <c r="K86" s="192"/>
      <c r="L86" s="192"/>
    </row>
    <row r="87" spans="2:12" ht="30" customHeight="1" x14ac:dyDescent="0.35">
      <c r="B87" s="202"/>
      <c r="C87" s="202"/>
      <c r="D87" s="203"/>
      <c r="E87" s="203"/>
      <c r="F87" s="203"/>
      <c r="G87" s="201" t="s">
        <v>138</v>
      </c>
      <c r="H87" s="201"/>
      <c r="I87" s="201"/>
      <c r="J87" s="201"/>
      <c r="K87" s="192"/>
      <c r="L87" s="192"/>
    </row>
    <row r="88" spans="2:12" ht="30" customHeight="1" x14ac:dyDescent="0.35">
      <c r="B88" s="202"/>
      <c r="C88" s="202"/>
      <c r="D88" s="203"/>
      <c r="E88" s="203"/>
      <c r="F88" s="203"/>
      <c r="G88" s="201" t="s">
        <v>106</v>
      </c>
      <c r="H88" s="201"/>
      <c r="I88" s="201"/>
      <c r="J88" s="201"/>
      <c r="K88" s="192"/>
      <c r="L88" s="192"/>
    </row>
    <row r="89" spans="2:12" ht="30" customHeight="1" x14ac:dyDescent="0.35">
      <c r="B89" s="202"/>
      <c r="C89" s="202"/>
      <c r="D89" s="203"/>
      <c r="E89" s="203"/>
      <c r="F89" s="203"/>
      <c r="G89" s="201" t="s">
        <v>107</v>
      </c>
      <c r="H89" s="201"/>
      <c r="I89" s="201"/>
      <c r="J89" s="201"/>
      <c r="K89" s="192"/>
      <c r="L89" s="192"/>
    </row>
    <row r="90" spans="2:12" ht="30" customHeight="1" x14ac:dyDescent="0.35">
      <c r="B90" s="202"/>
      <c r="C90" s="202"/>
      <c r="D90" s="203"/>
      <c r="E90" s="203"/>
      <c r="F90" s="203"/>
      <c r="G90" s="201" t="s">
        <v>139</v>
      </c>
      <c r="H90" s="201"/>
      <c r="I90" s="201"/>
      <c r="J90" s="201"/>
      <c r="K90" s="192"/>
      <c r="L90" s="192"/>
    </row>
    <row r="91" spans="2:12" ht="15" customHeight="1" x14ac:dyDescent="0.35">
      <c r="B91" s="213"/>
      <c r="C91" s="213"/>
      <c r="D91" s="213"/>
      <c r="E91" s="213"/>
      <c r="F91" s="213"/>
      <c r="G91" s="213"/>
      <c r="H91" s="213"/>
      <c r="I91" s="213"/>
      <c r="J91" s="213"/>
      <c r="K91" s="213"/>
      <c r="L91" s="213"/>
    </row>
    <row r="92" spans="2:12" ht="15" customHeight="1" x14ac:dyDescent="0.35">
      <c r="B92" s="149" t="s">
        <v>221</v>
      </c>
      <c r="C92" s="149"/>
      <c r="D92" s="149"/>
      <c r="E92" s="149"/>
      <c r="F92" s="149"/>
      <c r="G92" s="149"/>
      <c r="H92" s="149"/>
      <c r="I92" s="149"/>
      <c r="J92" s="149"/>
      <c r="K92" s="149"/>
      <c r="L92" s="149"/>
    </row>
    <row r="93" spans="2:12" ht="15" customHeight="1" x14ac:dyDescent="0.35">
      <c r="B93" s="150" t="s">
        <v>143</v>
      </c>
      <c r="C93" s="150"/>
      <c r="D93" s="150"/>
      <c r="E93" s="150"/>
      <c r="F93" s="150"/>
      <c r="G93" s="150"/>
      <c r="H93" s="150"/>
      <c r="I93" s="150"/>
      <c r="J93" s="150"/>
      <c r="K93" s="150"/>
      <c r="L93" s="150"/>
    </row>
    <row r="94" spans="2:12" s="50" customFormat="1" ht="12.5" x14ac:dyDescent="0.25">
      <c r="B94" s="150"/>
      <c r="C94" s="150"/>
      <c r="D94" s="150"/>
      <c r="E94" s="150"/>
      <c r="F94" s="150"/>
      <c r="G94" s="150"/>
      <c r="H94" s="150"/>
      <c r="I94" s="150"/>
      <c r="J94" s="150"/>
      <c r="K94" s="150"/>
      <c r="L94" s="150"/>
    </row>
    <row r="95" spans="2:12" x14ac:dyDescent="0.35">
      <c r="B95" s="155"/>
      <c r="C95" s="155"/>
      <c r="D95" s="155"/>
      <c r="E95" s="155"/>
      <c r="F95" s="155"/>
      <c r="G95" s="155"/>
      <c r="H95" s="155"/>
      <c r="I95" s="155"/>
      <c r="J95" s="155"/>
      <c r="K95" s="155"/>
      <c r="L95" s="155"/>
    </row>
    <row r="96" spans="2:12" ht="30" customHeight="1" x14ac:dyDescent="0.35">
      <c r="B96" s="214" t="s">
        <v>94</v>
      </c>
      <c r="C96" s="215"/>
      <c r="D96" s="218" t="s">
        <v>213</v>
      </c>
      <c r="E96" s="219"/>
      <c r="F96" s="219"/>
      <c r="G96" s="219"/>
      <c r="H96" s="219"/>
      <c r="I96" s="219"/>
      <c r="J96" s="219"/>
      <c r="K96" s="219"/>
      <c r="L96" s="220"/>
    </row>
    <row r="97" spans="2:12" ht="15" x14ac:dyDescent="0.35">
      <c r="B97" s="216"/>
      <c r="C97" s="217"/>
      <c r="D97" s="8" t="s">
        <v>0</v>
      </c>
      <c r="E97" s="8" t="s">
        <v>109</v>
      </c>
      <c r="F97" s="8" t="s">
        <v>1</v>
      </c>
      <c r="G97" s="8" t="s">
        <v>110</v>
      </c>
      <c r="H97" s="8" t="s">
        <v>111</v>
      </c>
      <c r="I97" s="8" t="s">
        <v>6</v>
      </c>
      <c r="J97" s="8" t="s">
        <v>112</v>
      </c>
      <c r="K97" s="8" t="s">
        <v>108</v>
      </c>
      <c r="L97" s="8" t="s">
        <v>7</v>
      </c>
    </row>
    <row r="98" spans="2:12" x14ac:dyDescent="0.35">
      <c r="B98" s="204" t="s">
        <v>186</v>
      </c>
      <c r="C98" s="205"/>
      <c r="D98" s="12">
        <f>IF($B$24="yes",$K$47*'Subpart 3(A)'!B17*8760/2000,0)</f>
        <v>0</v>
      </c>
      <c r="E98" s="12">
        <f>IF($B$24="yes",$K$47*'Subpart 3(A)'!C17*8760/2000,0)</f>
        <v>0</v>
      </c>
      <c r="F98" s="12">
        <f>IF($B$24="yes",$K$47*'Subpart 3(A)'!G17*8760/2000,0)</f>
        <v>0</v>
      </c>
      <c r="G98" s="12">
        <f>IF($B$24="yes",$K$47*'Subpart 3(A)'!D17*8760/2000,0)</f>
        <v>0</v>
      </c>
      <c r="H98" s="12">
        <f>IF($B$24="yes",$K$47*'Subpart 3(A)'!E17*8760/2000,0)</f>
        <v>0</v>
      </c>
      <c r="I98" s="12">
        <f>IF($B$24="yes",$K$47*'Subpart 3(A)'!F17*8760/2000,0)</f>
        <v>0</v>
      </c>
      <c r="J98" s="38">
        <f>IF($B$24="yes",$K$47*'Subpart 3(A)'!L17*8760/2000,0)</f>
        <v>0</v>
      </c>
      <c r="K98" s="12">
        <f>IF($B$24="yes",$K$47*'Subpart 3(A)'!F55*8760/2000,0)</f>
        <v>0</v>
      </c>
      <c r="L98" s="10">
        <f>IF($B$24="yes",$K$47*'Subpart 3(A)'!H17*8760/2000,0)</f>
        <v>0</v>
      </c>
    </row>
    <row r="99" spans="2:12" x14ac:dyDescent="0.35">
      <c r="B99" s="204" t="s">
        <v>187</v>
      </c>
      <c r="C99" s="205"/>
      <c r="D99" s="12">
        <f>IF($B$25="yes",$K$61*'Subpart 3(B)'!B17*8760/2000,0)</f>
        <v>0</v>
      </c>
      <c r="E99" s="12">
        <f>IF($B$25="yes",$K$61*'Subpart 3(B)'!C17*8760/2000,0)</f>
        <v>0</v>
      </c>
      <c r="F99" s="12">
        <f>IF($B$25="yes",$K$61*'Subpart 3(B)'!G17*8760/2000,0)</f>
        <v>0</v>
      </c>
      <c r="G99" s="12">
        <f>IF($B$25="yes",$K$61*'Subpart 3(B)'!D17*8760/2000,0)</f>
        <v>0</v>
      </c>
      <c r="H99" s="12">
        <f>IF($B$25="yes",$K$61*'Subpart 3(B)'!E17*8760/2000,0)</f>
        <v>0</v>
      </c>
      <c r="I99" s="12">
        <f>IF($B$25="yes",$K$61*'Subpart 3(B)'!F17*8760/2000,0)</f>
        <v>0</v>
      </c>
      <c r="J99" s="31">
        <f>IF($B$25="yes",$K$61*'Subpart 3(B)'!L17*8760/2000,0)</f>
        <v>0</v>
      </c>
      <c r="K99" s="12">
        <f>IF($B$25="yes",$K$61*'Subpart 3(B)'!F55*8760/2000,0)</f>
        <v>0</v>
      </c>
      <c r="L99" s="10">
        <f>IF($B$25="yes",$K$61*'Subpart 3(B)'!H17*8760/2000,0)</f>
        <v>0</v>
      </c>
    </row>
    <row r="100" spans="2:12" x14ac:dyDescent="0.35">
      <c r="B100" s="204" t="s">
        <v>188</v>
      </c>
      <c r="C100" s="205"/>
      <c r="D100" s="9"/>
      <c r="E100" s="9"/>
      <c r="F100" s="12">
        <f>IF($B$26="yes",0.1,0)</f>
        <v>0</v>
      </c>
      <c r="G100" s="9"/>
      <c r="H100" s="9"/>
      <c r="I100" s="9"/>
      <c r="J100" s="32"/>
      <c r="K100" s="12">
        <f>IF($B$26="yes",0.1,0)</f>
        <v>0</v>
      </c>
      <c r="L100" s="39"/>
    </row>
    <row r="101" spans="2:12" x14ac:dyDescent="0.35">
      <c r="B101" s="204" t="s">
        <v>189</v>
      </c>
      <c r="C101" s="205"/>
      <c r="D101" s="9"/>
      <c r="E101" s="9"/>
      <c r="F101" s="12">
        <f>IF($B$27="yes",0.1,0)</f>
        <v>0</v>
      </c>
      <c r="G101" s="9"/>
      <c r="H101" s="9"/>
      <c r="I101" s="9"/>
      <c r="J101" s="32"/>
      <c r="K101" s="12">
        <f>IF($B$27="yes",0.1,0)</f>
        <v>0</v>
      </c>
      <c r="L101" s="39"/>
    </row>
    <row r="102" spans="2:12" x14ac:dyDescent="0.35">
      <c r="B102" s="204" t="s">
        <v>190</v>
      </c>
      <c r="C102" s="205"/>
      <c r="D102" s="12">
        <f>IF($B$28="yes",0.5,0)</f>
        <v>0</v>
      </c>
      <c r="E102" s="12">
        <f t="shared" ref="E102:I102" si="0">IF($B$28="yes",0.5,0)</f>
        <v>0</v>
      </c>
      <c r="F102" s="12">
        <f t="shared" si="0"/>
        <v>0</v>
      </c>
      <c r="G102" s="12">
        <f t="shared" si="0"/>
        <v>0</v>
      </c>
      <c r="H102" s="12">
        <f t="shared" si="0"/>
        <v>0</v>
      </c>
      <c r="I102" s="12">
        <f t="shared" si="0"/>
        <v>0</v>
      </c>
      <c r="J102" s="32"/>
      <c r="K102" s="12">
        <f>IF($B$28="yes",0.5,0)</f>
        <v>0</v>
      </c>
      <c r="L102" s="39"/>
    </row>
    <row r="103" spans="2:12" ht="30" customHeight="1" x14ac:dyDescent="0.35">
      <c r="B103" s="206" t="s">
        <v>191</v>
      </c>
      <c r="C103" s="207"/>
      <c r="D103" s="12">
        <f>IF($B$29="yes",'Subpart 3(E)'!$G$18,0)</f>
        <v>0</v>
      </c>
      <c r="E103" s="12">
        <f>IF($B$29="yes",'Subpart 3(E)'!$G$18,0)</f>
        <v>0</v>
      </c>
      <c r="F103" s="9"/>
      <c r="G103" s="9"/>
      <c r="H103" s="9"/>
      <c r="I103" s="9"/>
      <c r="J103" s="32"/>
      <c r="K103" s="12">
        <f>IF($B$29="yes",'Subpart 3(E)'!$G$25,0)</f>
        <v>0</v>
      </c>
      <c r="L103" s="10">
        <f>IF($B$29="yes",'Subpart 3(E)'!$G$19,0)</f>
        <v>0</v>
      </c>
    </row>
    <row r="104" spans="2:12" ht="30" customHeight="1" x14ac:dyDescent="0.35">
      <c r="B104" s="206" t="s">
        <v>192</v>
      </c>
      <c r="C104" s="207"/>
      <c r="D104" s="12">
        <f>IF($B$30="yes",1*$K$86,0)</f>
        <v>0</v>
      </c>
      <c r="E104" s="12">
        <f>IF($B$30="yes",1*$K$87,0)</f>
        <v>0</v>
      </c>
      <c r="F104" s="12">
        <f>IF($B$30="yes",1*$K$88,0)</f>
        <v>0</v>
      </c>
      <c r="G104" s="12">
        <f>IF($B$30="yes",1*$K$85,0)</f>
        <v>0</v>
      </c>
      <c r="H104" s="12">
        <f>IF($B$30="yes",1*$K$84,0)</f>
        <v>0</v>
      </c>
      <c r="I104" s="12">
        <f>IF($B$30="yes",2*$K$83,0)</f>
        <v>0</v>
      </c>
      <c r="J104" s="31">
        <f>IF($B$30="yes",1000*$K$90,0)</f>
        <v>0</v>
      </c>
      <c r="K104" s="12">
        <f>IF($B$30="yes",1*$K$89,0)</f>
        <v>0</v>
      </c>
      <c r="L104" s="9"/>
    </row>
    <row r="105" spans="2:12" ht="30" customHeight="1" x14ac:dyDescent="0.35">
      <c r="B105" s="206" t="s">
        <v>193</v>
      </c>
      <c r="C105" s="207"/>
      <c r="D105" s="12">
        <f>IF($B$31="yes",'Subpart 3(G)'!$G$15,0)</f>
        <v>0</v>
      </c>
      <c r="E105" s="12">
        <f>IF($B$31="yes",'Subpart 3(G)'!$H$15,0)</f>
        <v>0</v>
      </c>
      <c r="F105" s="9"/>
      <c r="G105" s="9"/>
      <c r="H105" s="9"/>
      <c r="I105" s="9"/>
      <c r="J105" s="32"/>
      <c r="K105" s="9"/>
      <c r="L105" s="9"/>
    </row>
    <row r="106" spans="2:12" x14ac:dyDescent="0.35">
      <c r="B106" s="204" t="s">
        <v>195</v>
      </c>
      <c r="C106" s="205"/>
      <c r="D106" s="12">
        <f>IF($B$32="yes",4,0)</f>
        <v>0</v>
      </c>
      <c r="E106" s="12">
        <f>IF($B$32="yes",4,0)</f>
        <v>0</v>
      </c>
      <c r="F106" s="12">
        <f>IF($B$32="yes",5,0)</f>
        <v>0</v>
      </c>
      <c r="G106" s="9"/>
      <c r="H106" s="9"/>
      <c r="I106" s="9"/>
      <c r="J106" s="32"/>
      <c r="K106" s="12">
        <f>IF($B$32="yes",5,0)</f>
        <v>0</v>
      </c>
      <c r="L106" s="9"/>
    </row>
    <row r="107" spans="2:12" x14ac:dyDescent="0.35">
      <c r="B107" s="204" t="s">
        <v>194</v>
      </c>
      <c r="C107" s="205"/>
      <c r="D107" s="12">
        <f>IF($B$33="yes",5,0)</f>
        <v>0</v>
      </c>
      <c r="E107" s="12">
        <f>IF($B$33="yes",5,0)</f>
        <v>0</v>
      </c>
      <c r="F107" s="9"/>
      <c r="G107" s="9"/>
      <c r="H107" s="9"/>
      <c r="I107" s="9"/>
      <c r="J107" s="32"/>
      <c r="K107" s="9"/>
      <c r="L107" s="9"/>
    </row>
    <row r="108" spans="2:12" x14ac:dyDescent="0.35">
      <c r="B108" s="6"/>
      <c r="C108" s="6"/>
      <c r="D108" s="6"/>
      <c r="E108" s="6"/>
      <c r="F108" s="6"/>
      <c r="G108" s="6"/>
      <c r="H108" s="6"/>
      <c r="I108" s="6"/>
      <c r="J108" s="6"/>
      <c r="K108" s="6"/>
      <c r="L108" s="6"/>
    </row>
    <row r="109" spans="2:12" x14ac:dyDescent="0.35">
      <c r="B109" s="150" t="s">
        <v>144</v>
      </c>
      <c r="C109" s="150"/>
      <c r="D109" s="150"/>
      <c r="E109" s="150"/>
      <c r="F109" s="150"/>
      <c r="G109" s="150"/>
      <c r="H109" s="150"/>
      <c r="I109" s="150"/>
      <c r="J109" s="150"/>
      <c r="K109" s="150"/>
      <c r="L109" s="150"/>
    </row>
    <row r="110" spans="2:12" x14ac:dyDescent="0.35">
      <c r="B110" s="150"/>
      <c r="C110" s="150"/>
      <c r="D110" s="150"/>
      <c r="E110" s="150"/>
      <c r="F110" s="150"/>
      <c r="G110" s="150"/>
      <c r="H110" s="150"/>
      <c r="I110" s="150"/>
      <c r="J110" s="150"/>
      <c r="K110" s="150"/>
      <c r="L110" s="150"/>
    </row>
    <row r="111" spans="2:12" x14ac:dyDescent="0.35">
      <c r="B111" s="150"/>
      <c r="C111" s="150"/>
      <c r="D111" s="150"/>
      <c r="E111" s="150"/>
      <c r="F111" s="150"/>
      <c r="G111" s="150"/>
      <c r="H111" s="150"/>
      <c r="I111" s="150"/>
      <c r="J111" s="150"/>
      <c r="K111" s="150"/>
      <c r="L111" s="150"/>
    </row>
    <row r="112" spans="2:12" s="50" customFormat="1" ht="12.5" x14ac:dyDescent="0.25">
      <c r="B112" s="150"/>
      <c r="C112" s="150"/>
      <c r="D112" s="150"/>
      <c r="E112" s="150"/>
      <c r="F112" s="150"/>
      <c r="G112" s="150"/>
      <c r="H112" s="150"/>
      <c r="I112" s="150"/>
      <c r="J112" s="150"/>
      <c r="K112" s="150"/>
      <c r="L112" s="150"/>
    </row>
    <row r="113" spans="2:12" s="50" customFormat="1" ht="13" x14ac:dyDescent="0.25">
      <c r="B113" s="109"/>
      <c r="C113" s="110"/>
      <c r="D113" s="110"/>
      <c r="E113" s="110"/>
      <c r="F113" s="110"/>
      <c r="G113" s="110"/>
      <c r="H113" s="110"/>
      <c r="I113" s="110"/>
      <c r="J113" s="110"/>
      <c r="K113" s="110"/>
      <c r="L113" s="110"/>
    </row>
    <row r="114" spans="2:12" s="50" customFormat="1" ht="15" customHeight="1" x14ac:dyDescent="0.25">
      <c r="B114" s="150" t="s">
        <v>215</v>
      </c>
      <c r="C114" s="150"/>
      <c r="D114" s="150"/>
      <c r="E114" s="150"/>
      <c r="F114" s="150"/>
      <c r="G114" s="150"/>
      <c r="H114" s="150"/>
      <c r="I114" s="150"/>
      <c r="J114" s="150"/>
      <c r="K114" s="150"/>
      <c r="L114" s="150"/>
    </row>
    <row r="115" spans="2:12" s="50" customFormat="1" ht="12.5" x14ac:dyDescent="0.25">
      <c r="B115" s="150"/>
      <c r="C115" s="150"/>
      <c r="D115" s="150"/>
      <c r="E115" s="150"/>
      <c r="F115" s="150"/>
      <c r="G115" s="150"/>
      <c r="H115" s="150"/>
      <c r="I115" s="150"/>
      <c r="J115" s="150"/>
      <c r="K115" s="150"/>
      <c r="L115" s="150"/>
    </row>
    <row r="116" spans="2:12" s="50" customFormat="1" ht="12.5" x14ac:dyDescent="0.25">
      <c r="B116" s="150"/>
      <c r="C116" s="150"/>
      <c r="D116" s="150"/>
      <c r="E116" s="150"/>
      <c r="F116" s="150"/>
      <c r="G116" s="150"/>
      <c r="H116" s="150"/>
      <c r="I116" s="150"/>
      <c r="J116" s="150"/>
      <c r="K116" s="150"/>
      <c r="L116" s="150"/>
    </row>
    <row r="117" spans="2:12" s="50" customFormat="1" ht="12.5" x14ac:dyDescent="0.25">
      <c r="B117" s="150"/>
      <c r="C117" s="150"/>
      <c r="D117" s="150"/>
      <c r="E117" s="150"/>
      <c r="F117" s="150"/>
      <c r="G117" s="150"/>
      <c r="H117" s="150"/>
      <c r="I117" s="150"/>
      <c r="J117" s="150"/>
      <c r="K117" s="150"/>
      <c r="L117" s="150"/>
    </row>
    <row r="118" spans="2:12" s="50" customFormat="1" ht="12.5" x14ac:dyDescent="0.25">
      <c r="B118" s="150"/>
      <c r="C118" s="150"/>
      <c r="D118" s="150"/>
      <c r="E118" s="150"/>
      <c r="F118" s="150"/>
      <c r="G118" s="150"/>
      <c r="H118" s="150"/>
      <c r="I118" s="150"/>
      <c r="J118" s="150"/>
      <c r="K118" s="150"/>
      <c r="L118" s="150"/>
    </row>
    <row r="119" spans="2:12" s="50" customFormat="1" ht="12.5" x14ac:dyDescent="0.25">
      <c r="B119" s="150"/>
      <c r="C119" s="150"/>
      <c r="D119" s="150"/>
      <c r="E119" s="150"/>
      <c r="F119" s="150"/>
      <c r="G119" s="150"/>
      <c r="H119" s="150"/>
      <c r="I119" s="150"/>
      <c r="J119" s="150"/>
      <c r="K119" s="150"/>
      <c r="L119" s="150"/>
    </row>
    <row r="120" spans="2:12" x14ac:dyDescent="0.35">
      <c r="B120" s="6"/>
      <c r="C120" s="6"/>
      <c r="D120" s="6"/>
      <c r="E120" s="6"/>
      <c r="F120" s="6"/>
      <c r="G120" s="6"/>
      <c r="H120" s="6"/>
      <c r="I120" s="6"/>
      <c r="J120" s="6"/>
      <c r="K120" s="6"/>
      <c r="L120" s="6"/>
    </row>
    <row r="121" spans="2:12" x14ac:dyDescent="0.35">
      <c r="B121" s="6"/>
      <c r="C121" s="6"/>
      <c r="D121" s="209" t="s">
        <v>214</v>
      </c>
      <c r="E121" s="210"/>
      <c r="F121" s="210"/>
      <c r="G121" s="210"/>
      <c r="H121" s="210"/>
      <c r="I121" s="210"/>
      <c r="J121" s="210"/>
      <c r="K121" s="210"/>
      <c r="L121" s="211"/>
    </row>
    <row r="122" spans="2:12" ht="30" customHeight="1" x14ac:dyDescent="0.35">
      <c r="B122" s="208" t="s">
        <v>77</v>
      </c>
      <c r="C122" s="208"/>
      <c r="D122" s="8" t="s">
        <v>0</v>
      </c>
      <c r="E122" s="8" t="s">
        <v>109</v>
      </c>
      <c r="F122" s="8" t="s">
        <v>1</v>
      </c>
      <c r="G122" s="8" t="s">
        <v>110</v>
      </c>
      <c r="H122" s="8" t="s">
        <v>111</v>
      </c>
      <c r="I122" s="8" t="s">
        <v>6</v>
      </c>
      <c r="J122" s="8" t="s">
        <v>112</v>
      </c>
      <c r="K122" s="8" t="s">
        <v>108</v>
      </c>
      <c r="L122" s="8" t="s">
        <v>7</v>
      </c>
    </row>
    <row r="123" spans="2:12" ht="30" customHeight="1" x14ac:dyDescent="0.35">
      <c r="B123" s="200" t="s">
        <v>216</v>
      </c>
      <c r="C123" s="200"/>
      <c r="D123" s="75">
        <f t="shared" ref="D123:L123" si="1">SUM(D98:D107)</f>
        <v>0</v>
      </c>
      <c r="E123" s="75">
        <f t="shared" si="1"/>
        <v>0</v>
      </c>
      <c r="F123" s="75">
        <f t="shared" si="1"/>
        <v>0</v>
      </c>
      <c r="G123" s="75">
        <f t="shared" si="1"/>
        <v>0</v>
      </c>
      <c r="H123" s="75">
        <f t="shared" si="1"/>
        <v>0</v>
      </c>
      <c r="I123" s="75">
        <f t="shared" si="1"/>
        <v>0</v>
      </c>
      <c r="J123" s="76">
        <f t="shared" si="1"/>
        <v>0</v>
      </c>
      <c r="K123" s="75">
        <f t="shared" si="1"/>
        <v>0</v>
      </c>
      <c r="L123" s="77">
        <f t="shared" si="1"/>
        <v>0</v>
      </c>
    </row>
    <row r="124" spans="2:12" ht="30" customHeight="1" x14ac:dyDescent="0.35">
      <c r="B124" s="200" t="s">
        <v>217</v>
      </c>
      <c r="C124" s="200"/>
      <c r="D124" s="78">
        <v>100</v>
      </c>
      <c r="E124" s="78">
        <v>25</v>
      </c>
      <c r="F124" s="78">
        <v>100</v>
      </c>
      <c r="G124" s="78">
        <v>50</v>
      </c>
      <c r="H124" s="78">
        <v>100</v>
      </c>
      <c r="I124" s="78">
        <v>100</v>
      </c>
      <c r="J124" s="79">
        <v>100000</v>
      </c>
      <c r="K124" s="78">
        <v>10</v>
      </c>
      <c r="L124" s="78">
        <v>0.5</v>
      </c>
    </row>
    <row r="125" spans="2:12" x14ac:dyDescent="0.35">
      <c r="B125" s="7"/>
      <c r="C125" s="7"/>
      <c r="D125" s="11"/>
      <c r="E125" s="7"/>
      <c r="F125" s="7"/>
      <c r="G125" s="7"/>
      <c r="H125" s="7"/>
      <c r="I125" s="7"/>
      <c r="J125" s="7"/>
      <c r="K125" s="7"/>
      <c r="L125" s="7"/>
    </row>
  </sheetData>
  <sheetProtection algorithmName="SHA-512" hashValue="MB2HCk53jcmzDB6g92IVrpJHgrS2X+4JpXOZz1nW5Ti/jlg0iiH4GZOCgr3QbHe09aYPu1SUVmPt4RNm6cdFGg==" saltValue="hYhSYS7SLT41iZNskpML/g==" spinCount="100000" sheet="1" objects="1" scenarios="1"/>
  <protectedRanges>
    <protectedRange sqref="D9:J11 B24:C33 G24:I33" name="Range1"/>
  </protectedRanges>
  <mergeCells count="142">
    <mergeCell ref="B36:L38"/>
    <mergeCell ref="J32:L32"/>
    <mergeCell ref="J33:L33"/>
    <mergeCell ref="G32:I32"/>
    <mergeCell ref="G33:I33"/>
    <mergeCell ref="J23:L23"/>
    <mergeCell ref="J24:L24"/>
    <mergeCell ref="J25:L25"/>
    <mergeCell ref="J26:L26"/>
    <mergeCell ref="J27:L27"/>
    <mergeCell ref="J28:L28"/>
    <mergeCell ref="J29:L29"/>
    <mergeCell ref="D33:F33"/>
    <mergeCell ref="B35:L35"/>
    <mergeCell ref="B32:C32"/>
    <mergeCell ref="D32:F32"/>
    <mergeCell ref="B24:C24"/>
    <mergeCell ref="D24:F24"/>
    <mergeCell ref="B29:C29"/>
    <mergeCell ref="D29:F29"/>
    <mergeCell ref="B30:C30"/>
    <mergeCell ref="D30:F30"/>
    <mergeCell ref="B27:C27"/>
    <mergeCell ref="D27:F27"/>
    <mergeCell ref="B41:L44"/>
    <mergeCell ref="B93:L94"/>
    <mergeCell ref="B109:L112"/>
    <mergeCell ref="B114:L119"/>
    <mergeCell ref="B76:L79"/>
    <mergeCell ref="B72:L73"/>
    <mergeCell ref="B68:L70"/>
    <mergeCell ref="B62:L65"/>
    <mergeCell ref="B54:L58"/>
    <mergeCell ref="B48:L51"/>
    <mergeCell ref="B71:L71"/>
    <mergeCell ref="B2:L2"/>
    <mergeCell ref="B105:C105"/>
    <mergeCell ref="B106:C106"/>
    <mergeCell ref="B107:C107"/>
    <mergeCell ref="B92:L92"/>
    <mergeCell ref="B91:L91"/>
    <mergeCell ref="B95:L95"/>
    <mergeCell ref="B96:C97"/>
    <mergeCell ref="D96:L96"/>
    <mergeCell ref="B98:C98"/>
    <mergeCell ref="B99:C99"/>
    <mergeCell ref="B100:C100"/>
    <mergeCell ref="B74:L74"/>
    <mergeCell ref="B75:L75"/>
    <mergeCell ref="G83:J83"/>
    <mergeCell ref="K83:L83"/>
    <mergeCell ref="G82:J82"/>
    <mergeCell ref="K82:L82"/>
    <mergeCell ref="B67:L67"/>
    <mergeCell ref="B81:C81"/>
    <mergeCell ref="D81:F81"/>
    <mergeCell ref="G81:J81"/>
    <mergeCell ref="K81:L81"/>
    <mergeCell ref="J30:L30"/>
    <mergeCell ref="B123:C123"/>
    <mergeCell ref="B124:C124"/>
    <mergeCell ref="G90:J90"/>
    <mergeCell ref="K90:L90"/>
    <mergeCell ref="B82:C90"/>
    <mergeCell ref="D82:F90"/>
    <mergeCell ref="G88:J88"/>
    <mergeCell ref="K88:L88"/>
    <mergeCell ref="G89:J89"/>
    <mergeCell ref="K89:L89"/>
    <mergeCell ref="G86:J86"/>
    <mergeCell ref="K86:L86"/>
    <mergeCell ref="G87:J87"/>
    <mergeCell ref="K87:L87"/>
    <mergeCell ref="G84:J84"/>
    <mergeCell ref="K84:L84"/>
    <mergeCell ref="G85:J85"/>
    <mergeCell ref="K85:L85"/>
    <mergeCell ref="B101:C101"/>
    <mergeCell ref="B102:C102"/>
    <mergeCell ref="B103:C103"/>
    <mergeCell ref="B104:C104"/>
    <mergeCell ref="B122:C122"/>
    <mergeCell ref="D121:L121"/>
    <mergeCell ref="B13:L13"/>
    <mergeCell ref="B53:L53"/>
    <mergeCell ref="B52:L52"/>
    <mergeCell ref="B45:L45"/>
    <mergeCell ref="B39:L39"/>
    <mergeCell ref="B34:L34"/>
    <mergeCell ref="B61:C61"/>
    <mergeCell ref="D61:F61"/>
    <mergeCell ref="G61:J61"/>
    <mergeCell ref="K61:L61"/>
    <mergeCell ref="B60:C60"/>
    <mergeCell ref="D60:F60"/>
    <mergeCell ref="G60:J60"/>
    <mergeCell ref="K60:L60"/>
    <mergeCell ref="B47:C47"/>
    <mergeCell ref="D47:F47"/>
    <mergeCell ref="K47:L47"/>
    <mergeCell ref="G47:J47"/>
    <mergeCell ref="B46:C46"/>
    <mergeCell ref="D46:F46"/>
    <mergeCell ref="K46:L46"/>
    <mergeCell ref="G46:J46"/>
    <mergeCell ref="B40:L40"/>
    <mergeCell ref="B33:C33"/>
    <mergeCell ref="B28:C28"/>
    <mergeCell ref="D28:F28"/>
    <mergeCell ref="B25:C25"/>
    <mergeCell ref="D25:F25"/>
    <mergeCell ref="B26:C26"/>
    <mergeCell ref="D26:F26"/>
    <mergeCell ref="J31:L31"/>
    <mergeCell ref="G24:I24"/>
    <mergeCell ref="G25:I25"/>
    <mergeCell ref="G26:I26"/>
    <mergeCell ref="G27:I27"/>
    <mergeCell ref="B23:C23"/>
    <mergeCell ref="D23:F23"/>
    <mergeCell ref="B31:C31"/>
    <mergeCell ref="D31:F31"/>
    <mergeCell ref="D5:J5"/>
    <mergeCell ref="D6:J6"/>
    <mergeCell ref="B22:L22"/>
    <mergeCell ref="D9:J9"/>
    <mergeCell ref="D4:F4"/>
    <mergeCell ref="B9:C9"/>
    <mergeCell ref="B10:C10"/>
    <mergeCell ref="B11:C11"/>
    <mergeCell ref="D10:J10"/>
    <mergeCell ref="D11:J11"/>
    <mergeCell ref="B6:C6"/>
    <mergeCell ref="B5:C5"/>
    <mergeCell ref="D8:I8"/>
    <mergeCell ref="G23:I23"/>
    <mergeCell ref="G28:I28"/>
    <mergeCell ref="G29:I29"/>
    <mergeCell ref="G30:I30"/>
    <mergeCell ref="G31:I31"/>
    <mergeCell ref="B18:L21"/>
    <mergeCell ref="B14:L16"/>
  </mergeCells>
  <conditionalFormatting sqref="D123:L123">
    <cfRule type="expression" dxfId="7" priority="18">
      <formula>D$123&gt;=D$124</formula>
    </cfRule>
  </conditionalFormatting>
  <conditionalFormatting sqref="K47">
    <cfRule type="expression" dxfId="6" priority="11">
      <formula>AND($B$47&lt;&gt;"",$B$47="Yes")</formula>
    </cfRule>
  </conditionalFormatting>
  <conditionalFormatting sqref="K61:L61">
    <cfRule type="expression" dxfId="5" priority="10">
      <formula>AND($B$61&lt;&gt;"",$B$61="Yes")</formula>
    </cfRule>
  </conditionalFormatting>
  <conditionalFormatting sqref="K82:L90">
    <cfRule type="expression" dxfId="4" priority="9">
      <formula>AND($B$82&lt;&gt;"",$B$82="Yes")</formula>
    </cfRule>
  </conditionalFormatting>
  <dataValidations xWindow="171" yWindow="485" count="3">
    <dataValidation type="decimal" allowBlank="1" showErrorMessage="1" errorTitle="Error" error="Please enter a value between 0 and 420,000 Btu per hour. If the total heat input capacity is greater than 420,000 Btu per hour, then your space heaters do not qualify as an insignificant activity under this citation." promptTitle="Total Heat Input Capacity" prompt="Please enter a value between 0 and 420,000 Btu per hour." sqref="K47:L47">
      <formula1>0</formula1>
      <formula2>420000</formula2>
    </dataValidation>
    <dataValidation type="decimal" allowBlank="1" showInputMessage="1" showErrorMessage="1" errorTitle="Error" error="Please enter a value between 0 and 1,400,000 Btu per hour. If the total heat input capacity is greater than 1,400,000 Btu per hour, then your heating equipment do not qualify as an insignificant activity under this citation." sqref="K61:L61">
      <formula1>0</formula1>
      <formula2>1400000</formula2>
    </dataValidation>
    <dataValidation type="list" allowBlank="1" showErrorMessage="1" errorTitle="Error" error="Please enter exactly &quot;Yes&quot; if this activity exists or is performed at the business or exactly &quot;No&quot; if it does not." promptTitle="Enter &quot;Yes&quot; or &quot;No&quot;" prompt="Indicate whether or not your business has emission units that qualify under this rule citation. Choose &quot;Yes&quot; if your business has this type of emission unit. Choose &quot;No&quot; if your business does not have this type of emission unit." sqref="B24:C33">
      <formula1>"Check one, Yes, No"</formula1>
    </dataValidation>
  </dataValidations>
  <hyperlinks>
    <hyperlink ref="D32:F32" r:id="rId1" display="7008.4100"/>
    <hyperlink ref="D33:F33" r:id="rId2" display="7008.4110"/>
    <hyperlink ref="D47:F47" r:id="rId3" location="rule.7007.1300.3.A" display="7007.1300, subp. 3(A)"/>
    <hyperlink ref="D25:F25" r:id="rId4" location="rule.7007.1300.3.B.2" display="https://www.revisor.mn.gov/rules/7007.1300/ - rule.7007.1300.3.B.2"/>
    <hyperlink ref="D27:F27" r:id="rId5" location="rule.7007.1300.3.C.2" display="https://www.revisor.mn.gov/rules/7007.1300/ - rule.7007.1300.3.C.2"/>
    <hyperlink ref="D28:F28" r:id="rId6" location="rule.7007.1300.3.D" display="https://www.revisor.mn.gov/rules/7007.1300/ - rule.7007.1300.3.D"/>
    <hyperlink ref="D29:F29" r:id="rId7" location="rule.7007.1300.3.E" display="https://www.revisor.mn.gov/rules/7007.1300/ - rule.7007.1300.3.E"/>
    <hyperlink ref="D30:F30" r:id="rId8" location="rule.7007.1300.3.F" display="https://www.revisor.mn.gov/rules/7007.1300/ - rule.7007.1300.3.F"/>
    <hyperlink ref="D61:F61" r:id="rId9" location="rule.7007.1300.3.B.2" display="7007.1300, subp. 3(B)(2)"/>
    <hyperlink ref="D82:F90" r:id="rId10" location="rule.7007.1300.3.F" display="7007.1300, subp. 3(F)"/>
    <hyperlink ref="D24:F24" r:id="rId11" location="rule.7007.1300.3.A" display="https://www.revisor.mn.gov/rules/7007.1300/ - rule.7007.1300.3.A"/>
    <hyperlink ref="D26:F26" r:id="rId12" location="rule.7007.1300.3.C.1" display="https://www.revisor.mn.gov/rules/7007.1300/ - rule.7007.1300.3.C.1"/>
    <hyperlink ref="D31:F31" r:id="rId13" location="rule.7007.1300.3.G" display="https://www.revisor.mn.gov/rules/7007.1300/ - rule.7007.1300.3.G"/>
  </hyperlinks>
  <pageMargins left="0.7" right="0.7" top="0.75" bottom="0.75" header="0.3" footer="0.3"/>
  <pageSetup fitToHeight="0" orientation="landscape" r:id="rId14"/>
  <headerFooter>
    <oddFooter>&amp;L&amp;"Arial,Italic"&amp;8p-sbap5-35&amp;C&amp;"Arial,Italic"&amp;8https://www.pca.state.mn.us  •  Available in alternative formats  
•  651-296-6300  •  800-657-3864  •  Use your preferred relay service&amp;R&amp;"Arial,Italic"&amp;8Page &amp;P of &amp;N</oddFooter>
  </headerFooter>
  <rowBreaks count="3" manualBreakCount="3">
    <brk id="34" min="1" max="11" man="1"/>
    <brk id="66" min="1" max="11" man="1"/>
    <brk id="91" min="1" max="11"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rgb="FFD1EAFF"/>
    <pageSetUpPr fitToPage="1"/>
  </sheetPr>
  <dimension ref="A1:O126"/>
  <sheetViews>
    <sheetView showGridLines="0" zoomScaleNormal="100" workbookViewId="0">
      <selection activeCell="E20" sqref="E20"/>
    </sheetView>
  </sheetViews>
  <sheetFormatPr defaultRowHeight="15" customHeight="1" x14ac:dyDescent="0.35"/>
  <cols>
    <col min="1" max="1" width="3.54296875" customWidth="1"/>
    <col min="2" max="2" width="4.26953125" style="80" customWidth="1"/>
    <col min="3" max="4" width="16.81640625" style="88" customWidth="1"/>
    <col min="5" max="7" width="16.453125" style="88" customWidth="1"/>
    <col min="8" max="10" width="16.453125" customWidth="1"/>
  </cols>
  <sheetData>
    <row r="1" spans="1:14" ht="15" customHeight="1" x14ac:dyDescent="0.35">
      <c r="A1" s="80"/>
      <c r="C1" s="80"/>
      <c r="D1" s="80"/>
      <c r="E1" s="285" t="s">
        <v>325</v>
      </c>
      <c r="F1" s="285"/>
      <c r="G1" s="285"/>
      <c r="H1" s="285"/>
      <c r="I1" s="285"/>
      <c r="J1" s="285"/>
      <c r="K1" s="81"/>
      <c r="L1" s="81"/>
      <c r="M1" s="81"/>
      <c r="N1" s="81"/>
    </row>
    <row r="2" spans="1:14" ht="15" customHeight="1" x14ac:dyDescent="0.35">
      <c r="A2" s="80"/>
      <c r="C2" s="80"/>
      <c r="D2" s="80"/>
      <c r="E2" s="285"/>
      <c r="F2" s="285"/>
      <c r="G2" s="285"/>
      <c r="H2" s="285"/>
      <c r="I2" s="285"/>
      <c r="J2" s="285"/>
      <c r="K2" s="81"/>
      <c r="L2" s="81"/>
      <c r="M2" s="81"/>
      <c r="N2" s="81"/>
    </row>
    <row r="3" spans="1:14" ht="18.75" customHeight="1" x14ac:dyDescent="0.35">
      <c r="A3" s="80"/>
      <c r="C3" s="80"/>
      <c r="D3" s="80"/>
      <c r="E3" s="285"/>
      <c r="F3" s="285"/>
      <c r="G3" s="285"/>
      <c r="H3" s="285"/>
      <c r="I3" s="285"/>
      <c r="J3" s="285"/>
      <c r="K3" s="81"/>
      <c r="L3" s="81"/>
      <c r="M3" s="81"/>
      <c r="N3" s="81"/>
    </row>
    <row r="4" spans="1:14" s="50" customFormat="1" ht="15" customHeight="1" x14ac:dyDescent="0.25">
      <c r="B4" s="287" t="str">
        <f>'Read me (instructions)'!L3</f>
        <v>p-sbap5-35 • 3/29/21</v>
      </c>
      <c r="C4" s="287"/>
      <c r="D4" s="287"/>
      <c r="E4" s="287"/>
      <c r="F4" s="287"/>
      <c r="G4" s="287"/>
      <c r="H4" s="287"/>
      <c r="I4" s="287"/>
      <c r="J4" s="287"/>
      <c r="N4" s="82"/>
    </row>
    <row r="5" spans="1:14" s="50" customFormat="1" ht="13" x14ac:dyDescent="0.25">
      <c r="B5" s="108"/>
      <c r="C5" s="108"/>
      <c r="D5" s="108"/>
      <c r="E5" s="108"/>
      <c r="F5" s="108"/>
      <c r="G5" s="108"/>
      <c r="H5" s="108"/>
      <c r="I5" s="108"/>
      <c r="J5" s="108"/>
      <c r="N5" s="82"/>
    </row>
    <row r="6" spans="1:14" s="50" customFormat="1" ht="15" customHeight="1" thickBot="1" x14ac:dyDescent="0.35">
      <c r="B6" s="288" t="s">
        <v>275</v>
      </c>
      <c r="C6" s="288"/>
      <c r="D6" s="288"/>
      <c r="E6" s="288"/>
      <c r="F6" s="288"/>
      <c r="G6" s="288"/>
      <c r="H6" s="288"/>
      <c r="I6" s="288"/>
      <c r="J6" s="288"/>
      <c r="N6" s="82"/>
    </row>
    <row r="7" spans="1:14" s="131" customFormat="1" ht="15" customHeight="1" x14ac:dyDescent="0.25">
      <c r="B7" s="132"/>
      <c r="C7" s="229" t="s">
        <v>356</v>
      </c>
      <c r="D7" s="229"/>
      <c r="E7" s="229"/>
      <c r="F7" s="229"/>
      <c r="G7" s="229"/>
      <c r="H7" s="229"/>
      <c r="I7" s="229"/>
      <c r="J7" s="229"/>
    </row>
    <row r="8" spans="1:14" s="131" customFormat="1" ht="15" customHeight="1" x14ac:dyDescent="0.25">
      <c r="B8" s="132"/>
      <c r="C8" s="229"/>
      <c r="D8" s="229"/>
      <c r="E8" s="229"/>
      <c r="F8" s="229"/>
      <c r="G8" s="229"/>
      <c r="H8" s="229"/>
      <c r="I8" s="229"/>
      <c r="J8" s="229"/>
    </row>
    <row r="9" spans="1:14" s="131" customFormat="1" ht="15" customHeight="1" x14ac:dyDescent="0.25">
      <c r="B9" s="132"/>
      <c r="C9" s="289" t="s">
        <v>319</v>
      </c>
      <c r="D9" s="289"/>
      <c r="E9" s="289"/>
      <c r="F9" s="289"/>
      <c r="G9" s="289"/>
      <c r="H9" s="289"/>
      <c r="I9" s="289"/>
      <c r="J9" s="289"/>
    </row>
    <row r="10" spans="1:14" s="131" customFormat="1" ht="15" customHeight="1" x14ac:dyDescent="0.25">
      <c r="B10" s="132"/>
      <c r="C10" s="289"/>
      <c r="D10" s="289"/>
      <c r="E10" s="289"/>
      <c r="F10" s="289"/>
      <c r="G10" s="289"/>
      <c r="H10" s="289"/>
      <c r="I10" s="289"/>
      <c r="J10" s="289"/>
    </row>
    <row r="11" spans="1:14" s="131" customFormat="1" ht="15" customHeight="1" x14ac:dyDescent="0.25">
      <c r="B11" s="132"/>
      <c r="C11" s="133"/>
      <c r="D11" s="133"/>
      <c r="E11" s="133"/>
      <c r="F11" s="133"/>
      <c r="G11" s="134"/>
      <c r="H11" s="133"/>
    </row>
    <row r="12" spans="1:14" s="131" customFormat="1" ht="15" customHeight="1" x14ac:dyDescent="0.25">
      <c r="B12" s="234" t="s">
        <v>320</v>
      </c>
      <c r="C12" s="234"/>
      <c r="D12" s="234"/>
      <c r="E12" s="234"/>
      <c r="F12" s="234"/>
      <c r="G12" s="234"/>
      <c r="H12" s="234"/>
      <c r="I12" s="234"/>
      <c r="J12" s="234"/>
    </row>
    <row r="13" spans="1:14" s="131" customFormat="1" ht="15" customHeight="1" x14ac:dyDescent="0.25">
      <c r="B13" s="87"/>
      <c r="C13" s="227" t="s">
        <v>321</v>
      </c>
      <c r="D13" s="227"/>
      <c r="E13" s="227"/>
      <c r="F13" s="227"/>
      <c r="G13" s="227"/>
      <c r="H13" s="227"/>
      <c r="I13" s="227"/>
      <c r="J13" s="227"/>
    </row>
    <row r="14" spans="1:14" s="135" customFormat="1" ht="15" customHeight="1" x14ac:dyDescent="0.35">
      <c r="B14" s="136"/>
      <c r="C14" s="290" t="s">
        <v>322</v>
      </c>
      <c r="D14" s="290"/>
      <c r="E14" s="290"/>
      <c r="F14" s="290"/>
      <c r="G14" s="290"/>
      <c r="H14" s="290"/>
      <c r="I14" s="290"/>
      <c r="J14" s="290"/>
    </row>
    <row r="15" spans="1:14" s="135" customFormat="1" ht="15" customHeight="1" x14ac:dyDescent="0.35">
      <c r="B15" s="136"/>
      <c r="C15" s="290"/>
      <c r="D15" s="290"/>
      <c r="E15" s="290"/>
      <c r="F15" s="290"/>
      <c r="G15" s="290"/>
      <c r="H15" s="290"/>
      <c r="I15" s="290"/>
      <c r="J15" s="290"/>
    </row>
    <row r="16" spans="1:14" s="131" customFormat="1" ht="15" customHeight="1" x14ac:dyDescent="0.25">
      <c r="B16" s="87"/>
      <c r="C16" s="290"/>
      <c r="D16" s="290"/>
      <c r="E16" s="290"/>
      <c r="F16" s="290"/>
      <c r="G16" s="290"/>
      <c r="H16" s="290"/>
      <c r="I16" s="290"/>
      <c r="J16" s="290"/>
      <c r="K16" s="82"/>
    </row>
    <row r="17" spans="2:15" s="131" customFormat="1" ht="15" customHeight="1" x14ac:dyDescent="0.25">
      <c r="B17" s="87"/>
      <c r="C17" s="290" t="s">
        <v>323</v>
      </c>
      <c r="D17" s="290"/>
      <c r="E17" s="290"/>
      <c r="F17" s="290"/>
      <c r="G17" s="291" t="s">
        <v>324</v>
      </c>
      <c r="H17" s="291"/>
      <c r="I17" s="137"/>
      <c r="J17" s="137"/>
      <c r="K17" s="82"/>
    </row>
    <row r="18" spans="2:15" s="83" customFormat="1" ht="15" customHeight="1" x14ac:dyDescent="0.35">
      <c r="B18" s="94"/>
      <c r="C18" s="94"/>
      <c r="D18" s="94"/>
      <c r="E18" s="94"/>
      <c r="F18" s="94"/>
      <c r="G18" s="94"/>
      <c r="H18" s="94"/>
      <c r="I18" s="94"/>
      <c r="J18" s="94"/>
    </row>
    <row r="19" spans="2:15" s="50" customFormat="1" ht="15" customHeight="1" x14ac:dyDescent="0.3">
      <c r="B19" s="286" t="s">
        <v>241</v>
      </c>
      <c r="C19" s="286"/>
      <c r="D19" s="286"/>
      <c r="E19" s="286"/>
      <c r="F19" s="286"/>
      <c r="G19" s="286"/>
      <c r="H19" s="286"/>
      <c r="I19" s="286"/>
      <c r="J19" s="286"/>
      <c r="N19" s="82"/>
    </row>
    <row r="20" spans="2:15" s="84" customFormat="1" ht="15" customHeight="1" x14ac:dyDescent="0.35">
      <c r="B20" s="99"/>
      <c r="C20" s="239" t="s">
        <v>242</v>
      </c>
      <c r="D20" s="239"/>
      <c r="E20" s="96"/>
      <c r="F20" s="100"/>
      <c r="O20" s="85"/>
    </row>
    <row r="21" spans="2:15" s="50" customFormat="1" ht="15" customHeight="1" x14ac:dyDescent="0.25">
      <c r="B21" s="282"/>
      <c r="C21" s="282"/>
      <c r="D21" s="282"/>
      <c r="E21" s="282"/>
      <c r="F21" s="282"/>
      <c r="G21" s="282"/>
      <c r="H21" s="282"/>
      <c r="I21" s="282"/>
      <c r="J21" s="282"/>
    </row>
    <row r="22" spans="2:15" s="50" customFormat="1" ht="15" customHeight="1" x14ac:dyDescent="0.3">
      <c r="B22" s="240" t="s">
        <v>244</v>
      </c>
      <c r="C22" s="240"/>
      <c r="D22" s="240"/>
      <c r="E22" s="240"/>
      <c r="F22" s="240"/>
      <c r="G22" s="240"/>
      <c r="H22" s="240"/>
      <c r="I22" s="240"/>
      <c r="J22" s="240"/>
    </row>
    <row r="23" spans="2:15" s="50" customFormat="1" ht="15" customHeight="1" x14ac:dyDescent="0.25">
      <c r="B23" s="241" t="s">
        <v>346</v>
      </c>
      <c r="C23" s="237" t="s">
        <v>245</v>
      </c>
      <c r="D23" s="237"/>
      <c r="E23" s="280">
        <v>0</v>
      </c>
      <c r="F23" s="278" t="s">
        <v>246</v>
      </c>
      <c r="G23" s="283"/>
      <c r="H23" s="284"/>
      <c r="I23" s="284"/>
      <c r="J23" s="284"/>
    </row>
    <row r="24" spans="2:15" s="50" customFormat="1" ht="15" customHeight="1" x14ac:dyDescent="0.25">
      <c r="B24" s="241"/>
      <c r="C24" s="237"/>
      <c r="D24" s="237"/>
      <c r="E24" s="281"/>
      <c r="F24" s="279"/>
      <c r="G24" s="283"/>
      <c r="H24" s="284"/>
      <c r="I24" s="284"/>
      <c r="J24" s="284"/>
    </row>
    <row r="25" spans="2:15" s="50" customFormat="1" ht="15" customHeight="1" x14ac:dyDescent="0.25">
      <c r="B25" s="241" t="s">
        <v>347</v>
      </c>
      <c r="C25" s="237" t="s">
        <v>247</v>
      </c>
      <c r="D25" s="237"/>
      <c r="E25" s="276">
        <v>0</v>
      </c>
      <c r="F25" s="278" t="s">
        <v>248</v>
      </c>
      <c r="G25" s="265" t="s">
        <v>249</v>
      </c>
      <c r="H25" s="266"/>
      <c r="I25" s="266"/>
      <c r="J25" s="266"/>
    </row>
    <row r="26" spans="2:15" s="50" customFormat="1" ht="15" customHeight="1" x14ac:dyDescent="0.25">
      <c r="B26" s="241"/>
      <c r="C26" s="237"/>
      <c r="D26" s="237"/>
      <c r="E26" s="277"/>
      <c r="F26" s="279"/>
      <c r="G26" s="265"/>
      <c r="H26" s="266"/>
      <c r="I26" s="266"/>
      <c r="J26" s="266"/>
    </row>
    <row r="27" spans="2:15" s="50" customFormat="1" ht="15" customHeight="1" x14ac:dyDescent="0.25">
      <c r="B27" s="241" t="s">
        <v>348</v>
      </c>
      <c r="C27" s="237" t="s">
        <v>250</v>
      </c>
      <c r="D27" s="237"/>
      <c r="E27" s="280">
        <v>0</v>
      </c>
      <c r="F27" s="278" t="s">
        <v>251</v>
      </c>
      <c r="G27" s="265" t="s">
        <v>252</v>
      </c>
      <c r="H27" s="266"/>
      <c r="I27" s="266"/>
      <c r="J27" s="266"/>
    </row>
    <row r="28" spans="2:15" s="50" customFormat="1" ht="15" customHeight="1" x14ac:dyDescent="0.25">
      <c r="B28" s="241"/>
      <c r="C28" s="237"/>
      <c r="D28" s="237"/>
      <c r="E28" s="281"/>
      <c r="F28" s="279"/>
      <c r="G28" s="265"/>
      <c r="H28" s="266"/>
      <c r="I28" s="266"/>
      <c r="J28" s="266"/>
    </row>
    <row r="29" spans="2:15" s="50" customFormat="1" ht="15" customHeight="1" x14ac:dyDescent="0.25">
      <c r="B29" s="241"/>
      <c r="C29" s="237" t="s">
        <v>253</v>
      </c>
      <c r="D29" s="237"/>
      <c r="E29" s="261">
        <f>(1/7000)*(60/1)</f>
        <v>8.5714285714285719E-3</v>
      </c>
      <c r="F29" s="263" t="s">
        <v>254</v>
      </c>
      <c r="G29" s="265" t="s">
        <v>255</v>
      </c>
      <c r="H29" s="266"/>
      <c r="I29" s="266"/>
      <c r="J29" s="266"/>
    </row>
    <row r="30" spans="2:15" s="50" customFormat="1" ht="15" customHeight="1" thickBot="1" x14ac:dyDescent="0.3">
      <c r="B30" s="241"/>
      <c r="C30" s="249"/>
      <c r="D30" s="249"/>
      <c r="E30" s="262"/>
      <c r="F30" s="264"/>
      <c r="G30" s="267"/>
      <c r="H30" s="268"/>
      <c r="I30" s="268"/>
      <c r="J30" s="268"/>
    </row>
    <row r="31" spans="2:15" s="50" customFormat="1" ht="15" customHeight="1" x14ac:dyDescent="0.25">
      <c r="B31" s="241" t="s">
        <v>349</v>
      </c>
      <c r="C31" s="243" t="s">
        <v>355</v>
      </c>
      <c r="D31" s="243"/>
      <c r="E31" s="269">
        <f>E23*E25*E27*E29</f>
        <v>0</v>
      </c>
      <c r="F31" s="236" t="s">
        <v>256</v>
      </c>
      <c r="G31" s="237"/>
      <c r="H31" s="237"/>
      <c r="I31" s="237"/>
      <c r="J31" s="237"/>
    </row>
    <row r="32" spans="2:15" s="50" customFormat="1" ht="15" customHeight="1" x14ac:dyDescent="0.25">
      <c r="B32" s="241"/>
      <c r="C32" s="243"/>
      <c r="D32" s="243"/>
      <c r="E32" s="254"/>
      <c r="F32" s="236"/>
      <c r="G32" s="237"/>
      <c r="H32" s="237"/>
      <c r="I32" s="237"/>
      <c r="J32" s="237"/>
    </row>
    <row r="33" spans="2:10" s="50" customFormat="1" ht="15" customHeight="1" x14ac:dyDescent="0.25">
      <c r="B33" s="238"/>
      <c r="C33" s="238"/>
      <c r="D33" s="238"/>
      <c r="E33" s="238"/>
      <c r="F33" s="238"/>
      <c r="G33" s="238"/>
      <c r="H33" s="238"/>
      <c r="I33" s="238"/>
      <c r="J33" s="238"/>
    </row>
    <row r="34" spans="2:10" s="50" customFormat="1" ht="15" customHeight="1" x14ac:dyDescent="0.3">
      <c r="B34" s="240" t="s">
        <v>257</v>
      </c>
      <c r="C34" s="240"/>
      <c r="D34" s="240"/>
      <c r="E34" s="240"/>
      <c r="F34" s="240"/>
      <c r="G34" s="240"/>
      <c r="H34" s="240"/>
      <c r="I34" s="240"/>
      <c r="J34" s="240"/>
    </row>
    <row r="35" spans="2:10" s="50" customFormat="1" ht="15" customHeight="1" x14ac:dyDescent="0.25">
      <c r="B35" s="241"/>
      <c r="C35" s="237" t="s">
        <v>342</v>
      </c>
      <c r="D35" s="237"/>
      <c r="E35" s="270" t="s">
        <v>258</v>
      </c>
      <c r="F35" s="271"/>
      <c r="G35" s="272"/>
      <c r="H35" s="255" t="s">
        <v>344</v>
      </c>
      <c r="I35" s="255"/>
      <c r="J35" s="255"/>
    </row>
    <row r="36" spans="2:10" s="50" customFormat="1" ht="15" customHeight="1" x14ac:dyDescent="0.25">
      <c r="B36" s="241"/>
      <c r="C36" s="237"/>
      <c r="D36" s="237"/>
      <c r="E36" s="273"/>
      <c r="F36" s="274"/>
      <c r="G36" s="275"/>
      <c r="H36" s="255"/>
      <c r="I36" s="255"/>
      <c r="J36" s="255"/>
    </row>
    <row r="37" spans="2:10" s="50" customFormat="1" ht="15" customHeight="1" x14ac:dyDescent="0.25">
      <c r="B37" s="241" t="s">
        <v>350</v>
      </c>
      <c r="C37" s="237" t="s">
        <v>259</v>
      </c>
      <c r="D37" s="248"/>
      <c r="E37" s="251" t="str">
        <f>'Data validation'!B18</f>
        <v>--</v>
      </c>
      <c r="F37" s="257"/>
      <c r="G37" s="258"/>
      <c r="H37" s="255"/>
      <c r="I37" s="255"/>
      <c r="J37" s="255"/>
    </row>
    <row r="38" spans="2:10" s="50" customFormat="1" ht="15" customHeight="1" thickBot="1" x14ac:dyDescent="0.3">
      <c r="B38" s="241"/>
      <c r="C38" s="249"/>
      <c r="D38" s="250"/>
      <c r="E38" s="252"/>
      <c r="F38" s="259"/>
      <c r="G38" s="260"/>
      <c r="H38" s="256"/>
      <c r="I38" s="256"/>
      <c r="J38" s="256"/>
    </row>
    <row r="39" spans="2:10" s="50" customFormat="1" ht="15" customHeight="1" x14ac:dyDescent="0.25">
      <c r="B39" s="241" t="s">
        <v>351</v>
      </c>
      <c r="C39" s="243" t="s">
        <v>354</v>
      </c>
      <c r="D39" s="243"/>
      <c r="E39" s="253">
        <f>IFERROR(E31*E37,0)</f>
        <v>0</v>
      </c>
      <c r="F39" s="236" t="s">
        <v>260</v>
      </c>
      <c r="G39" s="237"/>
      <c r="H39" s="237"/>
      <c r="I39" s="237"/>
      <c r="J39" s="237"/>
    </row>
    <row r="40" spans="2:10" s="50" customFormat="1" ht="15" customHeight="1" x14ac:dyDescent="0.25">
      <c r="B40" s="241"/>
      <c r="C40" s="243"/>
      <c r="D40" s="243"/>
      <c r="E40" s="254"/>
      <c r="F40" s="236"/>
      <c r="G40" s="237"/>
      <c r="H40" s="237"/>
      <c r="I40" s="237"/>
      <c r="J40" s="237"/>
    </row>
    <row r="41" spans="2:10" s="50" customFormat="1" ht="15" customHeight="1" x14ac:dyDescent="0.25">
      <c r="B41" s="238"/>
      <c r="C41" s="238"/>
      <c r="D41" s="238"/>
      <c r="E41" s="238"/>
      <c r="F41" s="238"/>
      <c r="G41" s="238"/>
      <c r="H41" s="238"/>
      <c r="I41" s="238"/>
      <c r="J41" s="238"/>
    </row>
    <row r="42" spans="2:10" s="50" customFormat="1" ht="15" customHeight="1" thickBot="1" x14ac:dyDescent="0.35">
      <c r="B42" s="240" t="s">
        <v>261</v>
      </c>
      <c r="C42" s="240"/>
      <c r="D42" s="240"/>
      <c r="E42" s="240"/>
      <c r="F42" s="240"/>
      <c r="G42" s="240"/>
      <c r="H42" s="240"/>
      <c r="I42" s="240"/>
      <c r="J42" s="240"/>
    </row>
    <row r="43" spans="2:10" s="50" customFormat="1" ht="15" customHeight="1" x14ac:dyDescent="0.25">
      <c r="B43" s="241" t="s">
        <v>352</v>
      </c>
      <c r="C43" s="242" t="s">
        <v>353</v>
      </c>
      <c r="D43" s="242"/>
      <c r="E43" s="244">
        <f>E31+E39</f>
        <v>0</v>
      </c>
      <c r="F43" s="246" t="s">
        <v>262</v>
      </c>
      <c r="G43" s="247"/>
      <c r="H43" s="247"/>
      <c r="I43" s="247"/>
      <c r="J43" s="247"/>
    </row>
    <row r="44" spans="2:10" s="50" customFormat="1" ht="15" customHeight="1" x14ac:dyDescent="0.25">
      <c r="B44" s="241"/>
      <c r="C44" s="243"/>
      <c r="D44" s="243"/>
      <c r="E44" s="245"/>
      <c r="F44" s="236"/>
      <c r="G44" s="237"/>
      <c r="H44" s="237"/>
      <c r="I44" s="237"/>
      <c r="J44" s="237"/>
    </row>
    <row r="45" spans="2:10" s="50" customFormat="1" ht="15" customHeight="1" x14ac:dyDescent="0.25">
      <c r="B45" s="95"/>
      <c r="C45" s="237" t="s">
        <v>285</v>
      </c>
      <c r="D45" s="237"/>
      <c r="E45" s="237"/>
      <c r="F45" s="237"/>
      <c r="G45" s="237"/>
      <c r="H45" s="237"/>
      <c r="I45" s="237"/>
      <c r="J45" s="237"/>
    </row>
    <row r="46" spans="2:10" s="50" customFormat="1" ht="15" customHeight="1" x14ac:dyDescent="0.25">
      <c r="C46" s="239" t="s">
        <v>286</v>
      </c>
      <c r="D46" s="239"/>
      <c r="E46" s="239"/>
      <c r="F46" s="239"/>
      <c r="G46" s="239"/>
      <c r="H46" s="239"/>
      <c r="I46" s="239"/>
      <c r="J46" s="239"/>
    </row>
    <row r="47" spans="2:10" s="50" customFormat="1" ht="15" customHeight="1" x14ac:dyDescent="0.25">
      <c r="B47" s="87"/>
      <c r="C47" s="239"/>
      <c r="D47" s="239"/>
      <c r="E47" s="239"/>
      <c r="F47" s="239"/>
      <c r="G47" s="239"/>
      <c r="H47" s="239"/>
      <c r="I47" s="239"/>
      <c r="J47" s="239"/>
    </row>
    <row r="48" spans="2:10" s="50" customFormat="1" ht="15" customHeight="1" x14ac:dyDescent="0.25">
      <c r="B48" s="87"/>
      <c r="C48" s="86"/>
      <c r="D48" s="86"/>
      <c r="E48" s="86"/>
      <c r="F48" s="86"/>
      <c r="G48" s="86"/>
    </row>
    <row r="49" spans="2:11" s="50" customFormat="1" ht="15" customHeight="1" x14ac:dyDescent="0.3">
      <c r="B49" s="145" t="s">
        <v>343</v>
      </c>
      <c r="C49" s="86"/>
      <c r="D49" s="86"/>
      <c r="E49" s="86"/>
      <c r="F49" s="86"/>
    </row>
    <row r="50" spans="2:11" s="50" customFormat="1" ht="15" customHeight="1" x14ac:dyDescent="0.25">
      <c r="B50" s="87"/>
      <c r="C50" s="231" t="s">
        <v>326</v>
      </c>
      <c r="D50" s="231"/>
      <c r="E50" s="231"/>
      <c r="F50" s="231"/>
      <c r="G50" s="231"/>
      <c r="H50" s="231"/>
      <c r="I50" s="231"/>
      <c r="J50" s="231"/>
    </row>
    <row r="51" spans="2:11" s="50" customFormat="1" ht="15" customHeight="1" x14ac:dyDescent="0.25">
      <c r="B51" s="87"/>
      <c r="C51" s="231"/>
      <c r="D51" s="231"/>
      <c r="E51" s="231"/>
      <c r="F51" s="231"/>
      <c r="G51" s="231"/>
      <c r="H51" s="231"/>
      <c r="I51" s="231"/>
      <c r="J51" s="231"/>
    </row>
    <row r="52" spans="2:11" s="50" customFormat="1" ht="15" customHeight="1" x14ac:dyDescent="0.25">
      <c r="B52" s="87"/>
      <c r="C52" s="232" t="s">
        <v>327</v>
      </c>
      <c r="D52" s="232"/>
      <c r="E52" s="232"/>
      <c r="F52" s="232"/>
      <c r="G52" s="232"/>
      <c r="H52" s="232"/>
      <c r="I52" s="232"/>
      <c r="J52" s="232"/>
    </row>
    <row r="53" spans="2:11" s="50" customFormat="1" ht="15" customHeight="1" x14ac:dyDescent="0.25">
      <c r="B53" s="87"/>
      <c r="C53" s="232"/>
      <c r="D53" s="232"/>
      <c r="E53" s="232"/>
      <c r="F53" s="232"/>
      <c r="G53" s="232"/>
      <c r="H53" s="232"/>
      <c r="I53" s="232"/>
      <c r="J53" s="232"/>
    </row>
    <row r="54" spans="2:11" s="50" customFormat="1" ht="15" customHeight="1" x14ac:dyDescent="0.25">
      <c r="B54" s="87"/>
      <c r="C54" s="232"/>
      <c r="D54" s="232"/>
      <c r="E54" s="232"/>
      <c r="F54" s="232"/>
      <c r="G54" s="232"/>
      <c r="H54" s="232"/>
      <c r="I54" s="232"/>
      <c r="J54" s="232"/>
    </row>
    <row r="55" spans="2:11" s="50" customFormat="1" ht="10" customHeight="1" x14ac:dyDescent="0.25">
      <c r="B55" s="87"/>
      <c r="C55" s="232"/>
      <c r="D55" s="232"/>
      <c r="E55" s="232"/>
      <c r="F55" s="232"/>
      <c r="G55" s="232"/>
      <c r="H55" s="232"/>
      <c r="I55" s="232"/>
      <c r="J55" s="232"/>
    </row>
    <row r="56" spans="2:11" s="50" customFormat="1" ht="15" customHeight="1" x14ac:dyDescent="0.25">
      <c r="B56" s="87"/>
      <c r="C56" s="233" t="s">
        <v>345</v>
      </c>
      <c r="D56" s="233"/>
      <c r="E56" s="233"/>
      <c r="F56" s="86"/>
      <c r="G56" s="86"/>
      <c r="H56" s="86"/>
      <c r="I56" s="86"/>
    </row>
    <row r="57" spans="2:11" s="50" customFormat="1" ht="15" customHeight="1" x14ac:dyDescent="0.25">
      <c r="B57" s="87"/>
      <c r="C57" s="138"/>
      <c r="D57" s="138"/>
      <c r="E57" s="138"/>
      <c r="F57" s="86"/>
      <c r="G57" s="86"/>
      <c r="H57" s="86"/>
      <c r="I57" s="86"/>
    </row>
    <row r="58" spans="2:11" s="131" customFormat="1" ht="15" customHeight="1" x14ac:dyDescent="0.25">
      <c r="B58" s="234" t="s">
        <v>328</v>
      </c>
      <c r="C58" s="234"/>
      <c r="D58" s="234"/>
      <c r="E58" s="235" t="s">
        <v>324</v>
      </c>
      <c r="F58" s="235"/>
      <c r="G58" s="139"/>
      <c r="H58" s="139"/>
      <c r="I58" s="139"/>
      <c r="J58" s="139"/>
      <c r="K58" s="82"/>
    </row>
    <row r="59" spans="2:11" s="131" customFormat="1" ht="15" customHeight="1" x14ac:dyDescent="0.25">
      <c r="B59" s="229" t="s">
        <v>329</v>
      </c>
      <c r="C59" s="229"/>
      <c r="D59" s="229"/>
      <c r="E59" s="137"/>
      <c r="F59" s="137"/>
      <c r="G59" s="137"/>
      <c r="H59" s="137"/>
      <c r="I59" s="137"/>
      <c r="J59" s="82"/>
    </row>
    <row r="60" spans="2:11" s="131" customFormat="1" ht="15" customHeight="1" x14ac:dyDescent="0.25">
      <c r="B60" s="140" t="s">
        <v>330</v>
      </c>
      <c r="C60" s="228" t="s">
        <v>331</v>
      </c>
      <c r="D60" s="228"/>
      <c r="E60" s="228"/>
      <c r="F60" s="228"/>
      <c r="G60" s="228"/>
      <c r="H60" s="228"/>
      <c r="I60" s="228"/>
      <c r="J60" s="228"/>
    </row>
    <row r="61" spans="2:11" s="131" customFormat="1" ht="15" customHeight="1" x14ac:dyDescent="0.25">
      <c r="B61" s="141"/>
      <c r="C61" s="228"/>
      <c r="D61" s="228"/>
      <c r="E61" s="228"/>
      <c r="F61" s="228"/>
      <c r="G61" s="228"/>
      <c r="H61" s="228"/>
      <c r="I61" s="228"/>
      <c r="J61" s="228"/>
    </row>
    <row r="62" spans="2:11" s="131" customFormat="1" ht="15" customHeight="1" x14ac:dyDescent="0.25">
      <c r="B62" s="140" t="s">
        <v>330</v>
      </c>
      <c r="C62" s="230" t="s">
        <v>332</v>
      </c>
      <c r="D62" s="230"/>
      <c r="E62" s="230"/>
      <c r="F62" s="230"/>
      <c r="G62" s="230"/>
      <c r="H62" s="230"/>
      <c r="I62" s="230"/>
      <c r="J62" s="230"/>
    </row>
    <row r="63" spans="2:11" s="131" customFormat="1" ht="15" customHeight="1" x14ac:dyDescent="0.25">
      <c r="B63" s="227" t="s">
        <v>333</v>
      </c>
      <c r="C63" s="227"/>
      <c r="D63" s="227"/>
      <c r="E63" s="142"/>
      <c r="F63" s="142"/>
      <c r="G63" s="142"/>
      <c r="H63" s="142"/>
      <c r="I63" s="142"/>
      <c r="J63" s="143"/>
    </row>
    <row r="64" spans="2:11" s="131" customFormat="1" ht="15" customHeight="1" x14ac:dyDescent="0.25">
      <c r="B64" s="140" t="s">
        <v>330</v>
      </c>
      <c r="C64" s="228" t="s">
        <v>334</v>
      </c>
      <c r="D64" s="228"/>
      <c r="E64" s="228"/>
      <c r="F64" s="228"/>
      <c r="G64" s="228"/>
      <c r="H64" s="228"/>
      <c r="I64" s="228"/>
      <c r="J64" s="228"/>
    </row>
    <row r="65" spans="2:10" s="131" customFormat="1" ht="15" customHeight="1" x14ac:dyDescent="0.25">
      <c r="B65" s="140"/>
      <c r="C65" s="228"/>
      <c r="D65" s="228"/>
      <c r="E65" s="228"/>
      <c r="F65" s="228"/>
      <c r="G65" s="228"/>
      <c r="H65" s="228"/>
      <c r="I65" s="228"/>
      <c r="J65" s="228"/>
    </row>
    <row r="66" spans="2:10" s="131" customFormat="1" ht="15" customHeight="1" x14ac:dyDescent="0.25">
      <c r="B66" s="140" t="s">
        <v>330</v>
      </c>
      <c r="C66" s="226" t="s">
        <v>335</v>
      </c>
      <c r="D66" s="226"/>
      <c r="E66" s="226"/>
      <c r="F66" s="226"/>
      <c r="G66" s="226"/>
      <c r="H66" s="226"/>
      <c r="I66" s="226"/>
      <c r="J66" s="226"/>
    </row>
    <row r="67" spans="2:10" s="131" customFormat="1" ht="15" customHeight="1" x14ac:dyDescent="0.25">
      <c r="B67" s="227" t="s">
        <v>336</v>
      </c>
      <c r="C67" s="227"/>
      <c r="D67" s="227"/>
      <c r="E67" s="227"/>
      <c r="F67" s="142"/>
      <c r="G67" s="142"/>
      <c r="H67" s="142"/>
      <c r="I67" s="142"/>
      <c r="J67" s="143"/>
    </row>
    <row r="68" spans="2:10" s="131" customFormat="1" ht="15" customHeight="1" x14ac:dyDescent="0.25">
      <c r="B68" s="140" t="s">
        <v>330</v>
      </c>
      <c r="C68" s="228" t="s">
        <v>337</v>
      </c>
      <c r="D68" s="228"/>
      <c r="E68" s="228"/>
      <c r="F68" s="228"/>
      <c r="G68" s="228"/>
      <c r="H68" s="228"/>
      <c r="I68" s="228"/>
      <c r="J68" s="228"/>
    </row>
    <row r="69" spans="2:10" s="131" customFormat="1" ht="15" customHeight="1" x14ac:dyDescent="0.25">
      <c r="B69" s="133"/>
      <c r="C69" s="228"/>
      <c r="D69" s="228"/>
      <c r="E69" s="228"/>
      <c r="F69" s="228"/>
      <c r="G69" s="228"/>
      <c r="H69" s="228"/>
      <c r="I69" s="228"/>
      <c r="J69" s="228"/>
    </row>
    <row r="70" spans="2:10" s="131" customFormat="1" ht="15" customHeight="1" x14ac:dyDescent="0.25">
      <c r="B70" s="227" t="s">
        <v>338</v>
      </c>
      <c r="C70" s="227"/>
      <c r="D70" s="227"/>
      <c r="E70" s="142"/>
      <c r="F70" s="142"/>
      <c r="G70" s="142"/>
      <c r="H70" s="142"/>
      <c r="I70" s="142"/>
      <c r="J70" s="143"/>
    </row>
    <row r="71" spans="2:10" s="131" customFormat="1" ht="15" customHeight="1" x14ac:dyDescent="0.25">
      <c r="B71" s="140" t="s">
        <v>330</v>
      </c>
      <c r="C71" s="228" t="s">
        <v>357</v>
      </c>
      <c r="D71" s="228"/>
      <c r="E71" s="228"/>
      <c r="F71" s="228"/>
      <c r="G71" s="228"/>
      <c r="H71" s="228"/>
      <c r="I71" s="228"/>
      <c r="J71" s="228"/>
    </row>
    <row r="72" spans="2:10" s="131" customFormat="1" ht="15" customHeight="1" x14ac:dyDescent="0.25">
      <c r="B72" s="140"/>
      <c r="C72" s="228"/>
      <c r="D72" s="228"/>
      <c r="E72" s="228"/>
      <c r="F72" s="228"/>
      <c r="G72" s="228"/>
      <c r="H72" s="228"/>
      <c r="I72" s="228"/>
      <c r="J72" s="228"/>
    </row>
    <row r="73" spans="2:10" s="131" customFormat="1" ht="15" customHeight="1" x14ac:dyDescent="0.25">
      <c r="B73" s="144"/>
      <c r="C73" s="228"/>
      <c r="D73" s="228"/>
      <c r="E73" s="228"/>
      <c r="F73" s="228"/>
      <c r="G73" s="228"/>
      <c r="H73" s="228"/>
      <c r="I73" s="228"/>
      <c r="J73" s="228"/>
    </row>
    <row r="74" spans="2:10" s="131" customFormat="1" ht="7.5" customHeight="1" x14ac:dyDescent="0.25">
      <c r="B74" s="144"/>
      <c r="C74" s="228"/>
      <c r="D74" s="228"/>
      <c r="E74" s="228"/>
      <c r="F74" s="228"/>
      <c r="G74" s="228"/>
      <c r="H74" s="228"/>
      <c r="I74" s="228"/>
      <c r="J74" s="228"/>
    </row>
    <row r="75" spans="2:10" s="131" customFormat="1" ht="15" customHeight="1" x14ac:dyDescent="0.25">
      <c r="B75" s="87"/>
      <c r="C75" s="225" t="s">
        <v>339</v>
      </c>
      <c r="D75" s="225"/>
      <c r="E75" s="225"/>
      <c r="F75" s="225"/>
      <c r="G75" s="225"/>
      <c r="H75" s="225"/>
      <c r="I75" s="225"/>
      <c r="J75" s="225"/>
    </row>
    <row r="76" spans="2:10" s="131" customFormat="1" ht="15" customHeight="1" x14ac:dyDescent="0.25">
      <c r="B76" s="87"/>
      <c r="C76" s="225" t="s">
        <v>340</v>
      </c>
      <c r="D76" s="225"/>
      <c r="E76" s="225"/>
      <c r="F76" s="225"/>
      <c r="G76" s="225"/>
      <c r="H76" s="225"/>
      <c r="I76" s="225"/>
      <c r="J76" s="225"/>
    </row>
    <row r="77" spans="2:10" s="131" customFormat="1" ht="15" customHeight="1" x14ac:dyDescent="0.25">
      <c r="B77" s="87"/>
      <c r="C77" s="225" t="s">
        <v>341</v>
      </c>
      <c r="D77" s="225"/>
      <c r="E77" s="225"/>
      <c r="F77" s="225"/>
      <c r="G77" s="225"/>
      <c r="H77" s="225"/>
      <c r="I77" s="225"/>
      <c r="J77" s="225"/>
    </row>
    <row r="78" spans="2:10" s="50" customFormat="1" ht="15" customHeight="1" x14ac:dyDescent="0.25">
      <c r="B78" s="87"/>
      <c r="C78" s="86"/>
      <c r="D78" s="86"/>
      <c r="E78" s="86"/>
      <c r="F78" s="86"/>
      <c r="G78" s="86"/>
    </row>
    <row r="79" spans="2:10" s="50" customFormat="1" ht="15" customHeight="1" x14ac:dyDescent="0.25">
      <c r="B79" s="87"/>
      <c r="C79" s="86"/>
      <c r="D79" s="86"/>
      <c r="E79" s="86"/>
      <c r="F79" s="86"/>
      <c r="G79" s="86"/>
    </row>
    <row r="80" spans="2:10" s="50" customFormat="1" ht="15" customHeight="1" x14ac:dyDescent="0.25">
      <c r="B80" s="87"/>
      <c r="C80" s="86"/>
      <c r="D80" s="86"/>
      <c r="E80" s="86"/>
      <c r="F80" s="86"/>
      <c r="G80" s="86"/>
    </row>
    <row r="81" spans="2:7" s="50" customFormat="1" ht="15" customHeight="1" x14ac:dyDescent="0.25">
      <c r="B81" s="87"/>
      <c r="C81" s="86"/>
      <c r="D81" s="86"/>
      <c r="E81" s="86"/>
      <c r="F81" s="86"/>
      <c r="G81" s="86"/>
    </row>
    <row r="82" spans="2:7" s="50" customFormat="1" ht="15" customHeight="1" x14ac:dyDescent="0.25">
      <c r="B82" s="87"/>
      <c r="C82" s="86"/>
      <c r="D82" s="86"/>
      <c r="E82" s="86"/>
      <c r="F82" s="86"/>
      <c r="G82" s="86"/>
    </row>
    <row r="83" spans="2:7" s="50" customFormat="1" ht="15" customHeight="1" x14ac:dyDescent="0.25">
      <c r="B83" s="87"/>
      <c r="C83" s="86"/>
      <c r="D83" s="86"/>
      <c r="E83" s="86"/>
      <c r="F83" s="86"/>
      <c r="G83" s="86"/>
    </row>
    <row r="84" spans="2:7" s="50" customFormat="1" ht="15" customHeight="1" x14ac:dyDescent="0.25">
      <c r="B84" s="87"/>
      <c r="C84" s="86"/>
      <c r="D84" s="86"/>
      <c r="E84" s="86"/>
      <c r="F84" s="86"/>
      <c r="G84" s="86"/>
    </row>
    <row r="85" spans="2:7" s="50" customFormat="1" ht="15" customHeight="1" x14ac:dyDescent="0.25">
      <c r="B85" s="87"/>
      <c r="C85" s="86"/>
      <c r="D85" s="86"/>
      <c r="E85" s="86"/>
      <c r="F85" s="86"/>
      <c r="G85" s="86"/>
    </row>
    <row r="86" spans="2:7" s="50" customFormat="1" ht="15" customHeight="1" x14ac:dyDescent="0.25">
      <c r="B86" s="87"/>
      <c r="C86" s="86"/>
      <c r="D86" s="86"/>
      <c r="E86" s="86"/>
      <c r="F86" s="86"/>
      <c r="G86" s="86"/>
    </row>
    <row r="87" spans="2:7" s="50" customFormat="1" ht="15" customHeight="1" x14ac:dyDescent="0.25">
      <c r="B87" s="87"/>
      <c r="C87" s="86"/>
      <c r="D87" s="86"/>
      <c r="E87" s="86"/>
      <c r="F87" s="86"/>
      <c r="G87" s="86"/>
    </row>
    <row r="88" spans="2:7" s="50" customFormat="1" ht="15" customHeight="1" x14ac:dyDescent="0.25">
      <c r="B88" s="87"/>
      <c r="C88" s="86"/>
      <c r="D88" s="86"/>
      <c r="E88" s="86"/>
      <c r="F88" s="86"/>
      <c r="G88" s="86"/>
    </row>
    <row r="89" spans="2:7" s="50" customFormat="1" ht="15" customHeight="1" x14ac:dyDescent="0.25">
      <c r="B89" s="87"/>
      <c r="C89" s="86"/>
      <c r="D89" s="86"/>
      <c r="E89" s="86"/>
      <c r="F89" s="86"/>
      <c r="G89" s="86"/>
    </row>
    <row r="90" spans="2:7" s="50" customFormat="1" ht="15" customHeight="1" x14ac:dyDescent="0.25">
      <c r="B90" s="87"/>
      <c r="C90" s="86"/>
      <c r="D90" s="86"/>
      <c r="E90" s="86"/>
      <c r="F90" s="86"/>
      <c r="G90" s="86"/>
    </row>
    <row r="91" spans="2:7" s="50" customFormat="1" ht="15" customHeight="1" x14ac:dyDescent="0.25">
      <c r="B91" s="87"/>
      <c r="C91" s="86"/>
      <c r="D91" s="86"/>
      <c r="E91" s="86"/>
      <c r="F91" s="86"/>
      <c r="G91" s="86"/>
    </row>
    <row r="92" spans="2:7" s="50" customFormat="1" ht="15" customHeight="1" x14ac:dyDescent="0.25">
      <c r="B92" s="87"/>
      <c r="C92" s="86"/>
      <c r="D92" s="86"/>
      <c r="E92" s="86"/>
      <c r="F92" s="86"/>
      <c r="G92" s="86"/>
    </row>
    <row r="93" spans="2:7" s="50" customFormat="1" ht="15" customHeight="1" x14ac:dyDescent="0.25">
      <c r="B93" s="87"/>
      <c r="C93" s="86"/>
      <c r="D93" s="86"/>
      <c r="E93" s="86"/>
      <c r="F93" s="86"/>
      <c r="G93" s="86"/>
    </row>
    <row r="94" spans="2:7" s="50" customFormat="1" ht="15" customHeight="1" x14ac:dyDescent="0.25">
      <c r="B94" s="87"/>
      <c r="C94" s="86"/>
      <c r="D94" s="86"/>
      <c r="E94" s="86"/>
      <c r="F94" s="86"/>
      <c r="G94" s="86"/>
    </row>
    <row r="95" spans="2:7" s="50" customFormat="1" ht="15" customHeight="1" x14ac:dyDescent="0.25">
      <c r="B95" s="87"/>
      <c r="C95" s="86"/>
      <c r="D95" s="86"/>
      <c r="E95" s="86"/>
      <c r="F95" s="86"/>
      <c r="G95" s="86"/>
    </row>
    <row r="96" spans="2:7" s="50" customFormat="1" ht="15" customHeight="1" x14ac:dyDescent="0.25">
      <c r="B96" s="87"/>
      <c r="C96" s="86"/>
      <c r="D96" s="86"/>
      <c r="E96" s="86"/>
      <c r="F96" s="86"/>
      <c r="G96" s="86"/>
    </row>
    <row r="97" spans="2:7" s="50" customFormat="1" ht="15" customHeight="1" x14ac:dyDescent="0.25">
      <c r="B97" s="87"/>
      <c r="C97" s="86"/>
      <c r="D97" s="86"/>
      <c r="E97" s="86"/>
      <c r="F97" s="86"/>
      <c r="G97" s="86"/>
    </row>
    <row r="98" spans="2:7" s="50" customFormat="1" ht="15" customHeight="1" x14ac:dyDescent="0.25">
      <c r="B98" s="87"/>
      <c r="C98" s="86"/>
      <c r="D98" s="86"/>
      <c r="E98" s="86"/>
      <c r="F98" s="86"/>
      <c r="G98" s="86"/>
    </row>
    <row r="99" spans="2:7" s="50" customFormat="1" ht="15" customHeight="1" x14ac:dyDescent="0.25">
      <c r="B99" s="87"/>
      <c r="C99" s="86"/>
      <c r="D99" s="86"/>
      <c r="E99" s="86"/>
      <c r="F99" s="86"/>
      <c r="G99" s="86"/>
    </row>
    <row r="100" spans="2:7" s="50" customFormat="1" ht="15" customHeight="1" x14ac:dyDescent="0.25">
      <c r="B100" s="87"/>
      <c r="C100" s="86"/>
      <c r="D100" s="86"/>
      <c r="E100" s="86"/>
      <c r="F100" s="86"/>
      <c r="G100" s="86"/>
    </row>
    <row r="101" spans="2:7" s="50" customFormat="1" ht="15" customHeight="1" x14ac:dyDescent="0.25">
      <c r="B101" s="87"/>
      <c r="C101" s="86"/>
      <c r="D101" s="86"/>
      <c r="E101" s="86"/>
      <c r="F101" s="86"/>
      <c r="G101" s="86"/>
    </row>
    <row r="102" spans="2:7" s="50" customFormat="1" ht="15" customHeight="1" x14ac:dyDescent="0.25">
      <c r="B102" s="87"/>
      <c r="C102" s="86"/>
      <c r="D102" s="86"/>
      <c r="E102" s="86"/>
      <c r="F102" s="86"/>
      <c r="G102" s="86"/>
    </row>
    <row r="103" spans="2:7" s="50" customFormat="1" ht="15" customHeight="1" x14ac:dyDescent="0.25">
      <c r="B103" s="87"/>
      <c r="C103" s="86"/>
      <c r="D103" s="86"/>
      <c r="E103" s="86"/>
      <c r="F103" s="86"/>
      <c r="G103" s="86"/>
    </row>
    <row r="104" spans="2:7" s="50" customFormat="1" ht="15" customHeight="1" x14ac:dyDescent="0.25">
      <c r="B104" s="87"/>
      <c r="C104" s="86"/>
      <c r="D104" s="86"/>
      <c r="E104" s="86"/>
      <c r="F104" s="86"/>
      <c r="G104" s="86"/>
    </row>
    <row r="105" spans="2:7" s="50" customFormat="1" ht="15" customHeight="1" x14ac:dyDescent="0.25">
      <c r="B105" s="87"/>
      <c r="C105" s="86"/>
      <c r="D105" s="86"/>
      <c r="E105" s="86"/>
      <c r="F105" s="86"/>
      <c r="G105" s="86"/>
    </row>
    <row r="106" spans="2:7" s="50" customFormat="1" ht="15" customHeight="1" x14ac:dyDescent="0.25">
      <c r="B106" s="87"/>
      <c r="C106" s="86"/>
      <c r="D106" s="86"/>
      <c r="E106" s="86"/>
      <c r="F106" s="86"/>
      <c r="G106" s="86"/>
    </row>
    <row r="107" spans="2:7" s="50" customFormat="1" ht="15" customHeight="1" x14ac:dyDescent="0.25">
      <c r="B107" s="87"/>
      <c r="C107" s="86"/>
      <c r="D107" s="86"/>
      <c r="E107" s="86"/>
      <c r="F107" s="86"/>
      <c r="G107" s="86"/>
    </row>
    <row r="108" spans="2:7" s="50" customFormat="1" ht="15" customHeight="1" x14ac:dyDescent="0.25">
      <c r="B108" s="87"/>
      <c r="C108" s="86"/>
      <c r="D108" s="86"/>
      <c r="E108" s="86"/>
      <c r="F108" s="86"/>
      <c r="G108" s="86"/>
    </row>
    <row r="109" spans="2:7" s="50" customFormat="1" ht="15" customHeight="1" x14ac:dyDescent="0.25">
      <c r="B109" s="87"/>
      <c r="C109" s="86"/>
      <c r="D109" s="86"/>
      <c r="E109" s="86"/>
      <c r="F109" s="86"/>
      <c r="G109" s="86"/>
    </row>
    <row r="110" spans="2:7" s="50" customFormat="1" ht="15" customHeight="1" x14ac:dyDescent="0.25">
      <c r="B110" s="87"/>
      <c r="C110" s="86"/>
      <c r="D110" s="86"/>
      <c r="E110" s="86"/>
      <c r="F110" s="86"/>
      <c r="G110" s="86"/>
    </row>
    <row r="111" spans="2:7" s="50" customFormat="1" ht="15" customHeight="1" x14ac:dyDescent="0.25">
      <c r="B111" s="87"/>
      <c r="C111" s="86"/>
      <c r="D111" s="86"/>
      <c r="E111" s="86"/>
      <c r="F111" s="86"/>
      <c r="G111" s="86"/>
    </row>
    <row r="112" spans="2:7" s="50" customFormat="1" ht="15" customHeight="1" x14ac:dyDescent="0.25">
      <c r="B112" s="87"/>
      <c r="C112" s="86"/>
      <c r="D112" s="86"/>
      <c r="E112" s="86"/>
      <c r="F112" s="86"/>
      <c r="G112" s="86"/>
    </row>
    <row r="113" spans="2:7" s="50" customFormat="1" ht="15" customHeight="1" x14ac:dyDescent="0.25">
      <c r="B113" s="87"/>
      <c r="C113" s="86"/>
      <c r="D113" s="86"/>
      <c r="E113" s="86"/>
      <c r="F113" s="86"/>
      <c r="G113" s="86"/>
    </row>
    <row r="114" spans="2:7" s="50" customFormat="1" ht="15" customHeight="1" x14ac:dyDescent="0.25">
      <c r="B114" s="87"/>
      <c r="C114" s="86"/>
      <c r="D114" s="86"/>
      <c r="E114" s="86"/>
      <c r="F114" s="86"/>
      <c r="G114" s="86"/>
    </row>
    <row r="115" spans="2:7" s="50" customFormat="1" ht="15" customHeight="1" x14ac:dyDescent="0.25">
      <c r="B115" s="87"/>
      <c r="C115" s="86"/>
      <c r="D115" s="86"/>
      <c r="E115" s="86"/>
      <c r="F115" s="86"/>
      <c r="G115" s="86"/>
    </row>
    <row r="116" spans="2:7" s="50" customFormat="1" ht="15" customHeight="1" x14ac:dyDescent="0.25">
      <c r="B116" s="87"/>
      <c r="C116" s="86"/>
      <c r="D116" s="86"/>
      <c r="E116" s="86"/>
      <c r="F116" s="86"/>
      <c r="G116" s="86"/>
    </row>
    <row r="117" spans="2:7" s="50" customFormat="1" ht="15" customHeight="1" x14ac:dyDescent="0.25">
      <c r="B117" s="87"/>
      <c r="C117" s="86"/>
      <c r="D117" s="86"/>
      <c r="E117" s="86"/>
      <c r="F117" s="86"/>
      <c r="G117" s="86"/>
    </row>
    <row r="118" spans="2:7" s="50" customFormat="1" ht="15" customHeight="1" x14ac:dyDescent="0.25">
      <c r="B118" s="87"/>
      <c r="C118" s="86"/>
      <c r="D118" s="86"/>
      <c r="E118" s="86"/>
      <c r="F118" s="86"/>
      <c r="G118" s="86"/>
    </row>
    <row r="119" spans="2:7" s="50" customFormat="1" ht="15" customHeight="1" x14ac:dyDescent="0.25">
      <c r="B119" s="87"/>
      <c r="C119" s="86"/>
      <c r="D119" s="86"/>
      <c r="E119" s="86"/>
      <c r="F119" s="86"/>
      <c r="G119" s="86"/>
    </row>
    <row r="120" spans="2:7" s="50" customFormat="1" ht="15" customHeight="1" x14ac:dyDescent="0.25">
      <c r="B120" s="87"/>
      <c r="C120" s="86"/>
      <c r="D120" s="86"/>
      <c r="E120" s="86"/>
      <c r="F120" s="86"/>
      <c r="G120" s="86"/>
    </row>
    <row r="121" spans="2:7" s="50" customFormat="1" ht="15" customHeight="1" x14ac:dyDescent="0.25">
      <c r="B121" s="87"/>
      <c r="C121" s="86"/>
      <c r="D121" s="86"/>
      <c r="E121" s="86"/>
      <c r="F121" s="86"/>
      <c r="G121" s="86"/>
    </row>
    <row r="122" spans="2:7" s="50" customFormat="1" ht="15" customHeight="1" x14ac:dyDescent="0.25">
      <c r="B122" s="87"/>
      <c r="C122" s="86"/>
      <c r="D122" s="86"/>
      <c r="E122" s="86"/>
      <c r="F122" s="86"/>
      <c r="G122" s="86"/>
    </row>
    <row r="123" spans="2:7" s="50" customFormat="1" ht="15" customHeight="1" x14ac:dyDescent="0.25">
      <c r="B123" s="87"/>
      <c r="C123" s="86"/>
      <c r="D123" s="86"/>
      <c r="E123" s="86"/>
      <c r="F123" s="86"/>
      <c r="G123" s="86"/>
    </row>
    <row r="124" spans="2:7" s="50" customFormat="1" ht="15" customHeight="1" x14ac:dyDescent="0.25">
      <c r="B124" s="87"/>
      <c r="C124" s="86"/>
      <c r="D124" s="86"/>
      <c r="E124" s="86"/>
      <c r="F124" s="86"/>
      <c r="G124" s="86"/>
    </row>
    <row r="125" spans="2:7" s="50" customFormat="1" ht="15" customHeight="1" x14ac:dyDescent="0.25">
      <c r="B125" s="87"/>
      <c r="C125" s="86"/>
      <c r="D125" s="86"/>
      <c r="E125" s="86"/>
      <c r="F125" s="86"/>
      <c r="G125" s="86"/>
    </row>
    <row r="126" spans="2:7" s="50" customFormat="1" ht="15" customHeight="1" x14ac:dyDescent="0.25">
      <c r="B126" s="87"/>
      <c r="C126" s="86"/>
      <c r="D126" s="86"/>
      <c r="E126" s="86"/>
      <c r="F126" s="86"/>
      <c r="G126" s="86"/>
    </row>
  </sheetData>
  <sheetProtection algorithmName="SHA-512" hashValue="JcLQyHWwC5Sq6RFHGVyrzNtvgOHGv9Ko3eZFQ5BgdAgKIL4GC7/+31+asM9t15eIRXiIFUgqcpLHbaMBTkZeug==" saltValue="iKqR7g42uE0KQq+eEjmdqA==" spinCount="100000" sheet="1" objects="1" scenarios="1"/>
  <protectedRanges>
    <protectedRange sqref="K1:ZZ6 K18:ZZ48 K78:ZZ427" name="Range4"/>
    <protectedRange sqref="A1:A6 A18:A46" name="Range2"/>
    <protectedRange sqref="E23:E28 E20 E35:G36" name="BlueCells"/>
    <protectedRange sqref="A47:J48 A78:J427" name="Range3"/>
    <protectedRange sqref="K12:ZW17 I12:J13 I7:ZU11" name="Range4_3"/>
    <protectedRange sqref="A7:A17" name="Range2_3"/>
    <protectedRange sqref="K71:ZW77 K58:ZW58 J59:ZV70" name="Range4_4"/>
    <protectedRange sqref="A58:A61" name="Range2_4"/>
    <protectedRange sqref="C63 C75:C77 B67:C67 A73:D73 C71:D72 C68 F74:J74 E71:J73 B69:C70 A62:A72 A74:B77 D74:D77 E75:J77 D62:I70" name="Range3_1"/>
    <protectedRange sqref="C60:C62 C64:C65" name="BlankCells_1"/>
    <protectedRange sqref="J49:ZY49 J56:ZY57 K50:ZZ55" name="Range4_5"/>
    <protectedRange sqref="B49:I49 C56:I57 B50:B57 A49:A57 C50:J55" name="Range3_2"/>
  </protectedRanges>
  <mergeCells count="78">
    <mergeCell ref="E1:J3"/>
    <mergeCell ref="B19:J19"/>
    <mergeCell ref="C20:D20"/>
    <mergeCell ref="B4:J4"/>
    <mergeCell ref="B6:J6"/>
    <mergeCell ref="C7:J8"/>
    <mergeCell ref="C9:J10"/>
    <mergeCell ref="B12:J12"/>
    <mergeCell ref="C13:J13"/>
    <mergeCell ref="C14:J16"/>
    <mergeCell ref="C17:F17"/>
    <mergeCell ref="G17:H17"/>
    <mergeCell ref="B21:J21"/>
    <mergeCell ref="B22:J22"/>
    <mergeCell ref="B23:B24"/>
    <mergeCell ref="C23:D24"/>
    <mergeCell ref="E23:E24"/>
    <mergeCell ref="F23:F24"/>
    <mergeCell ref="G23:J24"/>
    <mergeCell ref="B27:B28"/>
    <mergeCell ref="C27:D28"/>
    <mergeCell ref="E27:E28"/>
    <mergeCell ref="F27:F28"/>
    <mergeCell ref="G27:J28"/>
    <mergeCell ref="B25:B26"/>
    <mergeCell ref="C25:D26"/>
    <mergeCell ref="E25:E26"/>
    <mergeCell ref="F25:F26"/>
    <mergeCell ref="G25:J26"/>
    <mergeCell ref="H35:J38"/>
    <mergeCell ref="F37:G38"/>
    <mergeCell ref="E29:E30"/>
    <mergeCell ref="F29:F30"/>
    <mergeCell ref="G29:J30"/>
    <mergeCell ref="B33:J33"/>
    <mergeCell ref="B34:J34"/>
    <mergeCell ref="B31:B32"/>
    <mergeCell ref="C31:D32"/>
    <mergeCell ref="E31:E32"/>
    <mergeCell ref="F31:J32"/>
    <mergeCell ref="B29:B30"/>
    <mergeCell ref="C29:D30"/>
    <mergeCell ref="B35:B36"/>
    <mergeCell ref="C35:D36"/>
    <mergeCell ref="E35:G36"/>
    <mergeCell ref="B37:B38"/>
    <mergeCell ref="C37:D38"/>
    <mergeCell ref="E37:E38"/>
    <mergeCell ref="B39:B40"/>
    <mergeCell ref="C39:D40"/>
    <mergeCell ref="E39:E40"/>
    <mergeCell ref="F39:J40"/>
    <mergeCell ref="B41:J41"/>
    <mergeCell ref="C45:J45"/>
    <mergeCell ref="C46:J47"/>
    <mergeCell ref="B42:J42"/>
    <mergeCell ref="B43:B44"/>
    <mergeCell ref="C43:D44"/>
    <mergeCell ref="E43:E44"/>
    <mergeCell ref="F43:J44"/>
    <mergeCell ref="C50:J51"/>
    <mergeCell ref="C52:J55"/>
    <mergeCell ref="C56:E56"/>
    <mergeCell ref="B58:D58"/>
    <mergeCell ref="E58:F58"/>
    <mergeCell ref="B59:D59"/>
    <mergeCell ref="C60:J61"/>
    <mergeCell ref="C62:J62"/>
    <mergeCell ref="B63:D63"/>
    <mergeCell ref="C64:J65"/>
    <mergeCell ref="C75:J75"/>
    <mergeCell ref="C76:J76"/>
    <mergeCell ref="C77:J77"/>
    <mergeCell ref="C66:J66"/>
    <mergeCell ref="B67:E67"/>
    <mergeCell ref="C68:J69"/>
    <mergeCell ref="B70:D70"/>
    <mergeCell ref="C71:J74"/>
  </mergeCells>
  <conditionalFormatting sqref="E39:E40">
    <cfRule type="containsErrors" dxfId="3" priority="5">
      <formula>ISERROR(E39)</formula>
    </cfRule>
  </conditionalFormatting>
  <conditionalFormatting sqref="E43:E44">
    <cfRule type="cellIs" dxfId="2" priority="3" operator="greaterThan">
      <formula>10000</formula>
    </cfRule>
    <cfRule type="cellIs" dxfId="1" priority="4" operator="between">
      <formula>0.000000001</formula>
      <formula>10000.0000001</formula>
    </cfRule>
    <cfRule type="containsErrors" dxfId="0" priority="6">
      <formula>ISERROR(E43)</formula>
    </cfRule>
  </conditionalFormatting>
  <hyperlinks>
    <hyperlink ref="H35:J38" r:id="rId1" display="See the control equipment rule (Minn. R. 7011.0600 to 7011.0800) for definitions and requirements, including monitoring and recordkeeping. "/>
    <hyperlink ref="G17" r:id="rId2"/>
    <hyperlink ref="E58" r:id="rId3"/>
    <hyperlink ref="C56:E56" r:id="rId4" display="A certified hood complies with Minn. R. 7011.0072."/>
  </hyperlinks>
  <pageMargins left="0.7" right="0.7" top="0.75" bottom="0.75" header="0.3" footer="0.3"/>
  <pageSetup scale="90" fitToHeight="0" orientation="landscape" r:id="rId5"/>
  <headerFooter>
    <oddFooter>&amp;L&amp;"Arial,Italic"&amp;8p-sbap5-35&amp;C&amp;"Arial,Italic"&amp;8https://www.pca.state.mn.us  •  Available in alternative formats  •  Use your preferred relay service&amp;R&amp;"Arial,Italic"&amp;8Page &amp;P of &amp;N</oddFooter>
  </headerFooter>
  <drawing r:id="rId6"/>
  <extLst>
    <ext xmlns:x14="http://schemas.microsoft.com/office/spreadsheetml/2009/9/main" uri="{CCE6A557-97BC-4b89-ADB6-D9C93CAAB3DF}">
      <x14:dataValidations xmlns:xm="http://schemas.microsoft.com/office/excel/2006/main" count="1">
        <x14:dataValidation type="list" showInputMessage="1" showErrorMessage="1">
          <x14:formula1>
            <xm:f>'Data validation'!$A$10:$A$15</xm:f>
          </x14:formula1>
          <xm:sqref>E35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tabColor theme="0" tint="-0.249977111117893"/>
    <pageSetUpPr fitToPage="1"/>
  </sheetPr>
  <dimension ref="A1:B37"/>
  <sheetViews>
    <sheetView zoomScaleNormal="100" workbookViewId="0">
      <selection activeCell="A2" sqref="A2:B2"/>
    </sheetView>
  </sheetViews>
  <sheetFormatPr defaultRowHeight="14.5" x14ac:dyDescent="0.35"/>
  <cols>
    <col min="1" max="1" width="58.7265625" customWidth="1"/>
    <col min="2" max="2" width="32.7265625" customWidth="1"/>
  </cols>
  <sheetData>
    <row r="1" spans="1:2" ht="15" customHeight="1" x14ac:dyDescent="0.35">
      <c r="A1" s="292" t="str">
        <f>'Read me (instructions)'!L3</f>
        <v>p-sbap5-35 • 3/29/21</v>
      </c>
      <c r="B1" s="292"/>
    </row>
    <row r="2" spans="1:2" ht="21" customHeight="1" thickBot="1" x14ac:dyDescent="0.5">
      <c r="A2" s="293" t="s">
        <v>264</v>
      </c>
      <c r="B2" s="293"/>
    </row>
    <row r="3" spans="1:2" ht="15" customHeight="1" x14ac:dyDescent="0.35"/>
    <row r="4" spans="1:2" ht="15" customHeight="1" x14ac:dyDescent="0.35">
      <c r="A4" s="89" t="s">
        <v>263</v>
      </c>
      <c r="B4" s="90"/>
    </row>
    <row r="5" spans="1:2" ht="15" customHeight="1" x14ac:dyDescent="0.35">
      <c r="A5" s="91" t="s">
        <v>243</v>
      </c>
      <c r="B5" s="90"/>
    </row>
    <row r="6" spans="1:2" ht="15" customHeight="1" x14ac:dyDescent="0.35">
      <c r="A6" s="91" t="s">
        <v>265</v>
      </c>
      <c r="B6" s="90"/>
    </row>
    <row r="7" spans="1:2" ht="15" customHeight="1" x14ac:dyDescent="0.35">
      <c r="A7" s="91" t="s">
        <v>266</v>
      </c>
      <c r="B7" s="90"/>
    </row>
    <row r="8" spans="1:2" ht="15" customHeight="1" x14ac:dyDescent="0.35">
      <c r="A8" s="90"/>
      <c r="B8" s="90"/>
    </row>
    <row r="9" spans="1:2" ht="15" customHeight="1" x14ac:dyDescent="0.35">
      <c r="A9" s="89" t="s">
        <v>267</v>
      </c>
      <c r="B9" s="294" t="s">
        <v>259</v>
      </c>
    </row>
    <row r="10" spans="1:2" ht="15" customHeight="1" x14ac:dyDescent="0.35">
      <c r="A10" s="91" t="s">
        <v>258</v>
      </c>
      <c r="B10" s="294"/>
    </row>
    <row r="11" spans="1:2" ht="15" customHeight="1" x14ac:dyDescent="0.35">
      <c r="A11" s="91" t="s">
        <v>268</v>
      </c>
      <c r="B11" s="93">
        <v>0</v>
      </c>
    </row>
    <row r="12" spans="1:2" ht="15" customHeight="1" x14ac:dyDescent="0.35">
      <c r="A12" s="91" t="s">
        <v>269</v>
      </c>
      <c r="B12" s="93">
        <v>3.57</v>
      </c>
    </row>
    <row r="13" spans="1:2" ht="15" customHeight="1" x14ac:dyDescent="0.35">
      <c r="A13" s="91" t="s">
        <v>270</v>
      </c>
      <c r="B13" s="93">
        <v>1.1399999999999999</v>
      </c>
    </row>
    <row r="14" spans="1:2" ht="15" customHeight="1" x14ac:dyDescent="0.35">
      <c r="A14" s="91" t="s">
        <v>271</v>
      </c>
      <c r="B14" s="93">
        <v>14.29</v>
      </c>
    </row>
    <row r="15" spans="1:2" ht="15" customHeight="1" x14ac:dyDescent="0.35">
      <c r="A15" s="91" t="s">
        <v>272</v>
      </c>
      <c r="B15" s="93">
        <v>4.54</v>
      </c>
    </row>
    <row r="16" spans="1:2" ht="15" customHeight="1" x14ac:dyDescent="0.35">
      <c r="A16" s="91"/>
      <c r="B16" s="90"/>
    </row>
    <row r="17" spans="1:2" ht="15" customHeight="1" x14ac:dyDescent="0.35">
      <c r="A17" s="92" t="s">
        <v>273</v>
      </c>
      <c r="B17" s="91"/>
    </row>
    <row r="18" spans="1:2" ht="15" customHeight="1" x14ac:dyDescent="0.35">
      <c r="A18" s="91" t="str">
        <f>'Mechanical finishing'!E35</f>
        <v>Choose control equipment type</v>
      </c>
      <c r="B18" s="91" t="str">
        <f>IF(A18=A10,"--",IF(A18=A11,B11,IF(A18=A12,B12,IF(A18=A13,B13,IF(A18=A14,B14,IF(A18=A15,B15))))))</f>
        <v>--</v>
      </c>
    </row>
    <row r="19" spans="1:2" ht="15" customHeight="1" x14ac:dyDescent="0.35">
      <c r="A19" s="90"/>
      <c r="B19" s="90"/>
    </row>
    <row r="20" spans="1:2" ht="15" customHeight="1" x14ac:dyDescent="0.35">
      <c r="A20" s="90"/>
      <c r="B20" s="90"/>
    </row>
    <row r="21" spans="1:2" ht="15" customHeight="1" x14ac:dyDescent="0.35">
      <c r="A21" s="90"/>
      <c r="B21" s="90"/>
    </row>
    <row r="22" spans="1:2" ht="15" customHeight="1" x14ac:dyDescent="0.35">
      <c r="A22" s="42"/>
      <c r="B22" s="42"/>
    </row>
    <row r="23" spans="1:2" ht="15" customHeight="1" x14ac:dyDescent="0.35">
      <c r="A23" s="42"/>
      <c r="B23" s="42"/>
    </row>
    <row r="24" spans="1:2" ht="15" customHeight="1" x14ac:dyDescent="0.35">
      <c r="A24" s="42"/>
      <c r="B24" s="42"/>
    </row>
    <row r="25" spans="1:2" ht="15" customHeight="1" x14ac:dyDescent="0.35">
      <c r="A25" s="42"/>
      <c r="B25" s="42"/>
    </row>
    <row r="26" spans="1:2" ht="15" customHeight="1" x14ac:dyDescent="0.35">
      <c r="A26" s="42"/>
      <c r="B26" s="42"/>
    </row>
    <row r="27" spans="1:2" ht="15" customHeight="1" x14ac:dyDescent="0.35">
      <c r="A27" s="42"/>
      <c r="B27" s="42"/>
    </row>
    <row r="28" spans="1:2" ht="15" customHeight="1" x14ac:dyDescent="0.35"/>
    <row r="29" spans="1:2" ht="15" customHeight="1" x14ac:dyDescent="0.35"/>
    <row r="30" spans="1:2" ht="15" customHeight="1" x14ac:dyDescent="0.35"/>
    <row r="31" spans="1:2" ht="15" customHeight="1" x14ac:dyDescent="0.35"/>
    <row r="32" spans="1:2" ht="15" customHeight="1" x14ac:dyDescent="0.35"/>
    <row r="33" ht="15" customHeight="1" x14ac:dyDescent="0.35"/>
    <row r="34" ht="15" customHeight="1" x14ac:dyDescent="0.35"/>
    <row r="35" ht="15" customHeight="1" x14ac:dyDescent="0.35"/>
    <row r="36" ht="15" customHeight="1" x14ac:dyDescent="0.35"/>
    <row r="37" ht="15" customHeight="1" x14ac:dyDescent="0.35"/>
  </sheetData>
  <sheetProtection algorithmName="SHA-512" hashValue="yea4T9i2wRDUHXYWWxdaJdt5BS6sxHVPKGUbUgARB1Y2kZVST5R/vEmlFY6c9vKgQk7DoA9K+mAfF9IdKNpeig==" saltValue="U2zsQfyfat6mhitau7yJEw==" spinCount="100000" sheet="1" objects="1" scenarios="1"/>
  <mergeCells count="3">
    <mergeCell ref="A1:B1"/>
    <mergeCell ref="A2:B2"/>
    <mergeCell ref="B9:B10"/>
  </mergeCells>
  <pageMargins left="0.7" right="0.7" top="0.75" bottom="0.75" header="0.3" footer="0.3"/>
  <pageSetup fitToHeight="0" orientation="landscape" verticalDpi="0" r:id="rId1"/>
  <headerFooter>
    <oddFooter>&amp;L&amp;"Arial,Italic"&amp;8p-sbap5-40&amp;C&amp;"Arial,Italic"&amp;8https://www.pca.state.mn.us  •  Available in alternative formats  •  Use your preferred relay service&amp;R&amp;"Arial,Italic"&amp;8Page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theme="0" tint="-0.249977111117893"/>
    <pageSetUpPr fitToPage="1"/>
  </sheetPr>
  <dimension ref="A1:WVQ59"/>
  <sheetViews>
    <sheetView workbookViewId="0">
      <selection sqref="A1:M1"/>
    </sheetView>
  </sheetViews>
  <sheetFormatPr defaultColWidth="0" defaultRowHeight="12.5" zeroHeight="1" x14ac:dyDescent="0.25"/>
  <cols>
    <col min="1" max="1" width="26" style="1" customWidth="1"/>
    <col min="2" max="2" width="14.7265625" style="1" bestFit="1" customWidth="1"/>
    <col min="3" max="3" width="16.81640625" style="1" customWidth="1"/>
    <col min="4" max="4" width="12.453125" style="1" bestFit="1" customWidth="1"/>
    <col min="5" max="5" width="14.7265625" style="1" bestFit="1" customWidth="1"/>
    <col min="6" max="6" width="12.453125" style="1" bestFit="1" customWidth="1"/>
    <col min="7" max="7" width="8.453125" style="1" bestFit="1" customWidth="1"/>
    <col min="8" max="8" width="14.26953125" style="1" bestFit="1" customWidth="1"/>
    <col min="9" max="11" width="12.453125" style="1" bestFit="1" customWidth="1"/>
    <col min="12" max="12" width="9" style="1" bestFit="1" customWidth="1"/>
    <col min="13" max="13" width="12.453125" style="1" bestFit="1" customWidth="1"/>
    <col min="14" max="258" width="9.1796875" style="1" hidden="1"/>
    <col min="259" max="260" width="10" style="1" hidden="1"/>
    <col min="261" max="263" width="9.1796875" style="1" hidden="1"/>
    <col min="264" max="264" width="10" style="1" hidden="1"/>
    <col min="265" max="265" width="12.453125" style="1" hidden="1"/>
    <col min="266" max="514" width="9.1796875" style="1" hidden="1"/>
    <col min="515" max="516" width="10" style="1" hidden="1"/>
    <col min="517" max="519" width="9.1796875" style="1" hidden="1"/>
    <col min="520" max="520" width="10" style="1" hidden="1"/>
    <col min="521" max="521" width="12.453125" style="1" hidden="1"/>
    <col min="522" max="770" width="9.1796875" style="1" hidden="1"/>
    <col min="771" max="772" width="10" style="1" hidden="1"/>
    <col min="773" max="775" width="9.1796875" style="1" hidden="1"/>
    <col min="776" max="776" width="10" style="1" hidden="1"/>
    <col min="777" max="777" width="12.453125" style="1" hidden="1"/>
    <col min="778" max="1026" width="9.1796875" style="1" hidden="1"/>
    <col min="1027" max="1028" width="10" style="1" hidden="1"/>
    <col min="1029" max="1031" width="9.1796875" style="1" hidden="1"/>
    <col min="1032" max="1032" width="10" style="1" hidden="1"/>
    <col min="1033" max="1033" width="12.453125" style="1" hidden="1"/>
    <col min="1034" max="1282" width="9.1796875" style="1" hidden="1"/>
    <col min="1283" max="1284" width="10" style="1" hidden="1"/>
    <col min="1285" max="1287" width="9.1796875" style="1" hidden="1"/>
    <col min="1288" max="1288" width="10" style="1" hidden="1"/>
    <col min="1289" max="1289" width="12.453125" style="1" hidden="1"/>
    <col min="1290" max="1538" width="9.1796875" style="1" hidden="1"/>
    <col min="1539" max="1540" width="10" style="1" hidden="1"/>
    <col min="1541" max="1543" width="9.1796875" style="1" hidden="1"/>
    <col min="1544" max="1544" width="10" style="1" hidden="1"/>
    <col min="1545" max="1545" width="12.453125" style="1" hidden="1"/>
    <col min="1546" max="1794" width="9.1796875" style="1" hidden="1"/>
    <col min="1795" max="1796" width="10" style="1" hidden="1"/>
    <col min="1797" max="1799" width="9.1796875" style="1" hidden="1"/>
    <col min="1800" max="1800" width="10" style="1" hidden="1"/>
    <col min="1801" max="1801" width="12.453125" style="1" hidden="1"/>
    <col min="1802" max="2050" width="9.1796875" style="1" hidden="1"/>
    <col min="2051" max="2052" width="10" style="1" hidden="1"/>
    <col min="2053" max="2055" width="9.1796875" style="1" hidden="1"/>
    <col min="2056" max="2056" width="10" style="1" hidden="1"/>
    <col min="2057" max="2057" width="12.453125" style="1" hidden="1"/>
    <col min="2058" max="2306" width="9.1796875" style="1" hidden="1"/>
    <col min="2307" max="2308" width="10" style="1" hidden="1"/>
    <col min="2309" max="2311" width="9.1796875" style="1" hidden="1"/>
    <col min="2312" max="2312" width="10" style="1" hidden="1"/>
    <col min="2313" max="2313" width="12.453125" style="1" hidden="1"/>
    <col min="2314" max="2562" width="9.1796875" style="1" hidden="1"/>
    <col min="2563" max="2564" width="10" style="1" hidden="1"/>
    <col min="2565" max="2567" width="9.1796875" style="1" hidden="1"/>
    <col min="2568" max="2568" width="10" style="1" hidden="1"/>
    <col min="2569" max="2569" width="12.453125" style="1" hidden="1"/>
    <col min="2570" max="2818" width="9.1796875" style="1" hidden="1"/>
    <col min="2819" max="2820" width="10" style="1" hidden="1"/>
    <col min="2821" max="2823" width="9.1796875" style="1" hidden="1"/>
    <col min="2824" max="2824" width="10" style="1" hidden="1"/>
    <col min="2825" max="2825" width="12.453125" style="1" hidden="1"/>
    <col min="2826" max="3074" width="9.1796875" style="1" hidden="1"/>
    <col min="3075" max="3076" width="10" style="1" hidden="1"/>
    <col min="3077" max="3079" width="9.1796875" style="1" hidden="1"/>
    <col min="3080" max="3080" width="10" style="1" hidden="1"/>
    <col min="3081" max="3081" width="12.453125" style="1" hidden="1"/>
    <col min="3082" max="3330" width="9.1796875" style="1" hidden="1"/>
    <col min="3331" max="3332" width="10" style="1" hidden="1"/>
    <col min="3333" max="3335" width="9.1796875" style="1" hidden="1"/>
    <col min="3336" max="3336" width="10" style="1" hidden="1"/>
    <col min="3337" max="3337" width="12.453125" style="1" hidden="1"/>
    <col min="3338" max="3586" width="9.1796875" style="1" hidden="1"/>
    <col min="3587" max="3588" width="10" style="1" hidden="1"/>
    <col min="3589" max="3591" width="9.1796875" style="1" hidden="1"/>
    <col min="3592" max="3592" width="10" style="1" hidden="1"/>
    <col min="3593" max="3593" width="12.453125" style="1" hidden="1"/>
    <col min="3594" max="3842" width="9.1796875" style="1" hidden="1"/>
    <col min="3843" max="3844" width="10" style="1" hidden="1"/>
    <col min="3845" max="3847" width="9.1796875" style="1" hidden="1"/>
    <col min="3848" max="3848" width="10" style="1" hidden="1"/>
    <col min="3849" max="3849" width="12.453125" style="1" hidden="1"/>
    <col min="3850" max="4098" width="9.1796875" style="1" hidden="1"/>
    <col min="4099" max="4100" width="10" style="1" hidden="1"/>
    <col min="4101" max="4103" width="9.1796875" style="1" hidden="1"/>
    <col min="4104" max="4104" width="10" style="1" hidden="1"/>
    <col min="4105" max="4105" width="12.453125" style="1" hidden="1"/>
    <col min="4106" max="4354" width="9.1796875" style="1" hidden="1"/>
    <col min="4355" max="4356" width="10" style="1" hidden="1"/>
    <col min="4357" max="4359" width="9.1796875" style="1" hidden="1"/>
    <col min="4360" max="4360" width="10" style="1" hidden="1"/>
    <col min="4361" max="4361" width="12.453125" style="1" hidden="1"/>
    <col min="4362" max="4610" width="9.1796875" style="1" hidden="1"/>
    <col min="4611" max="4612" width="10" style="1" hidden="1"/>
    <col min="4613" max="4615" width="9.1796875" style="1" hidden="1"/>
    <col min="4616" max="4616" width="10" style="1" hidden="1"/>
    <col min="4617" max="4617" width="12.453125" style="1" hidden="1"/>
    <col min="4618" max="4866" width="9.1796875" style="1" hidden="1"/>
    <col min="4867" max="4868" width="10" style="1" hidden="1"/>
    <col min="4869" max="4871" width="9.1796875" style="1" hidden="1"/>
    <col min="4872" max="4872" width="10" style="1" hidden="1"/>
    <col min="4873" max="4873" width="12.453125" style="1" hidden="1"/>
    <col min="4874" max="5122" width="9.1796875" style="1" hidden="1"/>
    <col min="5123" max="5124" width="10" style="1" hidden="1"/>
    <col min="5125" max="5127" width="9.1796875" style="1" hidden="1"/>
    <col min="5128" max="5128" width="10" style="1" hidden="1"/>
    <col min="5129" max="5129" width="12.453125" style="1" hidden="1"/>
    <col min="5130" max="5378" width="9.1796875" style="1" hidden="1"/>
    <col min="5379" max="5380" width="10" style="1" hidden="1"/>
    <col min="5381" max="5383" width="9.1796875" style="1" hidden="1"/>
    <col min="5384" max="5384" width="10" style="1" hidden="1"/>
    <col min="5385" max="5385" width="12.453125" style="1" hidden="1"/>
    <col min="5386" max="5634" width="9.1796875" style="1" hidden="1"/>
    <col min="5635" max="5636" width="10" style="1" hidden="1"/>
    <col min="5637" max="5639" width="9.1796875" style="1" hidden="1"/>
    <col min="5640" max="5640" width="10" style="1" hidden="1"/>
    <col min="5641" max="5641" width="12.453125" style="1" hidden="1"/>
    <col min="5642" max="5890" width="9.1796875" style="1" hidden="1"/>
    <col min="5891" max="5892" width="10" style="1" hidden="1"/>
    <col min="5893" max="5895" width="9.1796875" style="1" hidden="1"/>
    <col min="5896" max="5896" width="10" style="1" hidden="1"/>
    <col min="5897" max="5897" width="12.453125" style="1" hidden="1"/>
    <col min="5898" max="6146" width="9.1796875" style="1" hidden="1"/>
    <col min="6147" max="6148" width="10" style="1" hidden="1"/>
    <col min="6149" max="6151" width="9.1796875" style="1" hidden="1"/>
    <col min="6152" max="6152" width="10" style="1" hidden="1"/>
    <col min="6153" max="6153" width="12.453125" style="1" hidden="1"/>
    <col min="6154" max="6402" width="9.1796875" style="1" hidden="1"/>
    <col min="6403" max="6404" width="10" style="1" hidden="1"/>
    <col min="6405" max="6407" width="9.1796875" style="1" hidden="1"/>
    <col min="6408" max="6408" width="10" style="1" hidden="1"/>
    <col min="6409" max="6409" width="12.453125" style="1" hidden="1"/>
    <col min="6410" max="6658" width="9.1796875" style="1" hidden="1"/>
    <col min="6659" max="6660" width="10" style="1" hidden="1"/>
    <col min="6661" max="6663" width="9.1796875" style="1" hidden="1"/>
    <col min="6664" max="6664" width="10" style="1" hidden="1"/>
    <col min="6665" max="6665" width="12.453125" style="1" hidden="1"/>
    <col min="6666" max="6914" width="9.1796875" style="1" hidden="1"/>
    <col min="6915" max="6916" width="10" style="1" hidden="1"/>
    <col min="6917" max="6919" width="9.1796875" style="1" hidden="1"/>
    <col min="6920" max="6920" width="10" style="1" hidden="1"/>
    <col min="6921" max="6921" width="12.453125" style="1" hidden="1"/>
    <col min="6922" max="7170" width="9.1796875" style="1" hidden="1"/>
    <col min="7171" max="7172" width="10" style="1" hidden="1"/>
    <col min="7173" max="7175" width="9.1796875" style="1" hidden="1"/>
    <col min="7176" max="7176" width="10" style="1" hidden="1"/>
    <col min="7177" max="7177" width="12.453125" style="1" hidden="1"/>
    <col min="7178" max="7426" width="9.1796875" style="1" hidden="1"/>
    <col min="7427" max="7428" width="10" style="1" hidden="1"/>
    <col min="7429" max="7431" width="9.1796875" style="1" hidden="1"/>
    <col min="7432" max="7432" width="10" style="1" hidden="1"/>
    <col min="7433" max="7433" width="12.453125" style="1" hidden="1"/>
    <col min="7434" max="7682" width="9.1796875" style="1" hidden="1"/>
    <col min="7683" max="7684" width="10" style="1" hidden="1"/>
    <col min="7685" max="7687" width="9.1796875" style="1" hidden="1"/>
    <col min="7688" max="7688" width="10" style="1" hidden="1"/>
    <col min="7689" max="7689" width="12.453125" style="1" hidden="1"/>
    <col min="7690" max="7938" width="9.1796875" style="1" hidden="1"/>
    <col min="7939" max="7940" width="10" style="1" hidden="1"/>
    <col min="7941" max="7943" width="9.1796875" style="1" hidden="1"/>
    <col min="7944" max="7944" width="10" style="1" hidden="1"/>
    <col min="7945" max="7945" width="12.453125" style="1" hidden="1"/>
    <col min="7946" max="8194" width="9.1796875" style="1" hidden="1"/>
    <col min="8195" max="8196" width="10" style="1" hidden="1"/>
    <col min="8197" max="8199" width="9.1796875" style="1" hidden="1"/>
    <col min="8200" max="8200" width="10" style="1" hidden="1"/>
    <col min="8201" max="8201" width="12.453125" style="1" hidden="1"/>
    <col min="8202" max="8450" width="9.1796875" style="1" hidden="1"/>
    <col min="8451" max="8452" width="10" style="1" hidden="1"/>
    <col min="8453" max="8455" width="9.1796875" style="1" hidden="1"/>
    <col min="8456" max="8456" width="10" style="1" hidden="1"/>
    <col min="8457" max="8457" width="12.453125" style="1" hidden="1"/>
    <col min="8458" max="8706" width="9.1796875" style="1" hidden="1"/>
    <col min="8707" max="8708" width="10" style="1" hidden="1"/>
    <col min="8709" max="8711" width="9.1796875" style="1" hidden="1"/>
    <col min="8712" max="8712" width="10" style="1" hidden="1"/>
    <col min="8713" max="8713" width="12.453125" style="1" hidden="1"/>
    <col min="8714" max="8962" width="9.1796875" style="1" hidden="1"/>
    <col min="8963" max="8964" width="10" style="1" hidden="1"/>
    <col min="8965" max="8967" width="9.1796875" style="1" hidden="1"/>
    <col min="8968" max="8968" width="10" style="1" hidden="1"/>
    <col min="8969" max="8969" width="12.453125" style="1" hidden="1"/>
    <col min="8970" max="9218" width="9.1796875" style="1" hidden="1"/>
    <col min="9219" max="9220" width="10" style="1" hidden="1"/>
    <col min="9221" max="9223" width="9.1796875" style="1" hidden="1"/>
    <col min="9224" max="9224" width="10" style="1" hidden="1"/>
    <col min="9225" max="9225" width="12.453125" style="1" hidden="1"/>
    <col min="9226" max="9474" width="9.1796875" style="1" hidden="1"/>
    <col min="9475" max="9476" width="10" style="1" hidden="1"/>
    <col min="9477" max="9479" width="9.1796875" style="1" hidden="1"/>
    <col min="9480" max="9480" width="10" style="1" hidden="1"/>
    <col min="9481" max="9481" width="12.453125" style="1" hidden="1"/>
    <col min="9482" max="9730" width="9.1796875" style="1" hidden="1"/>
    <col min="9731" max="9732" width="10" style="1" hidden="1"/>
    <col min="9733" max="9735" width="9.1796875" style="1" hidden="1"/>
    <col min="9736" max="9736" width="10" style="1" hidden="1"/>
    <col min="9737" max="9737" width="12.453125" style="1" hidden="1"/>
    <col min="9738" max="9986" width="9.1796875" style="1" hidden="1"/>
    <col min="9987" max="9988" width="10" style="1" hidden="1"/>
    <col min="9989" max="9991" width="9.1796875" style="1" hidden="1"/>
    <col min="9992" max="9992" width="10" style="1" hidden="1"/>
    <col min="9993" max="9993" width="12.453125" style="1" hidden="1"/>
    <col min="9994" max="10242" width="9.1796875" style="1" hidden="1"/>
    <col min="10243" max="10244" width="10" style="1" hidden="1"/>
    <col min="10245" max="10247" width="9.1796875" style="1" hidden="1"/>
    <col min="10248" max="10248" width="10" style="1" hidden="1"/>
    <col min="10249" max="10249" width="12.453125" style="1" hidden="1"/>
    <col min="10250" max="10498" width="9.1796875" style="1" hidden="1"/>
    <col min="10499" max="10500" width="10" style="1" hidden="1"/>
    <col min="10501" max="10503" width="9.1796875" style="1" hidden="1"/>
    <col min="10504" max="10504" width="10" style="1" hidden="1"/>
    <col min="10505" max="10505" width="12.453125" style="1" hidden="1"/>
    <col min="10506" max="10754" width="9.1796875" style="1" hidden="1"/>
    <col min="10755" max="10756" width="10" style="1" hidden="1"/>
    <col min="10757" max="10759" width="9.1796875" style="1" hidden="1"/>
    <col min="10760" max="10760" width="10" style="1" hidden="1"/>
    <col min="10761" max="10761" width="12.453125" style="1" hidden="1"/>
    <col min="10762" max="11010" width="9.1796875" style="1" hidden="1"/>
    <col min="11011" max="11012" width="10" style="1" hidden="1"/>
    <col min="11013" max="11015" width="9.1796875" style="1" hidden="1"/>
    <col min="11016" max="11016" width="10" style="1" hidden="1"/>
    <col min="11017" max="11017" width="12.453125" style="1" hidden="1"/>
    <col min="11018" max="11266" width="9.1796875" style="1" hidden="1"/>
    <col min="11267" max="11268" width="10" style="1" hidden="1"/>
    <col min="11269" max="11271" width="9.1796875" style="1" hidden="1"/>
    <col min="11272" max="11272" width="10" style="1" hidden="1"/>
    <col min="11273" max="11273" width="12.453125" style="1" hidden="1"/>
    <col min="11274" max="11522" width="9.1796875" style="1" hidden="1"/>
    <col min="11523" max="11524" width="10" style="1" hidden="1"/>
    <col min="11525" max="11527" width="9.1796875" style="1" hidden="1"/>
    <col min="11528" max="11528" width="10" style="1" hidden="1"/>
    <col min="11529" max="11529" width="12.453125" style="1" hidden="1"/>
    <col min="11530" max="11778" width="9.1796875" style="1" hidden="1"/>
    <col min="11779" max="11780" width="10" style="1" hidden="1"/>
    <col min="11781" max="11783" width="9.1796875" style="1" hidden="1"/>
    <col min="11784" max="11784" width="10" style="1" hidden="1"/>
    <col min="11785" max="11785" width="12.453125" style="1" hidden="1"/>
    <col min="11786" max="12034" width="9.1796875" style="1" hidden="1"/>
    <col min="12035" max="12036" width="10" style="1" hidden="1"/>
    <col min="12037" max="12039" width="9.1796875" style="1" hidden="1"/>
    <col min="12040" max="12040" width="10" style="1" hidden="1"/>
    <col min="12041" max="12041" width="12.453125" style="1" hidden="1"/>
    <col min="12042" max="12290" width="9.1796875" style="1" hidden="1"/>
    <col min="12291" max="12292" width="10" style="1" hidden="1"/>
    <col min="12293" max="12295" width="9.1796875" style="1" hidden="1"/>
    <col min="12296" max="12296" width="10" style="1" hidden="1"/>
    <col min="12297" max="12297" width="12.453125" style="1" hidden="1"/>
    <col min="12298" max="12546" width="9.1796875" style="1" hidden="1"/>
    <col min="12547" max="12548" width="10" style="1" hidden="1"/>
    <col min="12549" max="12551" width="9.1796875" style="1" hidden="1"/>
    <col min="12552" max="12552" width="10" style="1" hidden="1"/>
    <col min="12553" max="12553" width="12.453125" style="1" hidden="1"/>
    <col min="12554" max="12802" width="9.1796875" style="1" hidden="1"/>
    <col min="12803" max="12804" width="10" style="1" hidden="1"/>
    <col min="12805" max="12807" width="9.1796875" style="1" hidden="1"/>
    <col min="12808" max="12808" width="10" style="1" hidden="1"/>
    <col min="12809" max="12809" width="12.453125" style="1" hidden="1"/>
    <col min="12810" max="13058" width="9.1796875" style="1" hidden="1"/>
    <col min="13059" max="13060" width="10" style="1" hidden="1"/>
    <col min="13061" max="13063" width="9.1796875" style="1" hidden="1"/>
    <col min="13064" max="13064" width="10" style="1" hidden="1"/>
    <col min="13065" max="13065" width="12.453125" style="1" hidden="1"/>
    <col min="13066" max="13314" width="9.1796875" style="1" hidden="1"/>
    <col min="13315" max="13316" width="10" style="1" hidden="1"/>
    <col min="13317" max="13319" width="9.1796875" style="1" hidden="1"/>
    <col min="13320" max="13320" width="10" style="1" hidden="1"/>
    <col min="13321" max="13321" width="12.453125" style="1" hidden="1"/>
    <col min="13322" max="13570" width="9.1796875" style="1" hidden="1"/>
    <col min="13571" max="13572" width="10" style="1" hidden="1"/>
    <col min="13573" max="13575" width="9.1796875" style="1" hidden="1"/>
    <col min="13576" max="13576" width="10" style="1" hidden="1"/>
    <col min="13577" max="13577" width="12.453125" style="1" hidden="1"/>
    <col min="13578" max="13826" width="9.1796875" style="1" hidden="1"/>
    <col min="13827" max="13828" width="10" style="1" hidden="1"/>
    <col min="13829" max="13831" width="9.1796875" style="1" hidden="1"/>
    <col min="13832" max="13832" width="10" style="1" hidden="1"/>
    <col min="13833" max="13833" width="12.453125" style="1" hidden="1"/>
    <col min="13834" max="14082" width="9.1796875" style="1" hidden="1"/>
    <col min="14083" max="14084" width="10" style="1" hidden="1"/>
    <col min="14085" max="14087" width="9.1796875" style="1" hidden="1"/>
    <col min="14088" max="14088" width="10" style="1" hidden="1"/>
    <col min="14089" max="14089" width="12.453125" style="1" hidden="1"/>
    <col min="14090" max="14338" width="9.1796875" style="1" hidden="1"/>
    <col min="14339" max="14340" width="10" style="1" hidden="1"/>
    <col min="14341" max="14343" width="9.1796875" style="1" hidden="1"/>
    <col min="14344" max="14344" width="10" style="1" hidden="1"/>
    <col min="14345" max="14345" width="12.453125" style="1" hidden="1"/>
    <col min="14346" max="14594" width="9.1796875" style="1" hidden="1"/>
    <col min="14595" max="14596" width="10" style="1" hidden="1"/>
    <col min="14597" max="14599" width="9.1796875" style="1" hidden="1"/>
    <col min="14600" max="14600" width="10" style="1" hidden="1"/>
    <col min="14601" max="14601" width="12.453125" style="1" hidden="1"/>
    <col min="14602" max="14850" width="9.1796875" style="1" hidden="1"/>
    <col min="14851" max="14852" width="10" style="1" hidden="1"/>
    <col min="14853" max="14855" width="9.1796875" style="1" hidden="1"/>
    <col min="14856" max="14856" width="10" style="1" hidden="1"/>
    <col min="14857" max="14857" width="12.453125" style="1" hidden="1"/>
    <col min="14858" max="15106" width="9.1796875" style="1" hidden="1"/>
    <col min="15107" max="15108" width="10" style="1" hidden="1"/>
    <col min="15109" max="15111" width="9.1796875" style="1" hidden="1"/>
    <col min="15112" max="15112" width="10" style="1" hidden="1"/>
    <col min="15113" max="15113" width="12.453125" style="1" hidden="1"/>
    <col min="15114" max="15362" width="9.1796875" style="1" hidden="1"/>
    <col min="15363" max="15364" width="10" style="1" hidden="1"/>
    <col min="15365" max="15367" width="9.1796875" style="1" hidden="1"/>
    <col min="15368" max="15368" width="10" style="1" hidden="1"/>
    <col min="15369" max="15369" width="12.453125" style="1" hidden="1"/>
    <col min="15370" max="15618" width="9.1796875" style="1" hidden="1"/>
    <col min="15619" max="15620" width="10" style="1" hidden="1"/>
    <col min="15621" max="15623" width="9.1796875" style="1" hidden="1"/>
    <col min="15624" max="15624" width="10" style="1" hidden="1"/>
    <col min="15625" max="15625" width="12.453125" style="1" hidden="1"/>
    <col min="15626" max="15874" width="9.1796875" style="1" hidden="1"/>
    <col min="15875" max="15876" width="10" style="1" hidden="1"/>
    <col min="15877" max="15879" width="9.1796875" style="1" hidden="1"/>
    <col min="15880" max="15880" width="10" style="1" hidden="1"/>
    <col min="15881" max="15881" width="12.453125" style="1" hidden="1"/>
    <col min="15882" max="16130" width="9.1796875" style="1" hidden="1"/>
    <col min="16131" max="16132" width="10" style="1" hidden="1"/>
    <col min="16133" max="16135" width="9.1796875" style="1" hidden="1"/>
    <col min="16136" max="16136" width="10" style="1" hidden="1"/>
    <col min="16137" max="16137" width="12.453125" style="1" hidden="1"/>
    <col min="16138" max="16384" width="9.1796875" style="1" hidden="1"/>
  </cols>
  <sheetData>
    <row r="1" spans="1:13" ht="14.5" thickBot="1" x14ac:dyDescent="0.35">
      <c r="A1" s="295" t="s">
        <v>300</v>
      </c>
      <c r="B1" s="295"/>
      <c r="C1" s="295"/>
      <c r="D1" s="295"/>
      <c r="E1" s="295"/>
      <c r="F1" s="295"/>
      <c r="G1" s="295"/>
      <c r="H1" s="295"/>
      <c r="I1" s="295"/>
      <c r="J1" s="295"/>
      <c r="K1" s="295"/>
      <c r="L1" s="295"/>
      <c r="M1" s="295"/>
    </row>
    <row r="2" spans="1:13" x14ac:dyDescent="0.25">
      <c r="A2" s="106">
        <v>420000</v>
      </c>
      <c r="B2" s="15" t="s">
        <v>43</v>
      </c>
      <c r="C2" s="15"/>
      <c r="D2" s="106">
        <v>420000</v>
      </c>
      <c r="E2" s="15" t="s">
        <v>42</v>
      </c>
      <c r="F2" s="15"/>
      <c r="G2" s="15"/>
      <c r="H2" s="15"/>
      <c r="I2" s="15"/>
      <c r="J2" s="15"/>
      <c r="K2" s="15"/>
      <c r="L2" s="15"/>
      <c r="M2" s="15"/>
    </row>
    <row r="3" spans="1:13" x14ac:dyDescent="0.25">
      <c r="A3" s="15">
        <f>A2/1000000</f>
        <v>0.42</v>
      </c>
      <c r="B3" s="15" t="s">
        <v>3</v>
      </c>
      <c r="C3" s="15"/>
      <c r="D3" s="15">
        <f>D2/1000000</f>
        <v>0.42</v>
      </c>
      <c r="E3" s="15" t="s">
        <v>4</v>
      </c>
      <c r="F3" s="15"/>
      <c r="G3" s="15"/>
      <c r="H3" s="15"/>
      <c r="I3" s="15"/>
      <c r="J3" s="15"/>
      <c r="K3" s="15"/>
      <c r="L3" s="15"/>
      <c r="M3" s="15"/>
    </row>
    <row r="4" spans="1:13" x14ac:dyDescent="0.25">
      <c r="A4" s="15"/>
      <c r="B4" s="15"/>
      <c r="C4" s="15"/>
      <c r="D4" s="15"/>
      <c r="E4" s="15"/>
      <c r="F4" s="15"/>
      <c r="G4" s="15"/>
      <c r="H4" s="15"/>
      <c r="I4" s="15"/>
      <c r="J4" s="15"/>
      <c r="K4" s="15"/>
      <c r="L4" s="15"/>
      <c r="M4" s="15"/>
    </row>
    <row r="5" spans="1:13" ht="13" x14ac:dyDescent="0.3">
      <c r="A5" s="17" t="s">
        <v>222</v>
      </c>
      <c r="B5" s="15"/>
      <c r="C5" s="15"/>
      <c r="D5" s="15"/>
      <c r="E5" s="15"/>
      <c r="F5" s="15"/>
      <c r="G5" s="17"/>
      <c r="H5" s="15"/>
      <c r="I5" s="15"/>
      <c r="J5" s="15"/>
      <c r="K5" s="17"/>
      <c r="L5" s="15"/>
      <c r="M5" s="15"/>
    </row>
    <row r="6" spans="1:13" ht="13" x14ac:dyDescent="0.3">
      <c r="A6" s="297" t="s">
        <v>225</v>
      </c>
      <c r="B6" s="299" t="s">
        <v>114</v>
      </c>
      <c r="C6" s="299"/>
      <c r="D6" s="299" t="s">
        <v>115</v>
      </c>
      <c r="E6" s="299"/>
      <c r="F6" s="299" t="s">
        <v>130</v>
      </c>
      <c r="G6" s="299"/>
      <c r="H6" s="15"/>
      <c r="I6" s="15"/>
      <c r="J6" s="15"/>
      <c r="K6" s="17"/>
      <c r="L6" s="15"/>
      <c r="M6" s="15"/>
    </row>
    <row r="7" spans="1:13" ht="13" x14ac:dyDescent="0.3">
      <c r="A7" s="298"/>
      <c r="B7" s="30" t="s">
        <v>128</v>
      </c>
      <c r="C7" s="30" t="s">
        <v>80</v>
      </c>
      <c r="D7" s="30" t="s">
        <v>128</v>
      </c>
      <c r="E7" s="30" t="s">
        <v>80</v>
      </c>
      <c r="F7" s="30" t="s">
        <v>128</v>
      </c>
      <c r="G7" s="30" t="s">
        <v>80</v>
      </c>
      <c r="H7" s="15"/>
      <c r="I7" s="15"/>
      <c r="J7" s="15"/>
      <c r="K7" s="17"/>
      <c r="L7" s="15"/>
      <c r="M7" s="15"/>
    </row>
    <row r="8" spans="1:13" ht="13" x14ac:dyDescent="0.3">
      <c r="A8" s="30" t="s">
        <v>226</v>
      </c>
      <c r="B8" s="22">
        <v>1050</v>
      </c>
      <c r="C8" s="22" t="s">
        <v>5</v>
      </c>
      <c r="D8" s="27">
        <f>D3/B8</f>
        <v>3.9999999999999996E-4</v>
      </c>
      <c r="E8" s="22" t="s">
        <v>129</v>
      </c>
      <c r="F8" s="30" t="s">
        <v>133</v>
      </c>
      <c r="G8" s="30" t="s">
        <v>133</v>
      </c>
      <c r="H8" s="15"/>
      <c r="I8" s="15"/>
      <c r="J8" s="15"/>
      <c r="K8" s="17"/>
      <c r="L8" s="15"/>
      <c r="M8" s="15"/>
    </row>
    <row r="9" spans="1:13" ht="15" x14ac:dyDescent="0.3">
      <c r="A9" s="30" t="s">
        <v>126</v>
      </c>
      <c r="B9" s="22">
        <f>91.5*1000000/1000</f>
        <v>91500</v>
      </c>
      <c r="C9" s="30" t="s">
        <v>135</v>
      </c>
      <c r="D9" s="36">
        <f>D2/B9</f>
        <v>4.5901639344262293</v>
      </c>
      <c r="E9" s="30" t="s">
        <v>134</v>
      </c>
      <c r="F9" s="22">
        <v>0.2</v>
      </c>
      <c r="G9" s="30" t="s">
        <v>132</v>
      </c>
      <c r="H9" s="15"/>
      <c r="I9" s="15"/>
      <c r="J9" s="15"/>
      <c r="K9" s="17"/>
      <c r="L9" s="15"/>
      <c r="M9" s="15"/>
    </row>
    <row r="10" spans="1:13" ht="13" x14ac:dyDescent="0.3">
      <c r="A10" s="30" t="s">
        <v>227</v>
      </c>
      <c r="B10" s="22">
        <v>140000</v>
      </c>
      <c r="C10" s="30" t="s">
        <v>135</v>
      </c>
      <c r="D10" s="26">
        <f>D2/B10</f>
        <v>3</v>
      </c>
      <c r="E10" s="30" t="s">
        <v>134</v>
      </c>
      <c r="F10" s="26">
        <v>0.05</v>
      </c>
      <c r="G10" s="30" t="s">
        <v>131</v>
      </c>
      <c r="H10" s="15"/>
      <c r="I10" s="15"/>
      <c r="J10" s="15"/>
      <c r="K10" s="17"/>
      <c r="L10" s="15"/>
      <c r="M10" s="15"/>
    </row>
    <row r="11" spans="1:13" x14ac:dyDescent="0.25">
      <c r="A11" s="18"/>
      <c r="B11" s="15"/>
      <c r="C11" s="2"/>
      <c r="D11" s="15"/>
      <c r="E11" s="15"/>
      <c r="F11" s="15"/>
      <c r="G11" s="18"/>
      <c r="H11" s="15"/>
      <c r="I11" s="18"/>
      <c r="J11" s="15"/>
      <c r="K11" s="18"/>
      <c r="L11" s="15"/>
      <c r="M11" s="15"/>
    </row>
    <row r="12" spans="1:13" ht="13" x14ac:dyDescent="0.3">
      <c r="A12" s="17" t="s">
        <v>223</v>
      </c>
      <c r="B12" s="15"/>
      <c r="C12" s="15"/>
      <c r="D12" s="15"/>
      <c r="E12" s="15"/>
      <c r="F12" s="15"/>
      <c r="G12" s="15"/>
      <c r="H12" s="15"/>
      <c r="I12" s="15"/>
      <c r="J12" s="15"/>
      <c r="K12" s="15"/>
      <c r="L12" s="15"/>
      <c r="M12" s="15"/>
    </row>
    <row r="13" spans="1:13" ht="15" x14ac:dyDescent="0.4">
      <c r="A13" s="24" t="s">
        <v>225</v>
      </c>
      <c r="B13" s="24" t="s">
        <v>0</v>
      </c>
      <c r="C13" s="24" t="s">
        <v>12</v>
      </c>
      <c r="D13" s="24" t="s">
        <v>13</v>
      </c>
      <c r="E13" s="24" t="s">
        <v>14</v>
      </c>
      <c r="F13" s="24" t="s">
        <v>6</v>
      </c>
      <c r="G13" s="24" t="s">
        <v>1</v>
      </c>
      <c r="H13" s="24" t="s">
        <v>7</v>
      </c>
      <c r="I13" s="25" t="s">
        <v>74</v>
      </c>
      <c r="J13" s="25" t="s">
        <v>75</v>
      </c>
      <c r="K13" s="25" t="s">
        <v>76</v>
      </c>
      <c r="L13" s="25" t="s">
        <v>2</v>
      </c>
      <c r="M13" s="14"/>
    </row>
    <row r="14" spans="1:13" x14ac:dyDescent="0.25">
      <c r="A14" s="30" t="s">
        <v>226</v>
      </c>
      <c r="B14" s="22">
        <f>0.0000076*1000000</f>
        <v>7.6</v>
      </c>
      <c r="C14" s="22">
        <f>B14</f>
        <v>7.6</v>
      </c>
      <c r="D14" s="22">
        <f>0.0000006*1000000</f>
        <v>0.6</v>
      </c>
      <c r="E14" s="22">
        <f>0.00028*1000000</f>
        <v>280</v>
      </c>
      <c r="F14" s="22">
        <f>0.000084*1000000</f>
        <v>84</v>
      </c>
      <c r="G14" s="22">
        <f>0.0000055*1000000</f>
        <v>5.5</v>
      </c>
      <c r="H14" s="22">
        <f>0.0000000005*1000000</f>
        <v>5.0000000000000001E-4</v>
      </c>
      <c r="I14" s="16">
        <v>120000</v>
      </c>
      <c r="J14" s="16">
        <v>2.2000000000000002</v>
      </c>
      <c r="K14" s="16">
        <v>2.2999999999999998</v>
      </c>
      <c r="L14" s="16">
        <f>I14+J14*298+K14*25</f>
        <v>120713.1</v>
      </c>
      <c r="M14" s="15" t="s">
        <v>9</v>
      </c>
    </row>
    <row r="15" spans="1:13" x14ac:dyDescent="0.25">
      <c r="A15" s="30" t="s">
        <v>126</v>
      </c>
      <c r="B15" s="22">
        <f>0.7/1000</f>
        <v>6.9999999999999999E-4</v>
      </c>
      <c r="C15" s="22">
        <f>0.7/1000</f>
        <v>6.9999999999999999E-4</v>
      </c>
      <c r="D15" s="22">
        <f>0.1*$F$9/1000</f>
        <v>2.0000000000000005E-5</v>
      </c>
      <c r="E15" s="22">
        <f>13/1000</f>
        <v>1.2999999999999999E-2</v>
      </c>
      <c r="F15" s="22">
        <f>7.5/1000</f>
        <v>7.4999999999999997E-3</v>
      </c>
      <c r="G15" s="30">
        <f>1/1000</f>
        <v>1E-3</v>
      </c>
      <c r="H15" s="22"/>
      <c r="I15" s="16">
        <f>12500/1000</f>
        <v>12.5</v>
      </c>
      <c r="J15" s="16">
        <f>0.9/1000</f>
        <v>8.9999999999999998E-4</v>
      </c>
      <c r="K15" s="16">
        <f>0.2/1000</f>
        <v>2.0000000000000001E-4</v>
      </c>
      <c r="L15" s="16">
        <f>I15+J15*298+K15*25</f>
        <v>12.773200000000001</v>
      </c>
      <c r="M15" s="15" t="s">
        <v>10</v>
      </c>
    </row>
    <row r="16" spans="1:13" x14ac:dyDescent="0.25">
      <c r="A16" s="30" t="s">
        <v>227</v>
      </c>
      <c r="B16" s="22">
        <f>(2+1.3)/1000</f>
        <v>3.3E-3</v>
      </c>
      <c r="C16" s="22">
        <f>(2+1.3)/1000</f>
        <v>3.3E-3</v>
      </c>
      <c r="D16" s="22">
        <f>(142*2*$F$10)/1000</f>
        <v>1.4200000000000001E-2</v>
      </c>
      <c r="E16" s="22">
        <f>18/1000</f>
        <v>1.7999999999999999E-2</v>
      </c>
      <c r="F16" s="22">
        <f>5/1000</f>
        <v>5.0000000000000001E-3</v>
      </c>
      <c r="G16" s="28">
        <f>0.556/1000</f>
        <v>5.5600000000000007E-4</v>
      </c>
      <c r="H16" s="22">
        <v>4.1999999999999996E-6</v>
      </c>
      <c r="I16" s="22">
        <f>22300/1000</f>
        <v>22.3</v>
      </c>
      <c r="J16" s="27">
        <f>0.26/1000</f>
        <v>2.6000000000000003E-4</v>
      </c>
      <c r="K16" s="27">
        <f>0.216/1000</f>
        <v>2.1599999999999999E-4</v>
      </c>
      <c r="L16" s="16">
        <f>I16+J16*298+K16*25</f>
        <v>22.382880000000004</v>
      </c>
      <c r="M16" s="15" t="s">
        <v>10</v>
      </c>
    </row>
    <row r="17" spans="1:13" x14ac:dyDescent="0.25">
      <c r="A17" s="22" t="s">
        <v>228</v>
      </c>
      <c r="B17" s="29">
        <f t="shared" ref="B17:L17" si="0">MAX(B14/$B$8/1000000,B15/$B$9/1000000,B16/$B$10)</f>
        <v>2.357142857142857E-8</v>
      </c>
      <c r="C17" s="29">
        <f t="shared" si="0"/>
        <v>2.357142857142857E-8</v>
      </c>
      <c r="D17" s="29">
        <f t="shared" si="0"/>
        <v>1.0142857142857144E-7</v>
      </c>
      <c r="E17" s="29">
        <f t="shared" si="0"/>
        <v>2.6666666666666667E-7</v>
      </c>
      <c r="F17" s="29">
        <f t="shared" si="0"/>
        <v>8.0000000000000002E-8</v>
      </c>
      <c r="G17" s="29">
        <f t="shared" si="0"/>
        <v>5.2380952380952382E-9</v>
      </c>
      <c r="H17" s="29">
        <f t="shared" si="0"/>
        <v>3E-11</v>
      </c>
      <c r="I17" s="29">
        <f t="shared" si="0"/>
        <v>1.5928571428571429E-4</v>
      </c>
      <c r="J17" s="29">
        <f t="shared" si="0"/>
        <v>2.0952380952380954E-9</v>
      </c>
      <c r="K17" s="29">
        <f t="shared" si="0"/>
        <v>2.1904761904761904E-9</v>
      </c>
      <c r="L17" s="29">
        <f t="shared" si="0"/>
        <v>1.5987771428571432E-4</v>
      </c>
      <c r="M17" s="15" t="s">
        <v>55</v>
      </c>
    </row>
    <row r="18" spans="1:13" x14ac:dyDescent="0.25">
      <c r="A18" s="15"/>
      <c r="B18" s="19"/>
      <c r="C18" s="19"/>
      <c r="D18" s="19"/>
      <c r="E18" s="19"/>
      <c r="F18" s="19"/>
      <c r="G18" s="19"/>
      <c r="H18" s="19"/>
      <c r="I18" s="19"/>
      <c r="J18" s="19"/>
      <c r="K18" s="19"/>
      <c r="L18" s="19"/>
      <c r="M18" s="15"/>
    </row>
    <row r="19" spans="1:13" ht="13" x14ac:dyDescent="0.3">
      <c r="A19" s="17" t="s">
        <v>224</v>
      </c>
      <c r="B19" s="19"/>
      <c r="C19" s="19"/>
      <c r="D19" s="19"/>
      <c r="E19" s="19"/>
      <c r="F19" s="19"/>
      <c r="G19" s="19"/>
      <c r="H19" s="19"/>
      <c r="I19" s="19"/>
      <c r="J19" s="19"/>
      <c r="K19" s="19"/>
      <c r="L19" s="19"/>
      <c r="M19" s="15"/>
    </row>
    <row r="20" spans="1:13" ht="13" x14ac:dyDescent="0.3">
      <c r="A20" s="20" t="s">
        <v>11</v>
      </c>
      <c r="B20" s="19"/>
      <c r="C20" s="19"/>
      <c r="D20" s="19"/>
      <c r="E20" s="19"/>
      <c r="F20" s="19"/>
      <c r="G20" s="19"/>
      <c r="H20" s="19"/>
      <c r="I20" s="19"/>
      <c r="J20" s="19"/>
      <c r="K20" s="19"/>
      <c r="L20" s="19"/>
      <c r="M20" s="15"/>
    </row>
    <row r="21" spans="1:13" ht="15" x14ac:dyDescent="0.4">
      <c r="A21" s="24" t="s">
        <v>225</v>
      </c>
      <c r="B21" s="24" t="s">
        <v>0</v>
      </c>
      <c r="C21" s="24" t="s">
        <v>12</v>
      </c>
      <c r="D21" s="24" t="s">
        <v>13</v>
      </c>
      <c r="E21" s="24" t="s">
        <v>14</v>
      </c>
      <c r="F21" s="24" t="s">
        <v>6</v>
      </c>
      <c r="G21" s="24" t="s">
        <v>1</v>
      </c>
      <c r="H21" s="24" t="s">
        <v>7</v>
      </c>
      <c r="I21" s="25" t="s">
        <v>74</v>
      </c>
      <c r="J21" s="25" t="s">
        <v>75</v>
      </c>
      <c r="K21" s="25" t="s">
        <v>76</v>
      </c>
      <c r="L21" s="25" t="s">
        <v>2</v>
      </c>
      <c r="M21" s="15"/>
    </row>
    <row r="22" spans="1:13" x14ac:dyDescent="0.25">
      <c r="A22" s="30" t="s">
        <v>226</v>
      </c>
      <c r="B22" s="26">
        <f>B14*$D$8</f>
        <v>3.0399999999999997E-3</v>
      </c>
      <c r="C22" s="26">
        <f t="shared" ref="C22:L22" si="1">C14*$D$8</f>
        <v>3.0399999999999997E-3</v>
      </c>
      <c r="D22" s="26">
        <f t="shared" si="1"/>
        <v>2.3999999999999998E-4</v>
      </c>
      <c r="E22" s="26">
        <f t="shared" si="1"/>
        <v>0.11199999999999999</v>
      </c>
      <c r="F22" s="26">
        <f t="shared" si="1"/>
        <v>3.3599999999999998E-2</v>
      </c>
      <c r="G22" s="26">
        <f t="shared" si="1"/>
        <v>2.1999999999999997E-3</v>
      </c>
      <c r="H22" s="29">
        <f t="shared" si="1"/>
        <v>1.9999999999999999E-7</v>
      </c>
      <c r="I22" s="26">
        <f t="shared" si="1"/>
        <v>47.999999999999993</v>
      </c>
      <c r="J22" s="27">
        <f t="shared" si="1"/>
        <v>8.8000000000000003E-4</v>
      </c>
      <c r="K22" s="27">
        <f t="shared" si="1"/>
        <v>9.1999999999999981E-4</v>
      </c>
      <c r="L22" s="26">
        <f t="shared" si="1"/>
        <v>48.285239999999995</v>
      </c>
      <c r="M22" s="15" t="s">
        <v>15</v>
      </c>
    </row>
    <row r="23" spans="1:13" x14ac:dyDescent="0.25">
      <c r="A23" s="33" t="s">
        <v>126</v>
      </c>
      <c r="B23" s="34">
        <f>B15*$D$9</f>
        <v>3.2131147540983606E-3</v>
      </c>
      <c r="C23" s="34">
        <f t="shared" ref="C23:L23" si="2">C15*$D$9</f>
        <v>3.2131147540983606E-3</v>
      </c>
      <c r="D23" s="34">
        <f t="shared" si="2"/>
        <v>9.1803278688524611E-5</v>
      </c>
      <c r="E23" s="34">
        <f t="shared" si="2"/>
        <v>5.9672131147540976E-2</v>
      </c>
      <c r="F23" s="34">
        <f t="shared" si="2"/>
        <v>3.4426229508196717E-2</v>
      </c>
      <c r="G23" s="34">
        <f t="shared" si="2"/>
        <v>4.5901639344262295E-3</v>
      </c>
      <c r="H23" s="37"/>
      <c r="I23" s="34">
        <f t="shared" si="2"/>
        <v>57.377049180327866</v>
      </c>
      <c r="J23" s="35">
        <f t="shared" si="2"/>
        <v>4.1311475409836059E-3</v>
      </c>
      <c r="K23" s="35">
        <f t="shared" si="2"/>
        <v>9.1803278688524592E-4</v>
      </c>
      <c r="L23" s="34">
        <f t="shared" si="2"/>
        <v>58.631081967213113</v>
      </c>
      <c r="M23" s="15" t="s">
        <v>15</v>
      </c>
    </row>
    <row r="24" spans="1:13" x14ac:dyDescent="0.25">
      <c r="A24" s="30" t="s">
        <v>227</v>
      </c>
      <c r="B24" s="26">
        <f>B16*$D$10</f>
        <v>9.8999999999999991E-3</v>
      </c>
      <c r="C24" s="26">
        <f t="shared" ref="C24:L24" si="3">C16*$D$10</f>
        <v>9.8999999999999991E-3</v>
      </c>
      <c r="D24" s="26">
        <f t="shared" si="3"/>
        <v>4.2599999999999999E-2</v>
      </c>
      <c r="E24" s="26">
        <f t="shared" si="3"/>
        <v>5.3999999999999992E-2</v>
      </c>
      <c r="F24" s="26">
        <f t="shared" si="3"/>
        <v>1.4999999999999999E-2</v>
      </c>
      <c r="G24" s="26">
        <f t="shared" si="3"/>
        <v>1.6680000000000002E-3</v>
      </c>
      <c r="H24" s="29">
        <f t="shared" si="3"/>
        <v>1.2599999999999998E-5</v>
      </c>
      <c r="I24" s="26">
        <f t="shared" si="3"/>
        <v>66.900000000000006</v>
      </c>
      <c r="J24" s="27">
        <f t="shared" si="3"/>
        <v>7.8000000000000009E-4</v>
      </c>
      <c r="K24" s="27">
        <f t="shared" si="3"/>
        <v>6.4799999999999992E-4</v>
      </c>
      <c r="L24" s="26">
        <f t="shared" si="3"/>
        <v>67.148640000000015</v>
      </c>
      <c r="M24" s="15" t="s">
        <v>15</v>
      </c>
    </row>
    <row r="25" spans="1:13" x14ac:dyDescent="0.25">
      <c r="A25" s="300" t="s">
        <v>228</v>
      </c>
      <c r="B25" s="26">
        <f t="shared" ref="B25:L25" si="4">MAX(B22:B24)</f>
        <v>9.8999999999999991E-3</v>
      </c>
      <c r="C25" s="26">
        <f t="shared" si="4"/>
        <v>9.8999999999999991E-3</v>
      </c>
      <c r="D25" s="26">
        <f t="shared" si="4"/>
        <v>4.2599999999999999E-2</v>
      </c>
      <c r="E25" s="26">
        <f t="shared" si="4"/>
        <v>0.11199999999999999</v>
      </c>
      <c r="F25" s="26">
        <f t="shared" si="4"/>
        <v>3.4426229508196717E-2</v>
      </c>
      <c r="G25" s="26">
        <f t="shared" si="4"/>
        <v>4.5901639344262295E-3</v>
      </c>
      <c r="H25" s="29">
        <f t="shared" si="4"/>
        <v>1.2599999999999998E-5</v>
      </c>
      <c r="I25" s="26">
        <f t="shared" si="4"/>
        <v>66.900000000000006</v>
      </c>
      <c r="J25" s="27">
        <f t="shared" si="4"/>
        <v>4.1311475409836059E-3</v>
      </c>
      <c r="K25" s="27">
        <f t="shared" si="4"/>
        <v>9.1999999999999981E-4</v>
      </c>
      <c r="L25" s="26">
        <f t="shared" si="4"/>
        <v>67.148640000000015</v>
      </c>
      <c r="M25" s="15" t="s">
        <v>15</v>
      </c>
    </row>
    <row r="26" spans="1:13" x14ac:dyDescent="0.25">
      <c r="A26" s="301"/>
      <c r="B26" s="26">
        <f t="shared" ref="B26:L26" si="5">B25*8760/2000</f>
        <v>4.3361999999999998E-2</v>
      </c>
      <c r="C26" s="26">
        <f t="shared" si="5"/>
        <v>4.3361999999999998E-2</v>
      </c>
      <c r="D26" s="26">
        <f t="shared" si="5"/>
        <v>0.186588</v>
      </c>
      <c r="E26" s="26">
        <f t="shared" si="5"/>
        <v>0.49055999999999994</v>
      </c>
      <c r="F26" s="26">
        <f t="shared" si="5"/>
        <v>0.15078688524590164</v>
      </c>
      <c r="G26" s="26">
        <f t="shared" si="5"/>
        <v>2.0104918032786884E-2</v>
      </c>
      <c r="H26" s="29">
        <f t="shared" si="5"/>
        <v>5.5187999999999994E-5</v>
      </c>
      <c r="I26" s="26">
        <f t="shared" si="5"/>
        <v>293.02199999999999</v>
      </c>
      <c r="J26" s="27">
        <f t="shared" si="5"/>
        <v>1.8094426229508194E-2</v>
      </c>
      <c r="K26" s="27">
        <f t="shared" si="5"/>
        <v>4.0295999999999995E-3</v>
      </c>
      <c r="L26" s="26">
        <f t="shared" si="5"/>
        <v>294.1110432000001</v>
      </c>
      <c r="M26" s="18" t="s">
        <v>127</v>
      </c>
    </row>
    <row r="27" spans="1:13" x14ac:dyDescent="0.25">
      <c r="A27" s="15"/>
      <c r="B27" s="15"/>
      <c r="C27" s="15"/>
      <c r="D27" s="15"/>
      <c r="E27" s="15"/>
      <c r="F27" s="15"/>
      <c r="G27" s="15"/>
      <c r="H27" s="15"/>
      <c r="I27" s="15"/>
      <c r="J27" s="15"/>
      <c r="K27" s="15"/>
      <c r="L27" s="15"/>
      <c r="M27" s="15"/>
    </row>
    <row r="28" spans="1:13" ht="13" x14ac:dyDescent="0.3">
      <c r="A28" s="17" t="s">
        <v>229</v>
      </c>
      <c r="B28" s="15"/>
      <c r="C28" s="15"/>
      <c r="D28" s="15"/>
      <c r="E28" s="15"/>
      <c r="F28" s="15"/>
      <c r="G28" s="15"/>
      <c r="H28" s="15"/>
      <c r="I28" s="15"/>
      <c r="J28" s="15"/>
      <c r="K28" s="15"/>
      <c r="L28" s="15"/>
      <c r="M28" s="15"/>
    </row>
    <row r="29" spans="1:13" x14ac:dyDescent="0.25">
      <c r="A29" s="18" t="s">
        <v>230</v>
      </c>
      <c r="B29" s="15"/>
      <c r="C29" s="15"/>
      <c r="D29" s="15"/>
      <c r="E29" s="15"/>
      <c r="F29" s="15"/>
      <c r="G29" s="15"/>
      <c r="H29" s="18" t="s">
        <v>117</v>
      </c>
      <c r="I29" s="15"/>
      <c r="J29" s="15"/>
      <c r="K29" s="15"/>
      <c r="L29" s="15"/>
      <c r="M29" s="15"/>
    </row>
    <row r="30" spans="1:13" x14ac:dyDescent="0.25">
      <c r="A30" s="21"/>
      <c r="B30" s="22" t="s">
        <v>227</v>
      </c>
      <c r="C30" s="22" t="s">
        <v>8</v>
      </c>
      <c r="D30" s="22" t="s">
        <v>227</v>
      </c>
      <c r="E30" s="22" t="s">
        <v>8</v>
      </c>
      <c r="F30" s="23" t="s">
        <v>228</v>
      </c>
      <c r="G30" s="15"/>
      <c r="H30" s="22" t="s">
        <v>227</v>
      </c>
      <c r="I30" s="22" t="s">
        <v>8</v>
      </c>
      <c r="J30" s="296" t="s">
        <v>228</v>
      </c>
      <c r="K30" s="296"/>
      <c r="L30" s="15"/>
      <c r="M30" s="15"/>
    </row>
    <row r="31" spans="1:13" x14ac:dyDescent="0.25">
      <c r="A31" s="23" t="s">
        <v>77</v>
      </c>
      <c r="B31" s="22" t="s">
        <v>16</v>
      </c>
      <c r="C31" s="22" t="s">
        <v>17</v>
      </c>
      <c r="D31" s="22" t="s">
        <v>54</v>
      </c>
      <c r="E31" s="22" t="s">
        <v>54</v>
      </c>
      <c r="F31" s="124" t="s">
        <v>54</v>
      </c>
      <c r="G31" s="15"/>
      <c r="H31" s="30" t="s">
        <v>116</v>
      </c>
      <c r="I31" s="30" t="s">
        <v>116</v>
      </c>
      <c r="J31" s="30" t="s">
        <v>116</v>
      </c>
      <c r="K31" s="30" t="s">
        <v>118</v>
      </c>
      <c r="L31" s="15"/>
      <c r="M31" s="15"/>
    </row>
    <row r="32" spans="1:13" x14ac:dyDescent="0.25">
      <c r="A32" s="21" t="s">
        <v>18</v>
      </c>
      <c r="B32" s="22">
        <v>2.14E-4</v>
      </c>
      <c r="C32" s="22">
        <v>2.1299999999999999E-3</v>
      </c>
      <c r="D32" s="29">
        <f>B32/$B$10/1000</f>
        <v>1.5285714285714285E-12</v>
      </c>
      <c r="E32" s="29">
        <f>C32/$B$8/1000000</f>
        <v>2.0285714285714284E-12</v>
      </c>
      <c r="F32" s="29">
        <f t="shared" ref="F32:F54" si="6">MAX(D32:E32)</f>
        <v>2.0285714285714284E-12</v>
      </c>
      <c r="G32" s="15"/>
      <c r="H32" s="29">
        <f t="shared" ref="H32:H55" si="7">(D$10/1000)*B32</f>
        <v>6.4200000000000006E-7</v>
      </c>
      <c r="I32" s="29">
        <f t="shared" ref="I32:I55" si="8">C32*D$8</f>
        <v>8.5199999999999995E-7</v>
      </c>
      <c r="J32" s="29">
        <f t="shared" ref="J32:J54" si="9">MAX(H32,I32)</f>
        <v>8.5199999999999995E-7</v>
      </c>
      <c r="K32" s="29">
        <f t="shared" ref="K32:K54" si="10">J32*8760/2000</f>
        <v>3.7317599999999997E-6</v>
      </c>
      <c r="L32" s="15"/>
      <c r="M32" s="15"/>
    </row>
    <row r="33" spans="1:13" x14ac:dyDescent="0.25">
      <c r="A33" s="21" t="s">
        <v>19</v>
      </c>
      <c r="B33" s="22">
        <v>0</v>
      </c>
      <c r="C33" s="22">
        <v>1.1999999999999999E-3</v>
      </c>
      <c r="D33" s="29">
        <f t="shared" ref="D33:D55" si="11">B33/$B$10/1000</f>
        <v>0</v>
      </c>
      <c r="E33" s="29">
        <f t="shared" ref="E33:E55" si="12">C33/$B$8/1000000</f>
        <v>1.1428571428571427E-12</v>
      </c>
      <c r="F33" s="29">
        <f t="shared" si="6"/>
        <v>1.1428571428571427E-12</v>
      </c>
      <c r="G33" s="15"/>
      <c r="H33" s="29">
        <f t="shared" si="7"/>
        <v>0</v>
      </c>
      <c r="I33" s="29">
        <f t="shared" si="8"/>
        <v>4.7999999999999996E-7</v>
      </c>
      <c r="J33" s="29">
        <f t="shared" si="9"/>
        <v>4.7999999999999996E-7</v>
      </c>
      <c r="K33" s="29">
        <f t="shared" si="10"/>
        <v>2.1024E-6</v>
      </c>
      <c r="L33" s="15"/>
      <c r="M33" s="15"/>
    </row>
    <row r="34" spans="1:13" x14ac:dyDescent="0.25">
      <c r="A34" s="21" t="s">
        <v>20</v>
      </c>
      <c r="B34" s="22">
        <v>6.3600000000000001E-5</v>
      </c>
      <c r="C34" s="22">
        <v>0</v>
      </c>
      <c r="D34" s="29">
        <f t="shared" si="11"/>
        <v>4.5428571428571429E-13</v>
      </c>
      <c r="E34" s="29">
        <f t="shared" si="12"/>
        <v>0</v>
      </c>
      <c r="F34" s="29">
        <f t="shared" si="6"/>
        <v>4.5428571428571429E-13</v>
      </c>
      <c r="G34" s="15"/>
      <c r="H34" s="29">
        <f t="shared" si="7"/>
        <v>1.9080000000000001E-7</v>
      </c>
      <c r="I34" s="29">
        <f t="shared" si="8"/>
        <v>0</v>
      </c>
      <c r="J34" s="29">
        <f t="shared" si="9"/>
        <v>1.9080000000000001E-7</v>
      </c>
      <c r="K34" s="29">
        <f t="shared" si="10"/>
        <v>8.35704E-7</v>
      </c>
      <c r="L34" s="15"/>
      <c r="M34" s="15"/>
    </row>
    <row r="35" spans="1:13" x14ac:dyDescent="0.25">
      <c r="A35" s="21" t="s">
        <v>21</v>
      </c>
      <c r="B35" s="22">
        <v>3.3000000000000002E-2</v>
      </c>
      <c r="C35" s="22">
        <v>7.4999999999999997E-2</v>
      </c>
      <c r="D35" s="29">
        <f t="shared" si="11"/>
        <v>2.3571428571428573E-10</v>
      </c>
      <c r="E35" s="29">
        <f t="shared" si="12"/>
        <v>7.1428571428571415E-11</v>
      </c>
      <c r="F35" s="29">
        <f t="shared" si="6"/>
        <v>2.3571428571428573E-10</v>
      </c>
      <c r="G35" s="15"/>
      <c r="H35" s="29">
        <f t="shared" si="7"/>
        <v>9.9000000000000008E-5</v>
      </c>
      <c r="I35" s="29">
        <f t="shared" si="8"/>
        <v>2.9999999999999997E-5</v>
      </c>
      <c r="J35" s="29">
        <f t="shared" si="9"/>
        <v>9.9000000000000008E-5</v>
      </c>
      <c r="K35" s="29">
        <f t="shared" si="10"/>
        <v>4.3362000000000007E-4</v>
      </c>
      <c r="L35" s="15"/>
      <c r="M35" s="15"/>
    </row>
    <row r="36" spans="1:13" x14ac:dyDescent="0.25">
      <c r="A36" s="21" t="s">
        <v>22</v>
      </c>
      <c r="B36" s="22">
        <v>0</v>
      </c>
      <c r="C36" s="22">
        <v>1.8</v>
      </c>
      <c r="D36" s="29">
        <f t="shared" si="11"/>
        <v>0</v>
      </c>
      <c r="E36" s="29">
        <f t="shared" si="12"/>
        <v>1.7142857142857144E-9</v>
      </c>
      <c r="F36" s="29">
        <f t="shared" si="6"/>
        <v>1.7142857142857144E-9</v>
      </c>
      <c r="G36" s="15"/>
      <c r="H36" s="29">
        <f t="shared" si="7"/>
        <v>0</v>
      </c>
      <c r="I36" s="29">
        <f t="shared" si="8"/>
        <v>7.1999999999999994E-4</v>
      </c>
      <c r="J36" s="29">
        <f t="shared" si="9"/>
        <v>7.1999999999999994E-4</v>
      </c>
      <c r="K36" s="29">
        <f t="shared" si="10"/>
        <v>3.1535999999999995E-3</v>
      </c>
      <c r="L36" s="15"/>
      <c r="M36" s="15"/>
    </row>
    <row r="37" spans="1:13" x14ac:dyDescent="0.25">
      <c r="A37" s="21" t="s">
        <v>23</v>
      </c>
      <c r="B37" s="22">
        <v>1.1299999999999999E-3</v>
      </c>
      <c r="C37" s="22">
        <v>6.0999999999999997E-4</v>
      </c>
      <c r="D37" s="29">
        <f t="shared" si="11"/>
        <v>8.071428571428571E-12</v>
      </c>
      <c r="E37" s="29">
        <f t="shared" si="12"/>
        <v>5.8095238095238091E-13</v>
      </c>
      <c r="F37" s="29">
        <f t="shared" si="6"/>
        <v>8.071428571428571E-12</v>
      </c>
      <c r="G37" s="15"/>
      <c r="H37" s="29">
        <f t="shared" si="7"/>
        <v>3.3899999999999997E-6</v>
      </c>
      <c r="I37" s="29">
        <f t="shared" si="8"/>
        <v>2.4399999999999996E-7</v>
      </c>
      <c r="J37" s="29">
        <f t="shared" si="9"/>
        <v>3.3899999999999997E-6</v>
      </c>
      <c r="K37" s="29">
        <f t="shared" si="10"/>
        <v>1.48482E-5</v>
      </c>
      <c r="L37" s="15"/>
      <c r="M37" s="15"/>
    </row>
    <row r="38" spans="1:13" x14ac:dyDescent="0.25">
      <c r="A38" s="21" t="s">
        <v>24</v>
      </c>
      <c r="B38" s="22">
        <v>2.3599999999999999E-4</v>
      </c>
      <c r="C38" s="22">
        <v>0</v>
      </c>
      <c r="D38" s="29">
        <f t="shared" si="11"/>
        <v>1.6857142857142856E-12</v>
      </c>
      <c r="E38" s="29">
        <f t="shared" si="12"/>
        <v>0</v>
      </c>
      <c r="F38" s="29">
        <f t="shared" si="6"/>
        <v>1.6857142857142856E-12</v>
      </c>
      <c r="G38" s="15"/>
      <c r="H38" s="29">
        <f t="shared" si="7"/>
        <v>7.0799999999999993E-7</v>
      </c>
      <c r="I38" s="29">
        <f t="shared" si="8"/>
        <v>0</v>
      </c>
      <c r="J38" s="29">
        <f t="shared" si="9"/>
        <v>7.0799999999999993E-7</v>
      </c>
      <c r="K38" s="29">
        <f t="shared" si="10"/>
        <v>3.1010399999999999E-6</v>
      </c>
      <c r="L38" s="15"/>
      <c r="M38" s="15"/>
    </row>
    <row r="39" spans="1:13" x14ac:dyDescent="0.25">
      <c r="A39" s="21" t="s">
        <v>25</v>
      </c>
      <c r="B39" s="22">
        <v>6.1999999999999998E-3</v>
      </c>
      <c r="C39" s="22">
        <v>3.3999999999999998E-3</v>
      </c>
      <c r="D39" s="29">
        <f t="shared" si="11"/>
        <v>4.4285714285714281E-11</v>
      </c>
      <c r="E39" s="29">
        <f t="shared" si="12"/>
        <v>3.2380952380952382E-12</v>
      </c>
      <c r="F39" s="29">
        <f t="shared" si="6"/>
        <v>4.4285714285714281E-11</v>
      </c>
      <c r="G39" s="15"/>
      <c r="H39" s="29">
        <f t="shared" si="7"/>
        <v>1.8599999999999998E-5</v>
      </c>
      <c r="I39" s="29">
        <f t="shared" si="8"/>
        <v>1.3599999999999999E-6</v>
      </c>
      <c r="J39" s="29">
        <f t="shared" si="9"/>
        <v>1.8599999999999998E-5</v>
      </c>
      <c r="K39" s="29">
        <f t="shared" si="10"/>
        <v>8.1467999999999986E-5</v>
      </c>
      <c r="L39" s="15"/>
      <c r="M39" s="15"/>
    </row>
    <row r="40" spans="1:13" x14ac:dyDescent="0.25">
      <c r="A40" s="21" t="s">
        <v>26</v>
      </c>
      <c r="B40" s="22">
        <v>1.0900000000000001E-4</v>
      </c>
      <c r="C40" s="22">
        <v>0</v>
      </c>
      <c r="D40" s="29">
        <f t="shared" si="11"/>
        <v>7.7857142857142853E-13</v>
      </c>
      <c r="E40" s="29">
        <f t="shared" si="12"/>
        <v>0</v>
      </c>
      <c r="F40" s="29">
        <f t="shared" si="6"/>
        <v>7.7857142857142853E-13</v>
      </c>
      <c r="G40" s="15"/>
      <c r="H40" s="29">
        <f t="shared" si="7"/>
        <v>3.27E-7</v>
      </c>
      <c r="I40" s="29">
        <f t="shared" si="8"/>
        <v>0</v>
      </c>
      <c r="J40" s="29">
        <f t="shared" si="9"/>
        <v>3.27E-7</v>
      </c>
      <c r="K40" s="29">
        <f t="shared" si="10"/>
        <v>1.43226E-6</v>
      </c>
      <c r="L40" s="15"/>
      <c r="M40" s="15"/>
    </row>
    <row r="41" spans="1:13" x14ac:dyDescent="0.25">
      <c r="A41" s="21" t="s">
        <v>27</v>
      </c>
      <c r="B41" s="22">
        <v>1.2999999999999999E-3</v>
      </c>
      <c r="C41" s="22">
        <f>(0.0000018+0.0000018+0.0000024+0.0000018+0.0000012+0.0000018+0.0000012+0.0000018+0.0000012+0.000016+0.000003+0.0000028+0.0000018+0.000024+0.0000018+0.000017+0.000005)</f>
        <v>8.6399999999999999E-5</v>
      </c>
      <c r="D41" s="29">
        <f t="shared" si="11"/>
        <v>9.285714285714286E-12</v>
      </c>
      <c r="E41" s="29">
        <f t="shared" si="12"/>
        <v>8.2285714285714285E-14</v>
      </c>
      <c r="F41" s="29">
        <f t="shared" si="6"/>
        <v>9.285714285714286E-12</v>
      </c>
      <c r="G41" s="15"/>
      <c r="H41" s="29">
        <f t="shared" si="7"/>
        <v>3.8999999999999999E-6</v>
      </c>
      <c r="I41" s="29">
        <f t="shared" si="8"/>
        <v>3.456E-8</v>
      </c>
      <c r="J41" s="29">
        <f t="shared" si="9"/>
        <v>3.8999999999999999E-6</v>
      </c>
      <c r="K41" s="29">
        <f t="shared" si="10"/>
        <v>1.7082E-5</v>
      </c>
      <c r="L41" s="15"/>
      <c r="M41" s="15"/>
    </row>
    <row r="42" spans="1:13" x14ac:dyDescent="0.25">
      <c r="A42" s="21" t="s">
        <v>28</v>
      </c>
      <c r="B42" s="22">
        <f>SUM(B32:B41)</f>
        <v>4.2252600000000001E-2</v>
      </c>
      <c r="C42" s="22">
        <f>SUM(C32:C41)</f>
        <v>1.8824264000000002</v>
      </c>
      <c r="D42" s="29">
        <f t="shared" si="11"/>
        <v>3.018042857142857E-10</v>
      </c>
      <c r="E42" s="29">
        <f t="shared" si="12"/>
        <v>1.7927870476190477E-9</v>
      </c>
      <c r="F42" s="29">
        <f t="shared" si="6"/>
        <v>1.7927870476190477E-9</v>
      </c>
      <c r="G42" s="15"/>
      <c r="H42" s="29">
        <f t="shared" si="7"/>
        <v>1.2675779999999999E-4</v>
      </c>
      <c r="I42" s="29">
        <f t="shared" si="8"/>
        <v>7.5297055999999998E-4</v>
      </c>
      <c r="J42" s="29">
        <f t="shared" si="9"/>
        <v>7.5297055999999998E-4</v>
      </c>
      <c r="K42" s="29">
        <f t="shared" si="10"/>
        <v>3.2980110527999996E-3</v>
      </c>
      <c r="L42" s="15"/>
      <c r="M42" s="15"/>
    </row>
    <row r="43" spans="1:13" x14ac:dyDescent="0.25">
      <c r="A43" s="21" t="s">
        <v>29</v>
      </c>
      <c r="B43" s="22">
        <v>5.2500000000000003E-3</v>
      </c>
      <c r="C43" s="22">
        <v>0</v>
      </c>
      <c r="D43" s="29">
        <f t="shared" si="11"/>
        <v>3.7500000000000006E-11</v>
      </c>
      <c r="E43" s="29">
        <f t="shared" si="12"/>
        <v>0</v>
      </c>
      <c r="F43" s="29">
        <f t="shared" si="6"/>
        <v>3.7500000000000006E-11</v>
      </c>
      <c r="G43" s="15"/>
      <c r="H43" s="29">
        <f t="shared" si="7"/>
        <v>1.575E-5</v>
      </c>
      <c r="I43" s="29">
        <f t="shared" si="8"/>
        <v>0</v>
      </c>
      <c r="J43" s="29">
        <f t="shared" si="9"/>
        <v>1.575E-5</v>
      </c>
      <c r="K43" s="29">
        <f t="shared" si="10"/>
        <v>6.8985000000000004E-5</v>
      </c>
      <c r="L43" s="15"/>
      <c r="M43" s="15"/>
    </row>
    <row r="44" spans="1:13" x14ac:dyDescent="0.25">
      <c r="A44" s="21" t="s">
        <v>30</v>
      </c>
      <c r="B44" s="22">
        <v>1.32E-3</v>
      </c>
      <c r="C44" s="22">
        <v>2.0000000000000001E-4</v>
      </c>
      <c r="D44" s="29">
        <f t="shared" si="11"/>
        <v>9.4285714285714283E-12</v>
      </c>
      <c r="E44" s="29">
        <f t="shared" si="12"/>
        <v>1.9047619047619047E-13</v>
      </c>
      <c r="F44" s="29">
        <f t="shared" si="6"/>
        <v>9.4285714285714283E-12</v>
      </c>
      <c r="G44" s="15"/>
      <c r="H44" s="29">
        <f t="shared" si="7"/>
        <v>3.9600000000000002E-6</v>
      </c>
      <c r="I44" s="29">
        <f t="shared" si="8"/>
        <v>8.0000000000000002E-8</v>
      </c>
      <c r="J44" s="29">
        <f t="shared" si="9"/>
        <v>3.9600000000000002E-6</v>
      </c>
      <c r="K44" s="29">
        <f t="shared" si="10"/>
        <v>1.73448E-5</v>
      </c>
      <c r="L44" s="15"/>
      <c r="M44" s="15"/>
    </row>
    <row r="45" spans="1:13" x14ac:dyDescent="0.25">
      <c r="A45" s="21" t="s">
        <v>31</v>
      </c>
      <c r="B45" s="22">
        <v>2.7800000000000001E-5</v>
      </c>
      <c r="C45" s="22">
        <v>1.2E-5</v>
      </c>
      <c r="D45" s="29">
        <f t="shared" si="11"/>
        <v>1.9857142857142858E-13</v>
      </c>
      <c r="E45" s="29">
        <f t="shared" si="12"/>
        <v>1.1428571428571428E-14</v>
      </c>
      <c r="F45" s="29">
        <f t="shared" si="6"/>
        <v>1.9857142857142858E-13</v>
      </c>
      <c r="G45" s="15"/>
      <c r="H45" s="29">
        <f t="shared" si="7"/>
        <v>8.3400000000000006E-8</v>
      </c>
      <c r="I45" s="29">
        <f t="shared" si="8"/>
        <v>4.8E-9</v>
      </c>
      <c r="J45" s="29">
        <f t="shared" si="9"/>
        <v>8.3400000000000006E-8</v>
      </c>
      <c r="K45" s="29">
        <f t="shared" si="10"/>
        <v>3.6529200000000001E-7</v>
      </c>
      <c r="L45" s="15"/>
      <c r="M45" s="15"/>
    </row>
    <row r="46" spans="1:13" x14ac:dyDescent="0.25">
      <c r="A46" s="21" t="s">
        <v>32</v>
      </c>
      <c r="B46" s="22">
        <v>3.9800000000000002E-4</v>
      </c>
      <c r="C46" s="22">
        <v>1.1000000000000001E-3</v>
      </c>
      <c r="D46" s="29">
        <f t="shared" si="11"/>
        <v>2.842857142857143E-12</v>
      </c>
      <c r="E46" s="29">
        <f t="shared" si="12"/>
        <v>1.0476190476190478E-12</v>
      </c>
      <c r="F46" s="29">
        <f t="shared" si="6"/>
        <v>2.842857142857143E-12</v>
      </c>
      <c r="G46" s="15"/>
      <c r="H46" s="29">
        <f t="shared" si="7"/>
        <v>1.1940000000000001E-6</v>
      </c>
      <c r="I46" s="29">
        <f t="shared" si="8"/>
        <v>4.3999999999999997E-7</v>
      </c>
      <c r="J46" s="29">
        <f t="shared" si="9"/>
        <v>1.1940000000000001E-6</v>
      </c>
      <c r="K46" s="29">
        <f t="shared" si="10"/>
        <v>5.2297199999999998E-6</v>
      </c>
      <c r="L46" s="15"/>
      <c r="M46" s="15"/>
    </row>
    <row r="47" spans="1:13" x14ac:dyDescent="0.25">
      <c r="A47" s="21" t="s">
        <v>33</v>
      </c>
      <c r="B47" s="22">
        <v>6.0200000000000002E-3</v>
      </c>
      <c r="C47" s="22">
        <v>0</v>
      </c>
      <c r="D47" s="29">
        <f t="shared" si="11"/>
        <v>4.3E-11</v>
      </c>
      <c r="E47" s="29">
        <f t="shared" si="12"/>
        <v>0</v>
      </c>
      <c r="F47" s="29">
        <f t="shared" si="6"/>
        <v>4.3E-11</v>
      </c>
      <c r="G47" s="15"/>
      <c r="H47" s="29">
        <f t="shared" si="7"/>
        <v>1.806E-5</v>
      </c>
      <c r="I47" s="29">
        <f t="shared" si="8"/>
        <v>0</v>
      </c>
      <c r="J47" s="29">
        <f t="shared" si="9"/>
        <v>1.806E-5</v>
      </c>
      <c r="K47" s="29">
        <f t="shared" si="10"/>
        <v>7.9102800000000004E-5</v>
      </c>
      <c r="L47" s="15"/>
      <c r="M47" s="15"/>
    </row>
    <row r="48" spans="1:13" x14ac:dyDescent="0.25">
      <c r="A48" s="21" t="s">
        <v>34</v>
      </c>
      <c r="B48" s="22">
        <v>1.09E-3</v>
      </c>
      <c r="C48" s="22">
        <v>1.4E-3</v>
      </c>
      <c r="D48" s="29">
        <f t="shared" si="11"/>
        <v>7.7857142857142863E-12</v>
      </c>
      <c r="E48" s="29">
        <f t="shared" si="12"/>
        <v>1.3333333333333334E-12</v>
      </c>
      <c r="F48" s="29">
        <f t="shared" si="6"/>
        <v>7.7857142857142863E-12</v>
      </c>
      <c r="G48" s="15"/>
      <c r="H48" s="29">
        <f t="shared" si="7"/>
        <v>3.27E-6</v>
      </c>
      <c r="I48" s="29">
        <f t="shared" si="8"/>
        <v>5.5999999999999993E-7</v>
      </c>
      <c r="J48" s="29">
        <f t="shared" si="9"/>
        <v>3.27E-6</v>
      </c>
      <c r="K48" s="29">
        <f t="shared" si="10"/>
        <v>1.4322599999999999E-5</v>
      </c>
      <c r="L48" s="15"/>
      <c r="M48" s="15"/>
    </row>
    <row r="49" spans="1:13" x14ac:dyDescent="0.25">
      <c r="A49" s="21" t="s">
        <v>35</v>
      </c>
      <c r="B49" s="22">
        <v>3.0000000000000001E-3</v>
      </c>
      <c r="C49" s="22">
        <v>3.8000000000000002E-4</v>
      </c>
      <c r="D49" s="29">
        <f t="shared" si="11"/>
        <v>2.1428571428571429E-11</v>
      </c>
      <c r="E49" s="29">
        <f t="shared" si="12"/>
        <v>3.6190476190476194E-13</v>
      </c>
      <c r="F49" s="29">
        <f t="shared" si="6"/>
        <v>2.1428571428571429E-11</v>
      </c>
      <c r="G49" s="15"/>
      <c r="H49" s="29">
        <f t="shared" si="7"/>
        <v>9.0000000000000002E-6</v>
      </c>
      <c r="I49" s="29">
        <f t="shared" si="8"/>
        <v>1.5199999999999998E-7</v>
      </c>
      <c r="J49" s="29">
        <f t="shared" si="9"/>
        <v>9.0000000000000002E-6</v>
      </c>
      <c r="K49" s="29">
        <f t="shared" si="10"/>
        <v>3.9420000000000005E-5</v>
      </c>
      <c r="L49" s="15"/>
      <c r="M49" s="15"/>
    </row>
    <row r="50" spans="1:13" x14ac:dyDescent="0.25">
      <c r="A50" s="21" t="s">
        <v>36</v>
      </c>
      <c r="B50" s="22">
        <v>1.13E-4</v>
      </c>
      <c r="C50" s="22">
        <v>2.5999999999999998E-4</v>
      </c>
      <c r="D50" s="29">
        <f t="shared" si="11"/>
        <v>8.0714285714285712E-13</v>
      </c>
      <c r="E50" s="29">
        <f t="shared" si="12"/>
        <v>2.4761904761904761E-13</v>
      </c>
      <c r="F50" s="29">
        <f t="shared" si="6"/>
        <v>8.0714285714285712E-13</v>
      </c>
      <c r="G50" s="15"/>
      <c r="H50" s="29">
        <f t="shared" si="7"/>
        <v>3.39E-7</v>
      </c>
      <c r="I50" s="29">
        <f t="shared" si="8"/>
        <v>1.0399999999999998E-7</v>
      </c>
      <c r="J50" s="29">
        <f t="shared" si="9"/>
        <v>3.39E-7</v>
      </c>
      <c r="K50" s="29">
        <f t="shared" si="10"/>
        <v>1.4848199999999999E-6</v>
      </c>
      <c r="L50" s="15"/>
      <c r="M50" s="15"/>
    </row>
    <row r="51" spans="1:13" x14ac:dyDescent="0.25">
      <c r="A51" s="21" t="s">
        <v>37</v>
      </c>
      <c r="B51" s="22">
        <v>8.5400000000000004E-2</v>
      </c>
      <c r="C51" s="22">
        <v>2.0999999999999999E-3</v>
      </c>
      <c r="D51" s="29">
        <f t="shared" si="11"/>
        <v>6.0999999999999996E-10</v>
      </c>
      <c r="E51" s="29">
        <f t="shared" si="12"/>
        <v>2E-12</v>
      </c>
      <c r="F51" s="29">
        <f t="shared" si="6"/>
        <v>6.0999999999999996E-10</v>
      </c>
      <c r="G51" s="15"/>
      <c r="H51" s="29">
        <f t="shared" si="7"/>
        <v>2.5619999999999999E-4</v>
      </c>
      <c r="I51" s="29">
        <f t="shared" si="8"/>
        <v>8.399999999999999E-7</v>
      </c>
      <c r="J51" s="29">
        <f t="shared" si="9"/>
        <v>2.5619999999999999E-4</v>
      </c>
      <c r="K51" s="29">
        <f t="shared" si="10"/>
        <v>1.122156E-3</v>
      </c>
      <c r="L51" s="15"/>
      <c r="M51" s="15"/>
    </row>
    <row r="52" spans="1:13" x14ac:dyDescent="0.25">
      <c r="A52" s="21" t="s">
        <v>38</v>
      </c>
      <c r="B52" s="22">
        <v>9.4599999999999997E-3</v>
      </c>
      <c r="C52" s="22">
        <v>0</v>
      </c>
      <c r="D52" s="29">
        <f t="shared" si="11"/>
        <v>6.7571428571428558E-11</v>
      </c>
      <c r="E52" s="29">
        <f t="shared" si="12"/>
        <v>0</v>
      </c>
      <c r="F52" s="29">
        <f t="shared" si="6"/>
        <v>6.7571428571428558E-11</v>
      </c>
      <c r="G52" s="15"/>
      <c r="H52" s="29">
        <f t="shared" si="7"/>
        <v>2.8379999999999999E-5</v>
      </c>
      <c r="I52" s="29">
        <f t="shared" si="8"/>
        <v>0</v>
      </c>
      <c r="J52" s="29">
        <f t="shared" si="9"/>
        <v>2.8379999999999999E-5</v>
      </c>
      <c r="K52" s="29">
        <f t="shared" si="10"/>
        <v>1.243044E-4</v>
      </c>
      <c r="L52" s="15"/>
      <c r="M52" s="15"/>
    </row>
    <row r="53" spans="1:13" x14ac:dyDescent="0.25">
      <c r="A53" s="21" t="s">
        <v>39</v>
      </c>
      <c r="B53" s="22">
        <v>6.8300000000000001E-4</v>
      </c>
      <c r="C53" s="22">
        <v>2.4000000000000001E-4</v>
      </c>
      <c r="D53" s="29">
        <f t="shared" si="11"/>
        <v>4.8785714285714285E-12</v>
      </c>
      <c r="E53" s="29">
        <f t="shared" si="12"/>
        <v>2.285714285714286E-13</v>
      </c>
      <c r="F53" s="29">
        <f t="shared" si="6"/>
        <v>4.8785714285714285E-12</v>
      </c>
      <c r="G53" s="15"/>
      <c r="H53" s="29">
        <f t="shared" si="7"/>
        <v>2.0490000000000002E-6</v>
      </c>
      <c r="I53" s="29">
        <f t="shared" si="8"/>
        <v>9.5999999999999999E-8</v>
      </c>
      <c r="J53" s="29">
        <f t="shared" si="9"/>
        <v>2.0490000000000002E-6</v>
      </c>
      <c r="K53" s="29">
        <f t="shared" si="10"/>
        <v>8.9746200000000001E-6</v>
      </c>
      <c r="L53" s="15"/>
      <c r="M53" s="15"/>
    </row>
    <row r="54" spans="1:13" x14ac:dyDescent="0.25">
      <c r="A54" s="21" t="s">
        <v>40</v>
      </c>
      <c r="B54" s="22">
        <f>SUM(B43:B53)</f>
        <v>0.11276180000000001</v>
      </c>
      <c r="C54" s="22">
        <f>SUM(C43:C53)</f>
        <v>5.692E-3</v>
      </c>
      <c r="D54" s="29">
        <f t="shared" si="11"/>
        <v>8.054414285714286E-10</v>
      </c>
      <c r="E54" s="29">
        <f t="shared" si="12"/>
        <v>5.4209523809523808E-12</v>
      </c>
      <c r="F54" s="29">
        <f t="shared" si="6"/>
        <v>8.054414285714286E-10</v>
      </c>
      <c r="G54" s="15"/>
      <c r="H54" s="29">
        <f t="shared" si="7"/>
        <v>3.3828540000000005E-4</v>
      </c>
      <c r="I54" s="29">
        <f t="shared" si="8"/>
        <v>2.2768E-6</v>
      </c>
      <c r="J54" s="29">
        <f t="shared" si="9"/>
        <v>3.3828540000000005E-4</v>
      </c>
      <c r="K54" s="29">
        <f t="shared" si="10"/>
        <v>1.4816900520000004E-3</v>
      </c>
      <c r="L54" s="15"/>
      <c r="M54" s="15"/>
    </row>
    <row r="55" spans="1:13" x14ac:dyDescent="0.25">
      <c r="A55" s="21" t="s">
        <v>41</v>
      </c>
      <c r="B55" s="22">
        <f>B54+B42</f>
        <v>0.1550144</v>
      </c>
      <c r="C55" s="22">
        <f>C54+C42</f>
        <v>1.8881184000000002</v>
      </c>
      <c r="D55" s="29">
        <f t="shared" si="11"/>
        <v>1.1072457142857144E-9</v>
      </c>
      <c r="E55" s="29">
        <f t="shared" si="12"/>
        <v>1.7982080000000001E-9</v>
      </c>
      <c r="F55" s="29">
        <f>F54+F42</f>
        <v>2.5982284761904762E-9</v>
      </c>
      <c r="G55" s="15"/>
      <c r="H55" s="29">
        <f t="shared" si="7"/>
        <v>4.6504320000000001E-4</v>
      </c>
      <c r="I55" s="29">
        <f t="shared" si="8"/>
        <v>7.5524735999999999E-4</v>
      </c>
      <c r="J55" s="29">
        <f>J54+J42</f>
        <v>1.09125596E-3</v>
      </c>
      <c r="K55" s="29">
        <f>K54+K42</f>
        <v>4.7797011048000002E-3</v>
      </c>
      <c r="L55" s="15"/>
      <c r="M55" s="15"/>
    </row>
    <row r="56" spans="1:13" x14ac:dyDescent="0.25"/>
    <row r="57" spans="1:13" x14ac:dyDescent="0.25"/>
    <row r="58" spans="1:13" x14ac:dyDescent="0.25"/>
    <row r="59" spans="1:13" x14ac:dyDescent="0.25"/>
  </sheetData>
  <sheetProtection algorithmName="SHA-512" hashValue="qRgYIjo8TwhNZ9cUtAr5Wd/kHVvtb3PWp63okQnKGd9ioglLGy1Oi4j6EaYtDErDAuWIAFaZ1v9xCGE9SWEyTw==" saltValue="ViKeobwYtgroZXpzHnxHXw==" spinCount="100000" sheet="1" objects="1" scenarios="1"/>
  <mergeCells count="7">
    <mergeCell ref="A1:M1"/>
    <mergeCell ref="J30:K30"/>
    <mergeCell ref="A6:A7"/>
    <mergeCell ref="B6:C6"/>
    <mergeCell ref="D6:E6"/>
    <mergeCell ref="F6:G6"/>
    <mergeCell ref="A25:A26"/>
  </mergeCells>
  <hyperlinks>
    <hyperlink ref="A1:M1" r:id="rId1" location="rule.7007.1300.3.A" display="Heat input capacity (Minn. R. 7007.1300, subp. 3(A))"/>
  </hyperlinks>
  <printOptions gridLines="1" gridLinesSet="0"/>
  <pageMargins left="0.75" right="0.75" top="1" bottom="1" header="0.5" footer="0.5"/>
  <pageSetup scale="68" orientation="landscape" r:id="rId2"/>
  <headerFooter alignWithMargins="0">
    <oddHeader>&amp;A</oddHeader>
    <oddFooter>Page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theme="0" tint="-0.249977111117893"/>
    <pageSetUpPr fitToPage="1"/>
  </sheetPr>
  <dimension ref="A1:WVQ55"/>
  <sheetViews>
    <sheetView showGridLines="0" workbookViewId="0">
      <selection sqref="A1:M1"/>
    </sheetView>
  </sheetViews>
  <sheetFormatPr defaultColWidth="0" defaultRowHeight="14.5" zeroHeight="1" x14ac:dyDescent="0.35"/>
  <cols>
    <col min="1" max="1" width="26" customWidth="1"/>
    <col min="2" max="2" width="14.7265625" bestFit="1" customWidth="1"/>
    <col min="3" max="3" width="16.81640625" customWidth="1"/>
    <col min="4" max="4" width="12.453125" bestFit="1" customWidth="1"/>
    <col min="5" max="5" width="14.7265625" bestFit="1" customWidth="1"/>
    <col min="6" max="6" width="12.453125" bestFit="1" customWidth="1"/>
    <col min="7" max="7" width="8.453125" bestFit="1" customWidth="1"/>
    <col min="8" max="8" width="14.26953125" bestFit="1" customWidth="1"/>
    <col min="9" max="11" width="12.453125" bestFit="1" customWidth="1"/>
    <col min="12" max="12" width="9" bestFit="1" customWidth="1"/>
    <col min="13" max="13" width="12.453125" bestFit="1" customWidth="1"/>
    <col min="14" max="15" width="12.453125" hidden="1"/>
    <col min="16" max="258" width="9.1796875" hidden="1"/>
    <col min="259" max="260" width="10" hidden="1"/>
    <col min="261" max="263" width="9.1796875" hidden="1"/>
    <col min="264" max="264" width="10" hidden="1"/>
    <col min="265" max="265" width="12.453125" hidden="1"/>
    <col min="266" max="514" width="9.1796875" hidden="1"/>
    <col min="515" max="516" width="10" hidden="1"/>
    <col min="517" max="519" width="9.1796875" hidden="1"/>
    <col min="520" max="520" width="10" hidden="1"/>
    <col min="521" max="521" width="12.453125" hidden="1"/>
    <col min="522" max="770" width="9.1796875" hidden="1"/>
    <col min="771" max="772" width="10" hidden="1"/>
    <col min="773" max="775" width="9.1796875" hidden="1"/>
    <col min="776" max="776" width="10" hidden="1"/>
    <col min="777" max="777" width="12.453125" hidden="1"/>
    <col min="778" max="1026" width="9.1796875" hidden="1"/>
    <col min="1027" max="1028" width="10" hidden="1"/>
    <col min="1029" max="1031" width="9.1796875" hidden="1"/>
    <col min="1032" max="1032" width="10" hidden="1"/>
    <col min="1033" max="1033" width="12.453125" hidden="1"/>
    <col min="1034" max="1282" width="9.1796875" hidden="1"/>
    <col min="1283" max="1284" width="10" hidden="1"/>
    <col min="1285" max="1287" width="9.1796875" hidden="1"/>
    <col min="1288" max="1288" width="10" hidden="1"/>
    <col min="1289" max="1289" width="12.453125" hidden="1"/>
    <col min="1290" max="1538" width="9.1796875" hidden="1"/>
    <col min="1539" max="1540" width="10" hidden="1"/>
    <col min="1541" max="1543" width="9.1796875" hidden="1"/>
    <col min="1544" max="1544" width="10" hidden="1"/>
    <col min="1545" max="1545" width="12.453125" hidden="1"/>
    <col min="1546" max="1794" width="9.1796875" hidden="1"/>
    <col min="1795" max="1796" width="10" hidden="1"/>
    <col min="1797" max="1799" width="9.1796875" hidden="1"/>
    <col min="1800" max="1800" width="10" hidden="1"/>
    <col min="1801" max="1801" width="12.453125" hidden="1"/>
    <col min="1802" max="2050" width="9.1796875" hidden="1"/>
    <col min="2051" max="2052" width="10" hidden="1"/>
    <col min="2053" max="2055" width="9.1796875" hidden="1"/>
    <col min="2056" max="2056" width="10" hidden="1"/>
    <col min="2057" max="2057" width="12.453125" hidden="1"/>
    <col min="2058" max="2306" width="9.1796875" hidden="1"/>
    <col min="2307" max="2308" width="10" hidden="1"/>
    <col min="2309" max="2311" width="9.1796875" hidden="1"/>
    <col min="2312" max="2312" width="10" hidden="1"/>
    <col min="2313" max="2313" width="12.453125" hidden="1"/>
    <col min="2314" max="2562" width="9.1796875" hidden="1"/>
    <col min="2563" max="2564" width="10" hidden="1"/>
    <col min="2565" max="2567" width="9.1796875" hidden="1"/>
    <col min="2568" max="2568" width="10" hidden="1"/>
    <col min="2569" max="2569" width="12.453125" hidden="1"/>
    <col min="2570" max="2818" width="9.1796875" hidden="1"/>
    <col min="2819" max="2820" width="10" hidden="1"/>
    <col min="2821" max="2823" width="9.1796875" hidden="1"/>
    <col min="2824" max="2824" width="10" hidden="1"/>
    <col min="2825" max="2825" width="12.453125" hidden="1"/>
    <col min="2826" max="3074" width="9.1796875" hidden="1"/>
    <col min="3075" max="3076" width="10" hidden="1"/>
    <col min="3077" max="3079" width="9.1796875" hidden="1"/>
    <col min="3080" max="3080" width="10" hidden="1"/>
    <col min="3081" max="3081" width="12.453125" hidden="1"/>
    <col min="3082" max="3330" width="9.1796875" hidden="1"/>
    <col min="3331" max="3332" width="10" hidden="1"/>
    <col min="3333" max="3335" width="9.1796875" hidden="1"/>
    <col min="3336" max="3336" width="10" hidden="1"/>
    <col min="3337" max="3337" width="12.453125" hidden="1"/>
    <col min="3338" max="3586" width="9.1796875" hidden="1"/>
    <col min="3587" max="3588" width="10" hidden="1"/>
    <col min="3589" max="3591" width="9.1796875" hidden="1"/>
    <col min="3592" max="3592" width="10" hidden="1"/>
    <col min="3593" max="3593" width="12.453125" hidden="1"/>
    <col min="3594" max="3842" width="9.1796875" hidden="1"/>
    <col min="3843" max="3844" width="10" hidden="1"/>
    <col min="3845" max="3847" width="9.1796875" hidden="1"/>
    <col min="3848" max="3848" width="10" hidden="1"/>
    <col min="3849" max="3849" width="12.453125" hidden="1"/>
    <col min="3850" max="4098" width="9.1796875" hidden="1"/>
    <col min="4099" max="4100" width="10" hidden="1"/>
    <col min="4101" max="4103" width="9.1796875" hidden="1"/>
    <col min="4104" max="4104" width="10" hidden="1"/>
    <col min="4105" max="4105" width="12.453125" hidden="1"/>
    <col min="4106" max="4354" width="9.1796875" hidden="1"/>
    <col min="4355" max="4356" width="10" hidden="1"/>
    <col min="4357" max="4359" width="9.1796875" hidden="1"/>
    <col min="4360" max="4360" width="10" hidden="1"/>
    <col min="4361" max="4361" width="12.453125" hidden="1"/>
    <col min="4362" max="4610" width="9.1796875" hidden="1"/>
    <col min="4611" max="4612" width="10" hidden="1"/>
    <col min="4613" max="4615" width="9.1796875" hidden="1"/>
    <col min="4616" max="4616" width="10" hidden="1"/>
    <col min="4617" max="4617" width="12.453125" hidden="1"/>
    <col min="4618" max="4866" width="9.1796875" hidden="1"/>
    <col min="4867" max="4868" width="10" hidden="1"/>
    <col min="4869" max="4871" width="9.1796875" hidden="1"/>
    <col min="4872" max="4872" width="10" hidden="1"/>
    <col min="4873" max="4873" width="12.453125" hidden="1"/>
    <col min="4874" max="5122" width="9.1796875" hidden="1"/>
    <col min="5123" max="5124" width="10" hidden="1"/>
    <col min="5125" max="5127" width="9.1796875" hidden="1"/>
    <col min="5128" max="5128" width="10" hidden="1"/>
    <col min="5129" max="5129" width="12.453125" hidden="1"/>
    <col min="5130" max="5378" width="9.1796875" hidden="1"/>
    <col min="5379" max="5380" width="10" hidden="1"/>
    <col min="5381" max="5383" width="9.1796875" hidden="1"/>
    <col min="5384" max="5384" width="10" hidden="1"/>
    <col min="5385" max="5385" width="12.453125" hidden="1"/>
    <col min="5386" max="5634" width="9.1796875" hidden="1"/>
    <col min="5635" max="5636" width="10" hidden="1"/>
    <col min="5637" max="5639" width="9.1796875" hidden="1"/>
    <col min="5640" max="5640" width="10" hidden="1"/>
    <col min="5641" max="5641" width="12.453125" hidden="1"/>
    <col min="5642" max="5890" width="9.1796875" hidden="1"/>
    <col min="5891" max="5892" width="10" hidden="1"/>
    <col min="5893" max="5895" width="9.1796875" hidden="1"/>
    <col min="5896" max="5896" width="10" hidden="1"/>
    <col min="5897" max="5897" width="12.453125" hidden="1"/>
    <col min="5898" max="6146" width="9.1796875" hidden="1"/>
    <col min="6147" max="6148" width="10" hidden="1"/>
    <col min="6149" max="6151" width="9.1796875" hidden="1"/>
    <col min="6152" max="6152" width="10" hidden="1"/>
    <col min="6153" max="6153" width="12.453125" hidden="1"/>
    <col min="6154" max="6402" width="9.1796875" hidden="1"/>
    <col min="6403" max="6404" width="10" hidden="1"/>
    <col min="6405" max="6407" width="9.1796875" hidden="1"/>
    <col min="6408" max="6408" width="10" hidden="1"/>
    <col min="6409" max="6409" width="12.453125" hidden="1"/>
    <col min="6410" max="6658" width="9.1796875" hidden="1"/>
    <col min="6659" max="6660" width="10" hidden="1"/>
    <col min="6661" max="6663" width="9.1796875" hidden="1"/>
    <col min="6664" max="6664" width="10" hidden="1"/>
    <col min="6665" max="6665" width="12.453125" hidden="1"/>
    <col min="6666" max="6914" width="9.1796875" hidden="1"/>
    <col min="6915" max="6916" width="10" hidden="1"/>
    <col min="6917" max="6919" width="9.1796875" hidden="1"/>
    <col min="6920" max="6920" width="10" hidden="1"/>
    <col min="6921" max="6921" width="12.453125" hidden="1"/>
    <col min="6922" max="7170" width="9.1796875" hidden="1"/>
    <col min="7171" max="7172" width="10" hidden="1"/>
    <col min="7173" max="7175" width="9.1796875" hidden="1"/>
    <col min="7176" max="7176" width="10" hidden="1"/>
    <col min="7177" max="7177" width="12.453125" hidden="1"/>
    <col min="7178" max="7426" width="9.1796875" hidden="1"/>
    <col min="7427" max="7428" width="10" hidden="1"/>
    <col min="7429" max="7431" width="9.1796875" hidden="1"/>
    <col min="7432" max="7432" width="10" hidden="1"/>
    <col min="7433" max="7433" width="12.453125" hidden="1"/>
    <col min="7434" max="7682" width="9.1796875" hidden="1"/>
    <col min="7683" max="7684" width="10" hidden="1"/>
    <col min="7685" max="7687" width="9.1796875" hidden="1"/>
    <col min="7688" max="7688" width="10" hidden="1"/>
    <col min="7689" max="7689" width="12.453125" hidden="1"/>
    <col min="7690" max="7938" width="9.1796875" hidden="1"/>
    <col min="7939" max="7940" width="10" hidden="1"/>
    <col min="7941" max="7943" width="9.1796875" hidden="1"/>
    <col min="7944" max="7944" width="10" hidden="1"/>
    <col min="7945" max="7945" width="12.453125" hidden="1"/>
    <col min="7946" max="8194" width="9.1796875" hidden="1"/>
    <col min="8195" max="8196" width="10" hidden="1"/>
    <col min="8197" max="8199" width="9.1796875" hidden="1"/>
    <col min="8200" max="8200" width="10" hidden="1"/>
    <col min="8201" max="8201" width="12.453125" hidden="1"/>
    <col min="8202" max="8450" width="9.1796875" hidden="1"/>
    <col min="8451" max="8452" width="10" hidden="1"/>
    <col min="8453" max="8455" width="9.1796875" hidden="1"/>
    <col min="8456" max="8456" width="10" hidden="1"/>
    <col min="8457" max="8457" width="12.453125" hidden="1"/>
    <col min="8458" max="8706" width="9.1796875" hidden="1"/>
    <col min="8707" max="8708" width="10" hidden="1"/>
    <col min="8709" max="8711" width="9.1796875" hidden="1"/>
    <col min="8712" max="8712" width="10" hidden="1"/>
    <col min="8713" max="8713" width="12.453125" hidden="1"/>
    <col min="8714" max="8962" width="9.1796875" hidden="1"/>
    <col min="8963" max="8964" width="10" hidden="1"/>
    <col min="8965" max="8967" width="9.1796875" hidden="1"/>
    <col min="8968" max="8968" width="10" hidden="1"/>
    <col min="8969" max="8969" width="12.453125" hidden="1"/>
    <col min="8970" max="9218" width="9.1796875" hidden="1"/>
    <col min="9219" max="9220" width="10" hidden="1"/>
    <col min="9221" max="9223" width="9.1796875" hidden="1"/>
    <col min="9224" max="9224" width="10" hidden="1"/>
    <col min="9225" max="9225" width="12.453125" hidden="1"/>
    <col min="9226" max="9474" width="9.1796875" hidden="1"/>
    <col min="9475" max="9476" width="10" hidden="1"/>
    <col min="9477" max="9479" width="9.1796875" hidden="1"/>
    <col min="9480" max="9480" width="10" hidden="1"/>
    <col min="9481" max="9481" width="12.453125" hidden="1"/>
    <col min="9482" max="9730" width="9.1796875" hidden="1"/>
    <col min="9731" max="9732" width="10" hidden="1"/>
    <col min="9733" max="9735" width="9.1796875" hidden="1"/>
    <col min="9736" max="9736" width="10" hidden="1"/>
    <col min="9737" max="9737" width="12.453125" hidden="1"/>
    <col min="9738" max="9986" width="9.1796875" hidden="1"/>
    <col min="9987" max="9988" width="10" hidden="1"/>
    <col min="9989" max="9991" width="9.1796875" hidden="1"/>
    <col min="9992" max="9992" width="10" hidden="1"/>
    <col min="9993" max="9993" width="12.453125" hidden="1"/>
    <col min="9994" max="10242" width="9.1796875" hidden="1"/>
    <col min="10243" max="10244" width="10" hidden="1"/>
    <col min="10245" max="10247" width="9.1796875" hidden="1"/>
    <col min="10248" max="10248" width="10" hidden="1"/>
    <col min="10249" max="10249" width="12.453125" hidden="1"/>
    <col min="10250" max="10498" width="9.1796875" hidden="1"/>
    <col min="10499" max="10500" width="10" hidden="1"/>
    <col min="10501" max="10503" width="9.1796875" hidden="1"/>
    <col min="10504" max="10504" width="10" hidden="1"/>
    <col min="10505" max="10505" width="12.453125" hidden="1"/>
    <col min="10506" max="10754" width="9.1796875" hidden="1"/>
    <col min="10755" max="10756" width="10" hidden="1"/>
    <col min="10757" max="10759" width="9.1796875" hidden="1"/>
    <col min="10760" max="10760" width="10" hidden="1"/>
    <col min="10761" max="10761" width="12.453125" hidden="1"/>
    <col min="10762" max="11010" width="9.1796875" hidden="1"/>
    <col min="11011" max="11012" width="10" hidden="1"/>
    <col min="11013" max="11015" width="9.1796875" hidden="1"/>
    <col min="11016" max="11016" width="10" hidden="1"/>
    <col min="11017" max="11017" width="12.453125" hidden="1"/>
    <col min="11018" max="11266" width="9.1796875" hidden="1"/>
    <col min="11267" max="11268" width="10" hidden="1"/>
    <col min="11269" max="11271" width="9.1796875" hidden="1"/>
    <col min="11272" max="11272" width="10" hidden="1"/>
    <col min="11273" max="11273" width="12.453125" hidden="1"/>
    <col min="11274" max="11522" width="9.1796875" hidden="1"/>
    <col min="11523" max="11524" width="10" hidden="1"/>
    <col min="11525" max="11527" width="9.1796875" hidden="1"/>
    <col min="11528" max="11528" width="10" hidden="1"/>
    <col min="11529" max="11529" width="12.453125" hidden="1"/>
    <col min="11530" max="11778" width="9.1796875" hidden="1"/>
    <col min="11779" max="11780" width="10" hidden="1"/>
    <col min="11781" max="11783" width="9.1796875" hidden="1"/>
    <col min="11784" max="11784" width="10" hidden="1"/>
    <col min="11785" max="11785" width="12.453125" hidden="1"/>
    <col min="11786" max="12034" width="9.1796875" hidden="1"/>
    <col min="12035" max="12036" width="10" hidden="1"/>
    <col min="12037" max="12039" width="9.1796875" hidden="1"/>
    <col min="12040" max="12040" width="10" hidden="1"/>
    <col min="12041" max="12041" width="12.453125" hidden="1"/>
    <col min="12042" max="12290" width="9.1796875" hidden="1"/>
    <col min="12291" max="12292" width="10" hidden="1"/>
    <col min="12293" max="12295" width="9.1796875" hidden="1"/>
    <col min="12296" max="12296" width="10" hidden="1"/>
    <col min="12297" max="12297" width="12.453125" hidden="1"/>
    <col min="12298" max="12546" width="9.1796875" hidden="1"/>
    <col min="12547" max="12548" width="10" hidden="1"/>
    <col min="12549" max="12551" width="9.1796875" hidden="1"/>
    <col min="12552" max="12552" width="10" hidden="1"/>
    <col min="12553" max="12553" width="12.453125" hidden="1"/>
    <col min="12554" max="12802" width="9.1796875" hidden="1"/>
    <col min="12803" max="12804" width="10" hidden="1"/>
    <col min="12805" max="12807" width="9.1796875" hidden="1"/>
    <col min="12808" max="12808" width="10" hidden="1"/>
    <col min="12809" max="12809" width="12.453125" hidden="1"/>
    <col min="12810" max="13058" width="9.1796875" hidden="1"/>
    <col min="13059" max="13060" width="10" hidden="1"/>
    <col min="13061" max="13063" width="9.1796875" hidden="1"/>
    <col min="13064" max="13064" width="10" hidden="1"/>
    <col min="13065" max="13065" width="12.453125" hidden="1"/>
    <col min="13066" max="13314" width="9.1796875" hidden="1"/>
    <col min="13315" max="13316" width="10" hidden="1"/>
    <col min="13317" max="13319" width="9.1796875" hidden="1"/>
    <col min="13320" max="13320" width="10" hidden="1"/>
    <col min="13321" max="13321" width="12.453125" hidden="1"/>
    <col min="13322" max="13570" width="9.1796875" hidden="1"/>
    <col min="13571" max="13572" width="10" hidden="1"/>
    <col min="13573" max="13575" width="9.1796875" hidden="1"/>
    <col min="13576" max="13576" width="10" hidden="1"/>
    <col min="13577" max="13577" width="12.453125" hidden="1"/>
    <col min="13578" max="13826" width="9.1796875" hidden="1"/>
    <col min="13827" max="13828" width="10" hidden="1"/>
    <col min="13829" max="13831" width="9.1796875" hidden="1"/>
    <col min="13832" max="13832" width="10" hidden="1"/>
    <col min="13833" max="13833" width="12.453125" hidden="1"/>
    <col min="13834" max="14082" width="9.1796875" hidden="1"/>
    <col min="14083" max="14084" width="10" hidden="1"/>
    <col min="14085" max="14087" width="9.1796875" hidden="1"/>
    <col min="14088" max="14088" width="10" hidden="1"/>
    <col min="14089" max="14089" width="12.453125" hidden="1"/>
    <col min="14090" max="14338" width="9.1796875" hidden="1"/>
    <col min="14339" max="14340" width="10" hidden="1"/>
    <col min="14341" max="14343" width="9.1796875" hidden="1"/>
    <col min="14344" max="14344" width="10" hidden="1"/>
    <col min="14345" max="14345" width="12.453125" hidden="1"/>
    <col min="14346" max="14594" width="9.1796875" hidden="1"/>
    <col min="14595" max="14596" width="10" hidden="1"/>
    <col min="14597" max="14599" width="9.1796875" hidden="1"/>
    <col min="14600" max="14600" width="10" hidden="1"/>
    <col min="14601" max="14601" width="12.453125" hidden="1"/>
    <col min="14602" max="14850" width="9.1796875" hidden="1"/>
    <col min="14851" max="14852" width="10" hidden="1"/>
    <col min="14853" max="14855" width="9.1796875" hidden="1"/>
    <col min="14856" max="14856" width="10" hidden="1"/>
    <col min="14857" max="14857" width="12.453125" hidden="1"/>
    <col min="14858" max="15106" width="9.1796875" hidden="1"/>
    <col min="15107" max="15108" width="10" hidden="1"/>
    <col min="15109" max="15111" width="9.1796875" hidden="1"/>
    <col min="15112" max="15112" width="10" hidden="1"/>
    <col min="15113" max="15113" width="12.453125" hidden="1"/>
    <col min="15114" max="15362" width="9.1796875" hidden="1"/>
    <col min="15363" max="15364" width="10" hidden="1"/>
    <col min="15365" max="15367" width="9.1796875" hidden="1"/>
    <col min="15368" max="15368" width="10" hidden="1"/>
    <col min="15369" max="15369" width="12.453125" hidden="1"/>
    <col min="15370" max="15618" width="9.1796875" hidden="1"/>
    <col min="15619" max="15620" width="10" hidden="1"/>
    <col min="15621" max="15623" width="9.1796875" hidden="1"/>
    <col min="15624" max="15624" width="10" hidden="1"/>
    <col min="15625" max="15625" width="12.453125" hidden="1"/>
    <col min="15626" max="15874" width="9.1796875" hidden="1"/>
    <col min="15875" max="15876" width="10" hidden="1"/>
    <col min="15877" max="15879" width="9.1796875" hidden="1"/>
    <col min="15880" max="15880" width="10" hidden="1"/>
    <col min="15881" max="15881" width="12.453125" hidden="1"/>
    <col min="15882" max="16130" width="9.1796875" hidden="1"/>
    <col min="16131" max="16132" width="10" hidden="1"/>
    <col min="16133" max="16135" width="9.1796875" hidden="1"/>
    <col min="16136" max="16136" width="10" hidden="1"/>
    <col min="16137" max="16137" width="12.453125" hidden="1"/>
    <col min="16138" max="16384" width="9.1796875" hidden="1"/>
  </cols>
  <sheetData>
    <row r="1" spans="1:13" s="2" customFormat="1" thickBot="1" x14ac:dyDescent="0.35">
      <c r="A1" s="295" t="s">
        <v>301</v>
      </c>
      <c r="B1" s="295"/>
      <c r="C1" s="295"/>
      <c r="D1" s="295"/>
      <c r="E1" s="295"/>
      <c r="F1" s="295"/>
      <c r="G1" s="295"/>
      <c r="H1" s="295"/>
      <c r="I1" s="295"/>
      <c r="J1" s="295"/>
      <c r="K1" s="295"/>
      <c r="L1" s="295"/>
      <c r="M1" s="295"/>
    </row>
    <row r="2" spans="1:13" s="2" customFormat="1" ht="12.5" x14ac:dyDescent="0.25">
      <c r="A2" s="106">
        <v>420000</v>
      </c>
      <c r="B2" s="15" t="s">
        <v>43</v>
      </c>
      <c r="C2" s="15"/>
      <c r="D2" s="106">
        <v>1400000</v>
      </c>
      <c r="E2" s="15" t="s">
        <v>42</v>
      </c>
      <c r="F2" s="15"/>
      <c r="I2" s="15"/>
      <c r="J2" s="15"/>
      <c r="K2" s="15"/>
      <c r="L2" s="15"/>
      <c r="M2" s="15"/>
    </row>
    <row r="3" spans="1:13" s="2" customFormat="1" ht="12.5" x14ac:dyDescent="0.25">
      <c r="A3" s="15">
        <f>A2/1000000</f>
        <v>0.42</v>
      </c>
      <c r="B3" s="15" t="s">
        <v>3</v>
      </c>
      <c r="C3" s="15"/>
      <c r="D3" s="15">
        <f>D2/1000000</f>
        <v>1.4</v>
      </c>
      <c r="E3" s="15" t="s">
        <v>4</v>
      </c>
      <c r="F3" s="15"/>
      <c r="I3" s="15"/>
      <c r="J3" s="15"/>
      <c r="K3" s="15"/>
      <c r="L3" s="15"/>
      <c r="M3" s="15"/>
    </row>
    <row r="4" spans="1:13" s="2" customFormat="1" ht="12.5" x14ac:dyDescent="0.25">
      <c r="A4" s="15"/>
      <c r="B4" s="15"/>
      <c r="C4" s="15"/>
      <c r="D4" s="15"/>
      <c r="E4" s="15"/>
      <c r="F4" s="15"/>
      <c r="G4" s="15"/>
      <c r="H4" s="15"/>
      <c r="I4" s="15"/>
      <c r="J4" s="15"/>
      <c r="K4" s="15"/>
      <c r="L4" s="15"/>
      <c r="M4" s="15"/>
    </row>
    <row r="5" spans="1:13" s="2" customFormat="1" ht="13" x14ac:dyDescent="0.3">
      <c r="A5" s="17" t="s">
        <v>222</v>
      </c>
      <c r="B5" s="15"/>
      <c r="C5" s="15"/>
      <c r="D5" s="15"/>
      <c r="E5" s="15"/>
      <c r="F5" s="15"/>
      <c r="G5" s="17"/>
      <c r="H5" s="15"/>
      <c r="I5" s="15"/>
      <c r="J5" s="15"/>
      <c r="K5" s="17"/>
      <c r="L5" s="15"/>
      <c r="M5" s="15"/>
    </row>
    <row r="6" spans="1:13" s="2" customFormat="1" ht="13" x14ac:dyDescent="0.3">
      <c r="A6" s="297" t="s">
        <v>225</v>
      </c>
      <c r="B6" s="299" t="s">
        <v>114</v>
      </c>
      <c r="C6" s="299"/>
      <c r="D6" s="299" t="s">
        <v>115</v>
      </c>
      <c r="E6" s="299"/>
      <c r="F6" s="299" t="s">
        <v>130</v>
      </c>
      <c r="G6" s="299"/>
      <c r="H6" s="15"/>
      <c r="I6" s="15"/>
      <c r="J6" s="15"/>
      <c r="K6" s="17"/>
      <c r="L6" s="15"/>
      <c r="M6" s="15"/>
    </row>
    <row r="7" spans="1:13" s="2" customFormat="1" ht="13" x14ac:dyDescent="0.3">
      <c r="A7" s="298"/>
      <c r="B7" s="30" t="s">
        <v>128</v>
      </c>
      <c r="C7" s="30" t="s">
        <v>80</v>
      </c>
      <c r="D7" s="30" t="s">
        <v>128</v>
      </c>
      <c r="E7" s="30" t="s">
        <v>80</v>
      </c>
      <c r="F7" s="30" t="s">
        <v>128</v>
      </c>
      <c r="G7" s="30" t="s">
        <v>80</v>
      </c>
      <c r="H7" s="15"/>
      <c r="I7" s="15"/>
      <c r="J7" s="15"/>
      <c r="K7" s="17"/>
      <c r="L7" s="15"/>
      <c r="M7" s="15"/>
    </row>
    <row r="8" spans="1:13" s="2" customFormat="1" ht="13" x14ac:dyDescent="0.3">
      <c r="A8" s="30" t="s">
        <v>226</v>
      </c>
      <c r="B8" s="22">
        <v>1050</v>
      </c>
      <c r="C8" s="22" t="s">
        <v>5</v>
      </c>
      <c r="D8" s="27">
        <f>D3/B8</f>
        <v>1.3333333333333333E-3</v>
      </c>
      <c r="E8" s="22" t="s">
        <v>129</v>
      </c>
      <c r="F8" s="30" t="s">
        <v>133</v>
      </c>
      <c r="G8" s="30" t="s">
        <v>133</v>
      </c>
      <c r="H8" s="15"/>
      <c r="I8" s="15"/>
      <c r="J8" s="15"/>
      <c r="K8" s="17"/>
      <c r="L8" s="15"/>
      <c r="M8" s="15"/>
    </row>
    <row r="9" spans="1:13" s="2" customFormat="1" ht="15" x14ac:dyDescent="0.3">
      <c r="A9" s="30" t="s">
        <v>126</v>
      </c>
      <c r="B9" s="22">
        <f>91.5*1000000/1000</f>
        <v>91500</v>
      </c>
      <c r="C9" s="30" t="s">
        <v>135</v>
      </c>
      <c r="D9" s="36">
        <f>D2/B9</f>
        <v>15.300546448087431</v>
      </c>
      <c r="E9" s="30" t="s">
        <v>134</v>
      </c>
      <c r="F9" s="22">
        <v>0.2</v>
      </c>
      <c r="G9" s="30" t="s">
        <v>132</v>
      </c>
      <c r="H9" s="15"/>
      <c r="I9" s="15"/>
      <c r="J9" s="15"/>
      <c r="K9" s="17"/>
      <c r="L9" s="15"/>
      <c r="M9" s="15"/>
    </row>
    <row r="10" spans="1:13" s="2" customFormat="1" ht="13" x14ac:dyDescent="0.3">
      <c r="A10" s="30" t="s">
        <v>227</v>
      </c>
      <c r="B10" s="22">
        <v>140000</v>
      </c>
      <c r="C10" s="30" t="s">
        <v>135</v>
      </c>
      <c r="D10" s="26">
        <f>D2/B10</f>
        <v>10</v>
      </c>
      <c r="E10" s="30" t="s">
        <v>134</v>
      </c>
      <c r="F10" s="26">
        <v>0.05</v>
      </c>
      <c r="G10" s="30" t="s">
        <v>131</v>
      </c>
      <c r="H10" s="15"/>
      <c r="I10" s="15"/>
      <c r="J10" s="15"/>
      <c r="K10" s="17"/>
      <c r="L10" s="15"/>
      <c r="M10" s="15"/>
    </row>
    <row r="11" spans="1:13" s="2" customFormat="1" ht="12.5" x14ac:dyDescent="0.25">
      <c r="A11" s="18"/>
      <c r="B11" s="15"/>
      <c r="D11" s="15"/>
      <c r="E11" s="15"/>
      <c r="F11" s="15"/>
      <c r="G11" s="18"/>
      <c r="H11" s="15"/>
      <c r="I11" s="18"/>
      <c r="J11" s="15"/>
      <c r="K11" s="18"/>
      <c r="L11" s="15"/>
      <c r="M11" s="15"/>
    </row>
    <row r="12" spans="1:13" s="2" customFormat="1" ht="13" x14ac:dyDescent="0.3">
      <c r="A12" s="17" t="s">
        <v>223</v>
      </c>
      <c r="B12" s="15"/>
      <c r="C12" s="15"/>
      <c r="D12" s="15"/>
      <c r="E12" s="15"/>
      <c r="F12" s="15"/>
      <c r="G12" s="15"/>
      <c r="H12" s="15"/>
      <c r="I12" s="15"/>
      <c r="J12" s="15"/>
      <c r="K12" s="15"/>
      <c r="L12" s="15"/>
      <c r="M12" s="15"/>
    </row>
    <row r="13" spans="1:13" s="2" customFormat="1" ht="15" x14ac:dyDescent="0.4">
      <c r="A13" s="24" t="s">
        <v>225</v>
      </c>
      <c r="B13" s="24" t="s">
        <v>0</v>
      </c>
      <c r="C13" s="24" t="s">
        <v>12</v>
      </c>
      <c r="D13" s="24" t="s">
        <v>13</v>
      </c>
      <c r="E13" s="24" t="s">
        <v>14</v>
      </c>
      <c r="F13" s="24" t="s">
        <v>6</v>
      </c>
      <c r="G13" s="24" t="s">
        <v>1</v>
      </c>
      <c r="H13" s="24" t="s">
        <v>7</v>
      </c>
      <c r="I13" s="25" t="s">
        <v>74</v>
      </c>
      <c r="J13" s="25" t="s">
        <v>75</v>
      </c>
      <c r="K13" s="25" t="s">
        <v>76</v>
      </c>
      <c r="L13" s="25" t="s">
        <v>2</v>
      </c>
      <c r="M13" s="14"/>
    </row>
    <row r="14" spans="1:13" s="2" customFormat="1" ht="12.5" x14ac:dyDescent="0.25">
      <c r="A14" s="30" t="s">
        <v>226</v>
      </c>
      <c r="B14" s="22">
        <f>0.0000076*1000000</f>
        <v>7.6</v>
      </c>
      <c r="C14" s="22">
        <f>B14</f>
        <v>7.6</v>
      </c>
      <c r="D14" s="22">
        <f>0.0000006*1000000</f>
        <v>0.6</v>
      </c>
      <c r="E14" s="22">
        <f>0.00028*1000000</f>
        <v>280</v>
      </c>
      <c r="F14" s="22">
        <f>0.000084*1000000</f>
        <v>84</v>
      </c>
      <c r="G14" s="22">
        <f>0.0000055*1000000</f>
        <v>5.5</v>
      </c>
      <c r="H14" s="22">
        <f>0.0000000005*1000000</f>
        <v>5.0000000000000001E-4</v>
      </c>
      <c r="I14" s="16">
        <v>120000</v>
      </c>
      <c r="J14" s="16">
        <v>2.2000000000000002</v>
      </c>
      <c r="K14" s="16">
        <v>2.2999999999999998</v>
      </c>
      <c r="L14" s="16">
        <f>I14+J14*298+K14*25</f>
        <v>120713.1</v>
      </c>
      <c r="M14" s="15" t="s">
        <v>9</v>
      </c>
    </row>
    <row r="15" spans="1:13" s="2" customFormat="1" ht="12.5" x14ac:dyDescent="0.25">
      <c r="A15" s="30" t="s">
        <v>126</v>
      </c>
      <c r="B15" s="22">
        <f>0.7/1000</f>
        <v>6.9999999999999999E-4</v>
      </c>
      <c r="C15" s="22">
        <f>0.7/1000</f>
        <v>6.9999999999999999E-4</v>
      </c>
      <c r="D15" s="22">
        <f>0.1*$F$9/1000</f>
        <v>2.0000000000000005E-5</v>
      </c>
      <c r="E15" s="22">
        <f>13/1000</f>
        <v>1.2999999999999999E-2</v>
      </c>
      <c r="F15" s="22">
        <f>7.5/1000</f>
        <v>7.4999999999999997E-3</v>
      </c>
      <c r="G15" s="30">
        <f>1/1000</f>
        <v>1E-3</v>
      </c>
      <c r="H15" s="22"/>
      <c r="I15" s="16">
        <f>12500/1000</f>
        <v>12.5</v>
      </c>
      <c r="J15" s="16">
        <f>0.9/1000</f>
        <v>8.9999999999999998E-4</v>
      </c>
      <c r="K15" s="16">
        <f>0.2/1000</f>
        <v>2.0000000000000001E-4</v>
      </c>
      <c r="L15" s="16">
        <f>I15+J15*298+K15*25</f>
        <v>12.773200000000001</v>
      </c>
      <c r="M15" s="15" t="s">
        <v>10</v>
      </c>
    </row>
    <row r="16" spans="1:13" s="2" customFormat="1" ht="12.5" x14ac:dyDescent="0.25">
      <c r="A16" s="30" t="s">
        <v>227</v>
      </c>
      <c r="B16" s="22">
        <f>(2+1.3)/1000</f>
        <v>3.3E-3</v>
      </c>
      <c r="C16" s="22">
        <f>(2+1.3)/1000</f>
        <v>3.3E-3</v>
      </c>
      <c r="D16" s="22">
        <f>(142*2*$F$10)/1000</f>
        <v>1.4200000000000001E-2</v>
      </c>
      <c r="E16" s="22">
        <f>18/1000</f>
        <v>1.7999999999999999E-2</v>
      </c>
      <c r="F16" s="22">
        <f>5/1000</f>
        <v>5.0000000000000001E-3</v>
      </c>
      <c r="G16" s="28">
        <f>0.556/1000</f>
        <v>5.5600000000000007E-4</v>
      </c>
      <c r="H16" s="22">
        <v>4.1999999999999996E-6</v>
      </c>
      <c r="I16" s="22">
        <f>22300/1000</f>
        <v>22.3</v>
      </c>
      <c r="J16" s="27">
        <f>0.26/1000</f>
        <v>2.6000000000000003E-4</v>
      </c>
      <c r="K16" s="27">
        <f>0.216/1000</f>
        <v>2.1599999999999999E-4</v>
      </c>
      <c r="L16" s="16">
        <f>I16+J16*298+K16*25</f>
        <v>22.382880000000004</v>
      </c>
      <c r="M16" s="15" t="s">
        <v>10</v>
      </c>
    </row>
    <row r="17" spans="1:13" s="2" customFormat="1" ht="12.5" x14ac:dyDescent="0.25">
      <c r="A17" s="22" t="s">
        <v>228</v>
      </c>
      <c r="B17" s="29">
        <f t="shared" ref="B17:L17" si="0">MAX(B14/$B$8/1000000,B15/$B$9/1000000,B16/$B$10)</f>
        <v>2.357142857142857E-8</v>
      </c>
      <c r="C17" s="29">
        <f t="shared" si="0"/>
        <v>2.357142857142857E-8</v>
      </c>
      <c r="D17" s="29">
        <f t="shared" si="0"/>
        <v>1.0142857142857144E-7</v>
      </c>
      <c r="E17" s="29">
        <f t="shared" si="0"/>
        <v>2.6666666666666667E-7</v>
      </c>
      <c r="F17" s="29">
        <f t="shared" si="0"/>
        <v>8.0000000000000002E-8</v>
      </c>
      <c r="G17" s="29">
        <f t="shared" si="0"/>
        <v>5.2380952380952382E-9</v>
      </c>
      <c r="H17" s="29">
        <f t="shared" si="0"/>
        <v>3E-11</v>
      </c>
      <c r="I17" s="29">
        <f t="shared" si="0"/>
        <v>1.5928571428571429E-4</v>
      </c>
      <c r="J17" s="29">
        <f t="shared" si="0"/>
        <v>2.0952380952380954E-9</v>
      </c>
      <c r="K17" s="29">
        <f t="shared" si="0"/>
        <v>2.1904761904761904E-9</v>
      </c>
      <c r="L17" s="29">
        <f t="shared" si="0"/>
        <v>1.5987771428571432E-4</v>
      </c>
      <c r="M17" s="15" t="s">
        <v>55</v>
      </c>
    </row>
    <row r="18" spans="1:13" s="2" customFormat="1" ht="12.5" x14ac:dyDescent="0.25">
      <c r="A18" s="15"/>
      <c r="B18" s="19"/>
      <c r="C18" s="19"/>
      <c r="D18" s="19"/>
      <c r="E18" s="19"/>
      <c r="F18" s="19"/>
      <c r="G18" s="19"/>
      <c r="H18" s="19"/>
      <c r="I18" s="19"/>
      <c r="J18" s="19"/>
      <c r="K18" s="19"/>
      <c r="L18" s="19"/>
      <c r="M18" s="15"/>
    </row>
    <row r="19" spans="1:13" s="2" customFormat="1" ht="13" x14ac:dyDescent="0.3">
      <c r="A19" s="17" t="s">
        <v>224</v>
      </c>
      <c r="B19" s="19"/>
      <c r="C19" s="19"/>
      <c r="D19" s="19"/>
      <c r="E19" s="19"/>
      <c r="F19" s="19"/>
      <c r="G19" s="19"/>
      <c r="H19" s="19"/>
      <c r="I19" s="19"/>
      <c r="J19" s="19"/>
      <c r="K19" s="19"/>
      <c r="L19" s="19"/>
      <c r="M19" s="15"/>
    </row>
    <row r="20" spans="1:13" s="2" customFormat="1" ht="13" x14ac:dyDescent="0.3">
      <c r="A20" s="20" t="s">
        <v>11</v>
      </c>
      <c r="B20" s="19"/>
      <c r="C20" s="19"/>
      <c r="D20" s="19"/>
      <c r="E20" s="19"/>
      <c r="F20" s="19"/>
      <c r="G20" s="19"/>
      <c r="H20" s="19"/>
      <c r="I20" s="19"/>
      <c r="J20" s="19"/>
      <c r="K20" s="19"/>
      <c r="L20" s="19"/>
      <c r="M20" s="15"/>
    </row>
    <row r="21" spans="1:13" s="2" customFormat="1" ht="15" x14ac:dyDescent="0.4">
      <c r="A21" s="24" t="s">
        <v>225</v>
      </c>
      <c r="B21" s="24" t="s">
        <v>0</v>
      </c>
      <c r="C21" s="24" t="s">
        <v>12</v>
      </c>
      <c r="D21" s="24" t="s">
        <v>13</v>
      </c>
      <c r="E21" s="24" t="s">
        <v>14</v>
      </c>
      <c r="F21" s="24" t="s">
        <v>6</v>
      </c>
      <c r="G21" s="24" t="s">
        <v>1</v>
      </c>
      <c r="H21" s="24" t="s">
        <v>7</v>
      </c>
      <c r="I21" s="25" t="s">
        <v>74</v>
      </c>
      <c r="J21" s="25" t="s">
        <v>75</v>
      </c>
      <c r="K21" s="25" t="s">
        <v>76</v>
      </c>
      <c r="L21" s="25" t="s">
        <v>2</v>
      </c>
      <c r="M21" s="15"/>
    </row>
    <row r="22" spans="1:13" s="2" customFormat="1" ht="12.5" x14ac:dyDescent="0.25">
      <c r="A22" s="30" t="s">
        <v>226</v>
      </c>
      <c r="B22" s="26">
        <f>B14*$D$8</f>
        <v>1.0133333333333333E-2</v>
      </c>
      <c r="C22" s="26">
        <f t="shared" ref="C22:L22" si="1">C14*$D$8</f>
        <v>1.0133333333333333E-2</v>
      </c>
      <c r="D22" s="26">
        <f t="shared" si="1"/>
        <v>7.9999999999999993E-4</v>
      </c>
      <c r="E22" s="26">
        <f t="shared" si="1"/>
        <v>0.37333333333333329</v>
      </c>
      <c r="F22" s="26">
        <f t="shared" si="1"/>
        <v>0.112</v>
      </c>
      <c r="G22" s="26">
        <f t="shared" si="1"/>
        <v>7.3333333333333332E-3</v>
      </c>
      <c r="H22" s="29">
        <f t="shared" si="1"/>
        <v>6.6666666666666671E-7</v>
      </c>
      <c r="I22" s="26">
        <f t="shared" si="1"/>
        <v>160</v>
      </c>
      <c r="J22" s="27">
        <f t="shared" si="1"/>
        <v>2.9333333333333334E-3</v>
      </c>
      <c r="K22" s="27">
        <f t="shared" si="1"/>
        <v>3.0666666666666663E-3</v>
      </c>
      <c r="L22" s="26">
        <f t="shared" si="1"/>
        <v>160.95080000000002</v>
      </c>
      <c r="M22" s="15" t="s">
        <v>15</v>
      </c>
    </row>
    <row r="23" spans="1:13" s="2" customFormat="1" ht="12.5" x14ac:dyDescent="0.25">
      <c r="A23" s="33" t="s">
        <v>126</v>
      </c>
      <c r="B23" s="34">
        <f>B15*$D$9</f>
        <v>1.0710382513661201E-2</v>
      </c>
      <c r="C23" s="34">
        <f t="shared" ref="C23:L23" si="2">C15*$D$9</f>
        <v>1.0710382513661201E-2</v>
      </c>
      <c r="D23" s="34">
        <f t="shared" si="2"/>
        <v>3.0601092896174868E-4</v>
      </c>
      <c r="E23" s="34">
        <f t="shared" si="2"/>
        <v>0.1989071038251366</v>
      </c>
      <c r="F23" s="34">
        <f t="shared" si="2"/>
        <v>0.11475409836065573</v>
      </c>
      <c r="G23" s="34">
        <f t="shared" si="2"/>
        <v>1.5300546448087432E-2</v>
      </c>
      <c r="H23" s="37"/>
      <c r="I23" s="34">
        <f t="shared" si="2"/>
        <v>191.25683060109287</v>
      </c>
      <c r="J23" s="35">
        <f t="shared" si="2"/>
        <v>1.3770491803278688E-2</v>
      </c>
      <c r="K23" s="35">
        <f t="shared" si="2"/>
        <v>3.0601092896174863E-3</v>
      </c>
      <c r="L23" s="34">
        <f t="shared" si="2"/>
        <v>195.43693989071039</v>
      </c>
      <c r="M23" s="15" t="s">
        <v>15</v>
      </c>
    </row>
    <row r="24" spans="1:13" s="2" customFormat="1" ht="12.5" x14ac:dyDescent="0.25">
      <c r="A24" s="30" t="s">
        <v>227</v>
      </c>
      <c r="B24" s="26">
        <f>B16*$D$10</f>
        <v>3.3000000000000002E-2</v>
      </c>
      <c r="C24" s="26">
        <f t="shared" ref="C24:L24" si="3">C16*$D$10</f>
        <v>3.3000000000000002E-2</v>
      </c>
      <c r="D24" s="26">
        <f t="shared" si="3"/>
        <v>0.14200000000000002</v>
      </c>
      <c r="E24" s="26">
        <f t="shared" si="3"/>
        <v>0.18</v>
      </c>
      <c r="F24" s="26">
        <f t="shared" si="3"/>
        <v>0.05</v>
      </c>
      <c r="G24" s="26">
        <f t="shared" si="3"/>
        <v>5.5600000000000007E-3</v>
      </c>
      <c r="H24" s="29">
        <f t="shared" si="3"/>
        <v>4.1999999999999998E-5</v>
      </c>
      <c r="I24" s="26">
        <f t="shared" si="3"/>
        <v>223</v>
      </c>
      <c r="J24" s="27">
        <f t="shared" si="3"/>
        <v>2.6000000000000003E-3</v>
      </c>
      <c r="K24" s="27">
        <f t="shared" si="3"/>
        <v>2.16E-3</v>
      </c>
      <c r="L24" s="26">
        <f t="shared" si="3"/>
        <v>223.82880000000003</v>
      </c>
      <c r="M24" s="15" t="s">
        <v>15</v>
      </c>
    </row>
    <row r="25" spans="1:13" s="2" customFormat="1" ht="12.5" x14ac:dyDescent="0.25">
      <c r="A25" s="300" t="s">
        <v>228</v>
      </c>
      <c r="B25" s="26">
        <f t="shared" ref="B25:L25" si="4">MAX(B22:B24)</f>
        <v>3.3000000000000002E-2</v>
      </c>
      <c r="C25" s="26">
        <f t="shared" si="4"/>
        <v>3.3000000000000002E-2</v>
      </c>
      <c r="D25" s="26">
        <f t="shared" si="4"/>
        <v>0.14200000000000002</v>
      </c>
      <c r="E25" s="26">
        <f t="shared" si="4"/>
        <v>0.37333333333333329</v>
      </c>
      <c r="F25" s="26">
        <f t="shared" si="4"/>
        <v>0.11475409836065573</v>
      </c>
      <c r="G25" s="26">
        <f t="shared" si="4"/>
        <v>1.5300546448087432E-2</v>
      </c>
      <c r="H25" s="29">
        <f t="shared" si="4"/>
        <v>4.1999999999999998E-5</v>
      </c>
      <c r="I25" s="26">
        <f t="shared" si="4"/>
        <v>223</v>
      </c>
      <c r="J25" s="27">
        <f t="shared" si="4"/>
        <v>1.3770491803278688E-2</v>
      </c>
      <c r="K25" s="27">
        <f t="shared" si="4"/>
        <v>3.0666666666666663E-3</v>
      </c>
      <c r="L25" s="26">
        <f t="shared" si="4"/>
        <v>223.82880000000003</v>
      </c>
      <c r="M25" s="15" t="s">
        <v>15</v>
      </c>
    </row>
    <row r="26" spans="1:13" s="2" customFormat="1" ht="12.5" x14ac:dyDescent="0.25">
      <c r="A26" s="301"/>
      <c r="B26" s="26">
        <f t="shared" ref="B26:L26" si="5">B25*8760/2000</f>
        <v>0.14454000000000003</v>
      </c>
      <c r="C26" s="26">
        <f t="shared" si="5"/>
        <v>0.14454000000000003</v>
      </c>
      <c r="D26" s="26">
        <f t="shared" si="5"/>
        <v>0.62196000000000007</v>
      </c>
      <c r="E26" s="26">
        <f t="shared" si="5"/>
        <v>1.6351999999999998</v>
      </c>
      <c r="F26" s="26">
        <f t="shared" si="5"/>
        <v>0.50262295081967212</v>
      </c>
      <c r="G26" s="26">
        <f t="shared" si="5"/>
        <v>6.701639344262296E-2</v>
      </c>
      <c r="H26" s="29">
        <f t="shared" si="5"/>
        <v>1.8395999999999999E-4</v>
      </c>
      <c r="I26" s="26">
        <f t="shared" si="5"/>
        <v>976.74</v>
      </c>
      <c r="J26" s="27">
        <f t="shared" si="5"/>
        <v>6.0314754098360651E-2</v>
      </c>
      <c r="K26" s="27">
        <f t="shared" si="5"/>
        <v>1.3431999999999998E-2</v>
      </c>
      <c r="L26" s="26">
        <f t="shared" si="5"/>
        <v>980.3701440000001</v>
      </c>
      <c r="M26" s="18" t="s">
        <v>127</v>
      </c>
    </row>
    <row r="27" spans="1:13" s="2" customFormat="1" ht="12.5" x14ac:dyDescent="0.25">
      <c r="A27" s="15"/>
      <c r="B27" s="15"/>
      <c r="C27" s="15"/>
      <c r="D27" s="15"/>
      <c r="E27" s="15"/>
      <c r="F27" s="15"/>
      <c r="G27" s="15"/>
      <c r="H27" s="15"/>
      <c r="I27" s="15"/>
      <c r="J27" s="15"/>
      <c r="K27" s="15"/>
      <c r="L27" s="15"/>
      <c r="M27" s="15"/>
    </row>
    <row r="28" spans="1:13" s="2" customFormat="1" ht="13" x14ac:dyDescent="0.3">
      <c r="A28" s="17" t="s">
        <v>229</v>
      </c>
      <c r="B28" s="15"/>
      <c r="C28" s="15"/>
      <c r="D28" s="15"/>
      <c r="E28" s="15"/>
      <c r="F28" s="15"/>
      <c r="G28" s="15"/>
      <c r="H28" s="15"/>
      <c r="I28" s="15"/>
      <c r="J28" s="15"/>
      <c r="K28" s="15"/>
      <c r="L28" s="15"/>
      <c r="M28" s="15"/>
    </row>
    <row r="29" spans="1:13" s="48" customFormat="1" ht="12.5" x14ac:dyDescent="0.25">
      <c r="A29" s="18" t="s">
        <v>230</v>
      </c>
      <c r="B29" s="18"/>
      <c r="C29" s="18"/>
      <c r="D29" s="18"/>
      <c r="E29" s="18"/>
      <c r="F29" s="18"/>
      <c r="G29" s="18"/>
      <c r="H29" s="18" t="s">
        <v>117</v>
      </c>
      <c r="I29" s="18"/>
      <c r="J29" s="18"/>
      <c r="K29" s="18"/>
      <c r="L29" s="18"/>
      <c r="M29" s="18"/>
    </row>
    <row r="30" spans="1:13" s="2" customFormat="1" ht="12.5" x14ac:dyDescent="0.25">
      <c r="A30" s="21"/>
      <c r="B30" s="22" t="s">
        <v>227</v>
      </c>
      <c r="C30" s="22" t="s">
        <v>8</v>
      </c>
      <c r="D30" s="22" t="s">
        <v>227</v>
      </c>
      <c r="E30" s="22" t="s">
        <v>8</v>
      </c>
      <c r="F30" s="23" t="s">
        <v>228</v>
      </c>
      <c r="G30" s="15"/>
      <c r="H30" s="22" t="s">
        <v>227</v>
      </c>
      <c r="I30" s="22" t="s">
        <v>8</v>
      </c>
      <c r="J30" s="296" t="s">
        <v>228</v>
      </c>
      <c r="K30" s="296"/>
      <c r="L30" s="15"/>
      <c r="M30" s="15"/>
    </row>
    <row r="31" spans="1:13" s="2" customFormat="1" ht="12.5" x14ac:dyDescent="0.25">
      <c r="A31" s="23" t="s">
        <v>77</v>
      </c>
      <c r="B31" s="22" t="s">
        <v>16</v>
      </c>
      <c r="C31" s="22" t="s">
        <v>17</v>
      </c>
      <c r="D31" s="22" t="s">
        <v>54</v>
      </c>
      <c r="E31" s="22" t="s">
        <v>54</v>
      </c>
      <c r="F31" s="22" t="s">
        <v>54</v>
      </c>
      <c r="G31" s="15"/>
      <c r="H31" s="30" t="s">
        <v>116</v>
      </c>
      <c r="I31" s="30" t="s">
        <v>116</v>
      </c>
      <c r="J31" s="30" t="s">
        <v>116</v>
      </c>
      <c r="K31" s="30" t="s">
        <v>118</v>
      </c>
      <c r="L31" s="15"/>
      <c r="M31" s="15"/>
    </row>
    <row r="32" spans="1:13" s="2" customFormat="1" ht="12.5" x14ac:dyDescent="0.25">
      <c r="A32" s="21" t="s">
        <v>18</v>
      </c>
      <c r="B32" s="22">
        <v>2.14E-4</v>
      </c>
      <c r="C32" s="22">
        <v>2.1299999999999999E-3</v>
      </c>
      <c r="D32" s="29">
        <f>B32/$B$10/1000</f>
        <v>1.5285714285714285E-12</v>
      </c>
      <c r="E32" s="29">
        <f>C32/$B$8/1000000</f>
        <v>2.0285714285714284E-12</v>
      </c>
      <c r="F32" s="29">
        <f t="shared" ref="F32:F54" si="6">MAX(D32:E32)</f>
        <v>2.0285714285714284E-12</v>
      </c>
      <c r="G32" s="15"/>
      <c r="H32" s="29">
        <f t="shared" ref="H32:H55" si="7">(D$10/1000)*B32</f>
        <v>2.1399999999999998E-6</v>
      </c>
      <c r="I32" s="29">
        <f t="shared" ref="I32:I55" si="8">C32*D$8</f>
        <v>2.8399999999999999E-6</v>
      </c>
      <c r="J32" s="29">
        <f t="shared" ref="J32:J54" si="9">MAX(H32,I32)</f>
        <v>2.8399999999999999E-6</v>
      </c>
      <c r="K32" s="29">
        <f t="shared" ref="K32:K54" si="10">J32*8760/2000</f>
        <v>1.2439199999999999E-5</v>
      </c>
      <c r="L32" s="15"/>
      <c r="M32" s="15"/>
    </row>
    <row r="33" spans="1:13" s="2" customFormat="1" ht="12.5" x14ac:dyDescent="0.25">
      <c r="A33" s="21" t="s">
        <v>19</v>
      </c>
      <c r="B33" s="22">
        <v>0</v>
      </c>
      <c r="C33" s="22">
        <v>1.1999999999999999E-3</v>
      </c>
      <c r="D33" s="29">
        <f t="shared" ref="D33:D55" si="11">B33/$B$10/1000</f>
        <v>0</v>
      </c>
      <c r="E33" s="29">
        <f t="shared" ref="E33:E55" si="12">C33/$B$8/1000000</f>
        <v>1.1428571428571427E-12</v>
      </c>
      <c r="F33" s="29">
        <f t="shared" si="6"/>
        <v>1.1428571428571427E-12</v>
      </c>
      <c r="G33" s="15"/>
      <c r="H33" s="29">
        <f t="shared" si="7"/>
        <v>0</v>
      </c>
      <c r="I33" s="29">
        <f t="shared" si="8"/>
        <v>1.5999999999999997E-6</v>
      </c>
      <c r="J33" s="29">
        <f t="shared" si="9"/>
        <v>1.5999999999999997E-6</v>
      </c>
      <c r="K33" s="29">
        <f t="shared" si="10"/>
        <v>7.0079999999999988E-6</v>
      </c>
      <c r="L33" s="15"/>
      <c r="M33" s="15"/>
    </row>
    <row r="34" spans="1:13" s="2" customFormat="1" ht="12.5" x14ac:dyDescent="0.25">
      <c r="A34" s="21" t="s">
        <v>20</v>
      </c>
      <c r="B34" s="22">
        <v>6.3600000000000001E-5</v>
      </c>
      <c r="C34" s="22">
        <v>0</v>
      </c>
      <c r="D34" s="29">
        <f t="shared" si="11"/>
        <v>4.5428571428571429E-13</v>
      </c>
      <c r="E34" s="29">
        <f t="shared" si="12"/>
        <v>0</v>
      </c>
      <c r="F34" s="29">
        <f t="shared" si="6"/>
        <v>4.5428571428571429E-13</v>
      </c>
      <c r="G34" s="15"/>
      <c r="H34" s="29">
        <f t="shared" si="7"/>
        <v>6.3600000000000003E-7</v>
      </c>
      <c r="I34" s="29">
        <f t="shared" si="8"/>
        <v>0</v>
      </c>
      <c r="J34" s="29">
        <f t="shared" si="9"/>
        <v>6.3600000000000003E-7</v>
      </c>
      <c r="K34" s="29">
        <f t="shared" si="10"/>
        <v>2.7856800000000002E-6</v>
      </c>
      <c r="L34" s="15"/>
      <c r="M34" s="15"/>
    </row>
    <row r="35" spans="1:13" s="2" customFormat="1" ht="12.5" x14ac:dyDescent="0.25">
      <c r="A35" s="21" t="s">
        <v>21</v>
      </c>
      <c r="B35" s="22">
        <v>3.3000000000000002E-2</v>
      </c>
      <c r="C35" s="22">
        <v>7.4999999999999997E-2</v>
      </c>
      <c r="D35" s="29">
        <f t="shared" si="11"/>
        <v>2.3571428571428573E-10</v>
      </c>
      <c r="E35" s="29">
        <f t="shared" si="12"/>
        <v>7.1428571428571415E-11</v>
      </c>
      <c r="F35" s="29">
        <f t="shared" si="6"/>
        <v>2.3571428571428573E-10</v>
      </c>
      <c r="G35" s="15"/>
      <c r="H35" s="29">
        <f t="shared" si="7"/>
        <v>3.3E-4</v>
      </c>
      <c r="I35" s="29">
        <f t="shared" si="8"/>
        <v>9.9999999999999991E-5</v>
      </c>
      <c r="J35" s="29">
        <f t="shared" si="9"/>
        <v>3.3E-4</v>
      </c>
      <c r="K35" s="29">
        <f t="shared" si="10"/>
        <v>1.4454000000000001E-3</v>
      </c>
      <c r="L35" s="15"/>
      <c r="M35" s="15"/>
    </row>
    <row r="36" spans="1:13" s="2" customFormat="1" ht="12.5" x14ac:dyDescent="0.25">
      <c r="A36" s="21" t="s">
        <v>22</v>
      </c>
      <c r="B36" s="22">
        <v>0</v>
      </c>
      <c r="C36" s="22">
        <v>1.8</v>
      </c>
      <c r="D36" s="29">
        <f t="shared" si="11"/>
        <v>0</v>
      </c>
      <c r="E36" s="29">
        <f t="shared" si="12"/>
        <v>1.7142857142857144E-9</v>
      </c>
      <c r="F36" s="29">
        <f t="shared" si="6"/>
        <v>1.7142857142857144E-9</v>
      </c>
      <c r="G36" s="15"/>
      <c r="H36" s="29">
        <f t="shared" si="7"/>
        <v>0</v>
      </c>
      <c r="I36" s="29">
        <f t="shared" si="8"/>
        <v>2.3999999999999998E-3</v>
      </c>
      <c r="J36" s="29">
        <f t="shared" si="9"/>
        <v>2.3999999999999998E-3</v>
      </c>
      <c r="K36" s="29">
        <f t="shared" si="10"/>
        <v>1.0511999999999999E-2</v>
      </c>
      <c r="L36" s="15"/>
      <c r="M36" s="15"/>
    </row>
    <row r="37" spans="1:13" s="2" customFormat="1" ht="12.5" x14ac:dyDescent="0.25">
      <c r="A37" s="21" t="s">
        <v>23</v>
      </c>
      <c r="B37" s="22">
        <v>1.1299999999999999E-3</v>
      </c>
      <c r="C37" s="22">
        <v>6.0999999999999997E-4</v>
      </c>
      <c r="D37" s="29">
        <f t="shared" si="11"/>
        <v>8.071428571428571E-12</v>
      </c>
      <c r="E37" s="29">
        <f t="shared" si="12"/>
        <v>5.8095238095238091E-13</v>
      </c>
      <c r="F37" s="29">
        <f t="shared" si="6"/>
        <v>8.071428571428571E-12</v>
      </c>
      <c r="G37" s="15"/>
      <c r="H37" s="29">
        <f t="shared" si="7"/>
        <v>1.13E-5</v>
      </c>
      <c r="I37" s="29">
        <f t="shared" si="8"/>
        <v>8.1333333333333331E-7</v>
      </c>
      <c r="J37" s="29">
        <f t="shared" si="9"/>
        <v>1.13E-5</v>
      </c>
      <c r="K37" s="29">
        <f t="shared" si="10"/>
        <v>4.9494000000000004E-5</v>
      </c>
      <c r="L37" s="15"/>
      <c r="M37" s="15"/>
    </row>
    <row r="38" spans="1:13" s="2" customFormat="1" ht="12.5" x14ac:dyDescent="0.25">
      <c r="A38" s="21" t="s">
        <v>24</v>
      </c>
      <c r="B38" s="22">
        <v>2.3599999999999999E-4</v>
      </c>
      <c r="C38" s="22">
        <v>0</v>
      </c>
      <c r="D38" s="29">
        <f t="shared" si="11"/>
        <v>1.6857142857142856E-12</v>
      </c>
      <c r="E38" s="29">
        <f t="shared" si="12"/>
        <v>0</v>
      </c>
      <c r="F38" s="29">
        <f t="shared" si="6"/>
        <v>1.6857142857142856E-12</v>
      </c>
      <c r="G38" s="15"/>
      <c r="H38" s="29">
        <f t="shared" si="7"/>
        <v>2.3599999999999999E-6</v>
      </c>
      <c r="I38" s="29">
        <f t="shared" si="8"/>
        <v>0</v>
      </c>
      <c r="J38" s="29">
        <f t="shared" si="9"/>
        <v>2.3599999999999999E-6</v>
      </c>
      <c r="K38" s="29">
        <f t="shared" si="10"/>
        <v>1.0336800000000001E-5</v>
      </c>
      <c r="L38" s="15"/>
      <c r="M38" s="15"/>
    </row>
    <row r="39" spans="1:13" s="2" customFormat="1" ht="12.5" x14ac:dyDescent="0.25">
      <c r="A39" s="21" t="s">
        <v>25</v>
      </c>
      <c r="B39" s="22">
        <v>6.1999999999999998E-3</v>
      </c>
      <c r="C39" s="22">
        <v>3.3999999999999998E-3</v>
      </c>
      <c r="D39" s="29">
        <f t="shared" si="11"/>
        <v>4.4285714285714281E-11</v>
      </c>
      <c r="E39" s="29">
        <f t="shared" si="12"/>
        <v>3.2380952380952382E-12</v>
      </c>
      <c r="F39" s="29">
        <f t="shared" si="6"/>
        <v>4.4285714285714281E-11</v>
      </c>
      <c r="G39" s="15"/>
      <c r="H39" s="29">
        <f t="shared" si="7"/>
        <v>6.2000000000000003E-5</v>
      </c>
      <c r="I39" s="29">
        <f t="shared" si="8"/>
        <v>4.5333333333333328E-6</v>
      </c>
      <c r="J39" s="29">
        <f t="shared" si="9"/>
        <v>6.2000000000000003E-5</v>
      </c>
      <c r="K39" s="29">
        <f t="shared" si="10"/>
        <v>2.7156000000000001E-4</v>
      </c>
      <c r="L39" s="15"/>
      <c r="M39" s="15"/>
    </row>
    <row r="40" spans="1:13" s="2" customFormat="1" ht="12.5" x14ac:dyDescent="0.25">
      <c r="A40" s="21" t="s">
        <v>26</v>
      </c>
      <c r="B40" s="22">
        <v>1.0900000000000001E-4</v>
      </c>
      <c r="C40" s="22">
        <v>0</v>
      </c>
      <c r="D40" s="29">
        <f t="shared" si="11"/>
        <v>7.7857142857142853E-13</v>
      </c>
      <c r="E40" s="29">
        <f t="shared" si="12"/>
        <v>0</v>
      </c>
      <c r="F40" s="29">
        <f t="shared" si="6"/>
        <v>7.7857142857142853E-13</v>
      </c>
      <c r="G40" s="15"/>
      <c r="H40" s="29">
        <f t="shared" si="7"/>
        <v>1.0900000000000002E-6</v>
      </c>
      <c r="I40" s="29">
        <f t="shared" si="8"/>
        <v>0</v>
      </c>
      <c r="J40" s="29">
        <f t="shared" si="9"/>
        <v>1.0900000000000002E-6</v>
      </c>
      <c r="K40" s="29">
        <f t="shared" si="10"/>
        <v>4.7742000000000008E-6</v>
      </c>
      <c r="L40" s="15"/>
      <c r="M40" s="15"/>
    </row>
    <row r="41" spans="1:13" s="2" customFormat="1" ht="12.5" x14ac:dyDescent="0.25">
      <c r="A41" s="21" t="s">
        <v>27</v>
      </c>
      <c r="B41" s="22">
        <v>1.2999999999999999E-3</v>
      </c>
      <c r="C41" s="22">
        <f>(0.0000018+0.0000018+0.0000024+0.0000018+0.0000012+0.0000018+0.0000012+0.0000018+0.0000012+0.000016+0.000003+0.0000028+0.0000018+0.000024+0.0000018+0.000017+0.000005)</f>
        <v>8.6399999999999999E-5</v>
      </c>
      <c r="D41" s="29">
        <f t="shared" si="11"/>
        <v>9.285714285714286E-12</v>
      </c>
      <c r="E41" s="29">
        <f t="shared" si="12"/>
        <v>8.2285714285714285E-14</v>
      </c>
      <c r="F41" s="29">
        <f t="shared" si="6"/>
        <v>9.285714285714286E-12</v>
      </c>
      <c r="G41" s="15"/>
      <c r="H41" s="29">
        <f t="shared" si="7"/>
        <v>1.2999999999999999E-5</v>
      </c>
      <c r="I41" s="29">
        <f t="shared" si="8"/>
        <v>1.152E-7</v>
      </c>
      <c r="J41" s="29">
        <f t="shared" si="9"/>
        <v>1.2999999999999999E-5</v>
      </c>
      <c r="K41" s="29">
        <f t="shared" si="10"/>
        <v>5.694E-5</v>
      </c>
      <c r="L41" s="15"/>
      <c r="M41" s="15"/>
    </row>
    <row r="42" spans="1:13" s="2" customFormat="1" ht="12.5" x14ac:dyDescent="0.25">
      <c r="A42" s="21" t="s">
        <v>28</v>
      </c>
      <c r="B42" s="22">
        <f>SUM(B32:B41)</f>
        <v>4.2252600000000001E-2</v>
      </c>
      <c r="C42" s="22">
        <f>SUM(C32:C41)</f>
        <v>1.8824264000000002</v>
      </c>
      <c r="D42" s="29">
        <f t="shared" si="11"/>
        <v>3.018042857142857E-10</v>
      </c>
      <c r="E42" s="29">
        <f t="shared" si="12"/>
        <v>1.7927870476190477E-9</v>
      </c>
      <c r="F42" s="29">
        <f t="shared" si="6"/>
        <v>1.7927870476190477E-9</v>
      </c>
      <c r="G42" s="15"/>
      <c r="H42" s="29">
        <f t="shared" si="7"/>
        <v>4.22526E-4</v>
      </c>
      <c r="I42" s="29">
        <f t="shared" si="8"/>
        <v>2.509901866666667E-3</v>
      </c>
      <c r="J42" s="29">
        <f t="shared" si="9"/>
        <v>2.509901866666667E-3</v>
      </c>
      <c r="K42" s="29">
        <f t="shared" si="10"/>
        <v>1.0993370176000002E-2</v>
      </c>
      <c r="L42" s="15"/>
      <c r="M42" s="15"/>
    </row>
    <row r="43" spans="1:13" s="2" customFormat="1" ht="12.5" x14ac:dyDescent="0.25">
      <c r="A43" s="21" t="s">
        <v>29</v>
      </c>
      <c r="B43" s="22">
        <v>5.2500000000000003E-3</v>
      </c>
      <c r="C43" s="22">
        <v>0</v>
      </c>
      <c r="D43" s="29">
        <f t="shared" si="11"/>
        <v>3.7500000000000006E-11</v>
      </c>
      <c r="E43" s="29">
        <f t="shared" si="12"/>
        <v>0</v>
      </c>
      <c r="F43" s="29">
        <f t="shared" si="6"/>
        <v>3.7500000000000006E-11</v>
      </c>
      <c r="G43" s="15"/>
      <c r="H43" s="29">
        <f t="shared" si="7"/>
        <v>5.2500000000000002E-5</v>
      </c>
      <c r="I43" s="29">
        <f t="shared" si="8"/>
        <v>0</v>
      </c>
      <c r="J43" s="29">
        <f t="shared" si="9"/>
        <v>5.2500000000000002E-5</v>
      </c>
      <c r="K43" s="29">
        <f t="shared" si="10"/>
        <v>2.2995000000000001E-4</v>
      </c>
      <c r="L43" s="15"/>
      <c r="M43" s="15"/>
    </row>
    <row r="44" spans="1:13" s="2" customFormat="1" ht="12.5" x14ac:dyDescent="0.25">
      <c r="A44" s="21" t="s">
        <v>30</v>
      </c>
      <c r="B44" s="22">
        <v>1.32E-3</v>
      </c>
      <c r="C44" s="22">
        <v>2.0000000000000001E-4</v>
      </c>
      <c r="D44" s="29">
        <f t="shared" si="11"/>
        <v>9.4285714285714283E-12</v>
      </c>
      <c r="E44" s="29">
        <f t="shared" si="12"/>
        <v>1.9047619047619047E-13</v>
      </c>
      <c r="F44" s="29">
        <f t="shared" si="6"/>
        <v>9.4285714285714283E-12</v>
      </c>
      <c r="G44" s="15"/>
      <c r="H44" s="29">
        <f t="shared" si="7"/>
        <v>1.3200000000000001E-5</v>
      </c>
      <c r="I44" s="29">
        <f t="shared" si="8"/>
        <v>2.6666666666666667E-7</v>
      </c>
      <c r="J44" s="29">
        <f t="shared" si="9"/>
        <v>1.3200000000000001E-5</v>
      </c>
      <c r="K44" s="29">
        <f t="shared" si="10"/>
        <v>5.7816000000000003E-5</v>
      </c>
      <c r="L44" s="15"/>
      <c r="M44" s="15"/>
    </row>
    <row r="45" spans="1:13" s="2" customFormat="1" ht="12.5" x14ac:dyDescent="0.25">
      <c r="A45" s="21" t="s">
        <v>31</v>
      </c>
      <c r="B45" s="22">
        <v>2.7800000000000001E-5</v>
      </c>
      <c r="C45" s="22">
        <v>1.2E-5</v>
      </c>
      <c r="D45" s="29">
        <f t="shared" si="11"/>
        <v>1.9857142857142858E-13</v>
      </c>
      <c r="E45" s="29">
        <f t="shared" si="12"/>
        <v>1.1428571428571428E-14</v>
      </c>
      <c r="F45" s="29">
        <f t="shared" si="6"/>
        <v>1.9857142857142858E-13</v>
      </c>
      <c r="G45" s="15"/>
      <c r="H45" s="29">
        <f t="shared" si="7"/>
        <v>2.7800000000000003E-7</v>
      </c>
      <c r="I45" s="29">
        <f t="shared" si="8"/>
        <v>1.6000000000000001E-8</v>
      </c>
      <c r="J45" s="29">
        <f t="shared" si="9"/>
        <v>2.7800000000000003E-7</v>
      </c>
      <c r="K45" s="29">
        <f t="shared" si="10"/>
        <v>1.21764E-6</v>
      </c>
      <c r="L45" s="15"/>
      <c r="M45" s="15"/>
    </row>
    <row r="46" spans="1:13" s="2" customFormat="1" ht="12.5" x14ac:dyDescent="0.25">
      <c r="A46" s="21" t="s">
        <v>32</v>
      </c>
      <c r="B46" s="22">
        <v>3.9800000000000002E-4</v>
      </c>
      <c r="C46" s="22">
        <v>1.1000000000000001E-3</v>
      </c>
      <c r="D46" s="29">
        <f t="shared" si="11"/>
        <v>2.842857142857143E-12</v>
      </c>
      <c r="E46" s="29">
        <f t="shared" si="12"/>
        <v>1.0476190476190478E-12</v>
      </c>
      <c r="F46" s="29">
        <f t="shared" si="6"/>
        <v>2.842857142857143E-12</v>
      </c>
      <c r="G46" s="15"/>
      <c r="H46" s="29">
        <f t="shared" si="7"/>
        <v>3.98E-6</v>
      </c>
      <c r="I46" s="29">
        <f t="shared" si="8"/>
        <v>1.4666666666666667E-6</v>
      </c>
      <c r="J46" s="29">
        <f t="shared" si="9"/>
        <v>3.98E-6</v>
      </c>
      <c r="K46" s="29">
        <f t="shared" si="10"/>
        <v>1.7432399999999999E-5</v>
      </c>
      <c r="L46" s="15"/>
      <c r="M46" s="15"/>
    </row>
    <row r="47" spans="1:13" s="2" customFormat="1" ht="12.5" x14ac:dyDescent="0.25">
      <c r="A47" s="21" t="s">
        <v>33</v>
      </c>
      <c r="B47" s="22">
        <v>6.0200000000000002E-3</v>
      </c>
      <c r="C47" s="22">
        <v>0</v>
      </c>
      <c r="D47" s="29">
        <f t="shared" si="11"/>
        <v>4.3E-11</v>
      </c>
      <c r="E47" s="29">
        <f t="shared" si="12"/>
        <v>0</v>
      </c>
      <c r="F47" s="29">
        <f t="shared" si="6"/>
        <v>4.3E-11</v>
      </c>
      <c r="G47" s="15"/>
      <c r="H47" s="29">
        <f t="shared" si="7"/>
        <v>6.0200000000000006E-5</v>
      </c>
      <c r="I47" s="29">
        <f t="shared" si="8"/>
        <v>0</v>
      </c>
      <c r="J47" s="29">
        <f t="shared" si="9"/>
        <v>6.0200000000000006E-5</v>
      </c>
      <c r="K47" s="29">
        <f t="shared" si="10"/>
        <v>2.6367600000000001E-4</v>
      </c>
      <c r="L47" s="15"/>
      <c r="M47" s="15"/>
    </row>
    <row r="48" spans="1:13" s="2" customFormat="1" ht="12.5" x14ac:dyDescent="0.25">
      <c r="A48" s="21" t="s">
        <v>34</v>
      </c>
      <c r="B48" s="22">
        <v>1.09E-3</v>
      </c>
      <c r="C48" s="22">
        <v>1.4E-3</v>
      </c>
      <c r="D48" s="29">
        <f t="shared" si="11"/>
        <v>7.7857142857142863E-12</v>
      </c>
      <c r="E48" s="29">
        <f t="shared" si="12"/>
        <v>1.3333333333333334E-12</v>
      </c>
      <c r="F48" s="29">
        <f t="shared" si="6"/>
        <v>7.7857142857142863E-12</v>
      </c>
      <c r="G48" s="15"/>
      <c r="H48" s="29">
        <f t="shared" si="7"/>
        <v>1.0900000000000001E-5</v>
      </c>
      <c r="I48" s="29">
        <f t="shared" si="8"/>
        <v>1.8666666666666667E-6</v>
      </c>
      <c r="J48" s="29">
        <f t="shared" si="9"/>
        <v>1.0900000000000001E-5</v>
      </c>
      <c r="K48" s="29">
        <f t="shared" si="10"/>
        <v>4.7741999999999998E-5</v>
      </c>
      <c r="L48" s="15"/>
      <c r="M48" s="15"/>
    </row>
    <row r="49" spans="1:13" s="2" customFormat="1" ht="12.5" x14ac:dyDescent="0.25">
      <c r="A49" s="21" t="s">
        <v>35</v>
      </c>
      <c r="B49" s="22">
        <v>3.0000000000000001E-3</v>
      </c>
      <c r="C49" s="22">
        <v>3.8000000000000002E-4</v>
      </c>
      <c r="D49" s="29">
        <f t="shared" si="11"/>
        <v>2.1428571428571429E-11</v>
      </c>
      <c r="E49" s="29">
        <f t="shared" si="12"/>
        <v>3.6190476190476194E-13</v>
      </c>
      <c r="F49" s="29">
        <f t="shared" si="6"/>
        <v>2.1428571428571429E-11</v>
      </c>
      <c r="G49" s="15"/>
      <c r="H49" s="29">
        <f t="shared" si="7"/>
        <v>3.0000000000000001E-5</v>
      </c>
      <c r="I49" s="29">
        <f t="shared" si="8"/>
        <v>5.0666666666666665E-7</v>
      </c>
      <c r="J49" s="29">
        <f t="shared" si="9"/>
        <v>3.0000000000000001E-5</v>
      </c>
      <c r="K49" s="29">
        <f t="shared" si="10"/>
        <v>1.3140000000000002E-4</v>
      </c>
      <c r="L49" s="15"/>
      <c r="M49" s="15"/>
    </row>
    <row r="50" spans="1:13" s="2" customFormat="1" ht="12.5" x14ac:dyDescent="0.25">
      <c r="A50" s="21" t="s">
        <v>36</v>
      </c>
      <c r="B50" s="22">
        <v>1.13E-4</v>
      </c>
      <c r="C50" s="22">
        <v>2.5999999999999998E-4</v>
      </c>
      <c r="D50" s="29">
        <f t="shared" si="11"/>
        <v>8.0714285714285712E-13</v>
      </c>
      <c r="E50" s="29">
        <f t="shared" si="12"/>
        <v>2.4761904761904761E-13</v>
      </c>
      <c r="F50" s="29">
        <f t="shared" si="6"/>
        <v>8.0714285714285712E-13</v>
      </c>
      <c r="G50" s="15"/>
      <c r="H50" s="29">
        <f t="shared" si="7"/>
        <v>1.13E-6</v>
      </c>
      <c r="I50" s="29">
        <f t="shared" si="8"/>
        <v>3.4666666666666665E-7</v>
      </c>
      <c r="J50" s="29">
        <f t="shared" si="9"/>
        <v>1.13E-6</v>
      </c>
      <c r="K50" s="29">
        <f t="shared" si="10"/>
        <v>4.9493999999999996E-6</v>
      </c>
      <c r="L50" s="15"/>
      <c r="M50" s="15"/>
    </row>
    <row r="51" spans="1:13" s="2" customFormat="1" ht="12.5" x14ac:dyDescent="0.25">
      <c r="A51" s="21" t="s">
        <v>37</v>
      </c>
      <c r="B51" s="22">
        <v>8.5400000000000004E-2</v>
      </c>
      <c r="C51" s="22">
        <v>2.0999999999999999E-3</v>
      </c>
      <c r="D51" s="29">
        <f t="shared" si="11"/>
        <v>6.0999999999999996E-10</v>
      </c>
      <c r="E51" s="29">
        <f t="shared" si="12"/>
        <v>2E-12</v>
      </c>
      <c r="F51" s="29">
        <f t="shared" si="6"/>
        <v>6.0999999999999996E-10</v>
      </c>
      <c r="G51" s="15"/>
      <c r="H51" s="29">
        <f t="shared" si="7"/>
        <v>8.5400000000000005E-4</v>
      </c>
      <c r="I51" s="29">
        <f t="shared" si="8"/>
        <v>2.7999999999999999E-6</v>
      </c>
      <c r="J51" s="29">
        <f t="shared" si="9"/>
        <v>8.5400000000000005E-4</v>
      </c>
      <c r="K51" s="29">
        <f t="shared" si="10"/>
        <v>3.7405200000000002E-3</v>
      </c>
      <c r="L51" s="15"/>
      <c r="M51" s="15"/>
    </row>
    <row r="52" spans="1:13" s="2" customFormat="1" ht="12.5" x14ac:dyDescent="0.25">
      <c r="A52" s="21" t="s">
        <v>38</v>
      </c>
      <c r="B52" s="22">
        <v>9.4599999999999997E-3</v>
      </c>
      <c r="C52" s="22">
        <v>0</v>
      </c>
      <c r="D52" s="29">
        <f t="shared" si="11"/>
        <v>6.7571428571428558E-11</v>
      </c>
      <c r="E52" s="29">
        <f t="shared" si="12"/>
        <v>0</v>
      </c>
      <c r="F52" s="29">
        <f t="shared" si="6"/>
        <v>6.7571428571428558E-11</v>
      </c>
      <c r="G52" s="15"/>
      <c r="H52" s="29">
        <f t="shared" si="7"/>
        <v>9.4599999999999996E-5</v>
      </c>
      <c r="I52" s="29">
        <f t="shared" si="8"/>
        <v>0</v>
      </c>
      <c r="J52" s="29">
        <f t="shared" si="9"/>
        <v>9.4599999999999996E-5</v>
      </c>
      <c r="K52" s="29">
        <f t="shared" si="10"/>
        <v>4.1434799999999998E-4</v>
      </c>
      <c r="L52" s="15"/>
      <c r="M52" s="15"/>
    </row>
    <row r="53" spans="1:13" s="2" customFormat="1" ht="12.5" x14ac:dyDescent="0.25">
      <c r="A53" s="21" t="s">
        <v>39</v>
      </c>
      <c r="B53" s="22">
        <v>6.8300000000000001E-4</v>
      </c>
      <c r="C53" s="22">
        <v>2.4000000000000001E-4</v>
      </c>
      <c r="D53" s="29">
        <f t="shared" si="11"/>
        <v>4.8785714285714285E-12</v>
      </c>
      <c r="E53" s="29">
        <f t="shared" si="12"/>
        <v>2.285714285714286E-13</v>
      </c>
      <c r="F53" s="29">
        <f t="shared" si="6"/>
        <v>4.8785714285714285E-12</v>
      </c>
      <c r="G53" s="15"/>
      <c r="H53" s="29">
        <f t="shared" si="7"/>
        <v>6.8300000000000007E-6</v>
      </c>
      <c r="I53" s="29">
        <f t="shared" si="8"/>
        <v>3.2000000000000001E-7</v>
      </c>
      <c r="J53" s="29">
        <f t="shared" si="9"/>
        <v>6.8300000000000007E-6</v>
      </c>
      <c r="K53" s="29">
        <f t="shared" si="10"/>
        <v>2.9915400000000002E-5</v>
      </c>
      <c r="L53" s="15"/>
      <c r="M53" s="15"/>
    </row>
    <row r="54" spans="1:13" s="2" customFormat="1" ht="12.5" x14ac:dyDescent="0.25">
      <c r="A54" s="21" t="s">
        <v>40</v>
      </c>
      <c r="B54" s="22">
        <f>SUM(B43:B53)</f>
        <v>0.11276180000000001</v>
      </c>
      <c r="C54" s="22">
        <f>SUM(C43:C53)</f>
        <v>5.692E-3</v>
      </c>
      <c r="D54" s="29">
        <f t="shared" si="11"/>
        <v>8.054414285714286E-10</v>
      </c>
      <c r="E54" s="29">
        <f t="shared" si="12"/>
        <v>5.4209523809523808E-12</v>
      </c>
      <c r="F54" s="29">
        <f t="shared" si="6"/>
        <v>8.054414285714286E-10</v>
      </c>
      <c r="G54" s="15"/>
      <c r="H54" s="29">
        <f t="shared" si="7"/>
        <v>1.1276180000000002E-3</v>
      </c>
      <c r="I54" s="29">
        <f t="shared" si="8"/>
        <v>7.5893333333333329E-6</v>
      </c>
      <c r="J54" s="29">
        <f t="shared" si="9"/>
        <v>1.1276180000000002E-3</v>
      </c>
      <c r="K54" s="29">
        <f t="shared" si="10"/>
        <v>4.9389668400000005E-3</v>
      </c>
      <c r="L54" s="15"/>
      <c r="M54" s="15"/>
    </row>
    <row r="55" spans="1:13" s="2" customFormat="1" ht="12.5" x14ac:dyDescent="0.25">
      <c r="A55" s="21" t="s">
        <v>41</v>
      </c>
      <c r="B55" s="22">
        <f>B54+B42</f>
        <v>0.1550144</v>
      </c>
      <c r="C55" s="22">
        <f>C54+C42</f>
        <v>1.8881184000000002</v>
      </c>
      <c r="D55" s="29">
        <f t="shared" si="11"/>
        <v>1.1072457142857144E-9</v>
      </c>
      <c r="E55" s="29">
        <f t="shared" si="12"/>
        <v>1.7982080000000001E-9</v>
      </c>
      <c r="F55" s="29">
        <f>F54+F42</f>
        <v>2.5982284761904762E-9</v>
      </c>
      <c r="G55" s="15"/>
      <c r="H55" s="29">
        <f t="shared" si="7"/>
        <v>1.550144E-3</v>
      </c>
      <c r="I55" s="29">
        <f t="shared" si="8"/>
        <v>2.5174912000000002E-3</v>
      </c>
      <c r="J55" s="29">
        <f>J54+J42</f>
        <v>3.6375198666666669E-3</v>
      </c>
      <c r="K55" s="29">
        <f>K54+K42</f>
        <v>1.5932337016000001E-2</v>
      </c>
      <c r="L55" s="15"/>
      <c r="M55" s="15"/>
    </row>
  </sheetData>
  <sheetProtection algorithmName="SHA-512" hashValue="96Kv+yT56K7iThzmA35SCI4muY5sZP6Cu9iyVboSQihE4Kg+NKwKubJpd00Pr4KyCmwvKbXb+FvWZADzjSyTHQ==" saltValue="R329ngGHQSWyKAd9YiK6xg==" spinCount="100000" sheet="1" objects="1" scenarios="1"/>
  <mergeCells count="7">
    <mergeCell ref="A1:M1"/>
    <mergeCell ref="J30:K30"/>
    <mergeCell ref="A25:A26"/>
    <mergeCell ref="A6:A7"/>
    <mergeCell ref="B6:C6"/>
    <mergeCell ref="D6:E6"/>
    <mergeCell ref="F6:G6"/>
  </mergeCells>
  <hyperlinks>
    <hyperlink ref="A1:M1" r:id="rId1" location="rule.7007.1300.3.B.2" display="Heat input capacity (Minn. R. 7007.1300, subp. 3(B))"/>
  </hyperlinks>
  <printOptions gridLinesSet="0"/>
  <pageMargins left="0.75" right="0.75" top="1" bottom="1" header="0.5" footer="0.5"/>
  <pageSetup scale="68" fitToHeight="0" orientation="landscape" r:id="rId2"/>
  <headerFooter alignWithMargins="0">
    <oddHeader>&amp;A</oddHeader>
    <oddFooter>Page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theme="0" tint="-0.249977111117893"/>
    <pageSetUpPr fitToPage="1"/>
  </sheetPr>
  <dimension ref="A1:P19"/>
  <sheetViews>
    <sheetView showGridLines="0" zoomScaleNormal="100" workbookViewId="0">
      <selection sqref="A1:P1"/>
    </sheetView>
  </sheetViews>
  <sheetFormatPr defaultColWidth="0" defaultRowHeight="14.5" zeroHeight="1" x14ac:dyDescent="0.35"/>
  <cols>
    <col min="1" max="16" width="7.26953125" customWidth="1"/>
    <col min="17" max="16384" width="9.1796875" hidden="1"/>
  </cols>
  <sheetData>
    <row r="1" spans="1:16" ht="15" thickBot="1" x14ac:dyDescent="0.4">
      <c r="A1" s="295" t="s">
        <v>299</v>
      </c>
      <c r="B1" s="295"/>
      <c r="C1" s="295"/>
      <c r="D1" s="295"/>
      <c r="E1" s="295"/>
      <c r="F1" s="295"/>
      <c r="G1" s="295"/>
      <c r="H1" s="295"/>
      <c r="I1" s="295"/>
      <c r="J1" s="295"/>
      <c r="K1" s="295"/>
      <c r="L1" s="295"/>
      <c r="M1" s="295"/>
      <c r="N1" s="295"/>
      <c r="O1" s="295"/>
      <c r="P1" s="295"/>
    </row>
    <row r="2" spans="1:16" s="53" customFormat="1" ht="13" x14ac:dyDescent="0.3">
      <c r="A2" s="122" t="s">
        <v>163</v>
      </c>
      <c r="B2" s="52" t="s">
        <v>44</v>
      </c>
      <c r="C2" s="51"/>
      <c r="D2" s="51"/>
      <c r="E2" s="51"/>
      <c r="F2" s="51"/>
      <c r="G2" s="51"/>
      <c r="H2" s="51"/>
      <c r="I2" s="51"/>
      <c r="J2" s="51"/>
      <c r="K2" s="51"/>
      <c r="L2" s="51"/>
      <c r="M2" s="51"/>
      <c r="N2" s="51"/>
      <c r="O2" s="51"/>
      <c r="P2" s="51"/>
    </row>
    <row r="3" spans="1:16" x14ac:dyDescent="0.35">
      <c r="A3" s="123"/>
      <c r="B3" s="6"/>
      <c r="C3" s="6"/>
      <c r="D3" s="6"/>
      <c r="E3" s="6"/>
      <c r="F3" s="6"/>
      <c r="G3" s="6"/>
      <c r="H3" s="6"/>
      <c r="I3" s="6"/>
      <c r="J3" s="6"/>
      <c r="K3" s="6"/>
      <c r="L3" s="6"/>
      <c r="M3" s="6"/>
      <c r="N3" s="6"/>
      <c r="O3" s="6"/>
      <c r="P3" s="6"/>
    </row>
    <row r="4" spans="1:16" s="50" customFormat="1" ht="12.5" x14ac:dyDescent="0.25">
      <c r="A4" s="120"/>
      <c r="B4" s="305" t="s">
        <v>49</v>
      </c>
      <c r="C4" s="305"/>
      <c r="D4" s="305"/>
      <c r="E4" s="305"/>
      <c r="F4" s="305"/>
      <c r="G4" s="305"/>
      <c r="H4" s="305"/>
      <c r="I4" s="305"/>
      <c r="J4" s="305"/>
      <c r="K4" s="305"/>
      <c r="L4" s="305"/>
      <c r="M4" s="305"/>
      <c r="N4" s="305"/>
      <c r="O4" s="305"/>
      <c r="P4" s="305"/>
    </row>
    <row r="5" spans="1:16" s="50" customFormat="1" ht="12.5" x14ac:dyDescent="0.25">
      <c r="A5" s="120"/>
      <c r="B5" s="305"/>
      <c r="C5" s="305"/>
      <c r="D5" s="305"/>
      <c r="E5" s="305"/>
      <c r="F5" s="305"/>
      <c r="G5" s="305"/>
      <c r="H5" s="305"/>
      <c r="I5" s="305"/>
      <c r="J5" s="305"/>
      <c r="K5" s="305"/>
      <c r="L5" s="305"/>
      <c r="M5" s="305"/>
      <c r="N5" s="305"/>
      <c r="O5" s="305"/>
      <c r="P5" s="305"/>
    </row>
    <row r="6" spans="1:16" s="50" customFormat="1" ht="12.5" x14ac:dyDescent="0.25">
      <c r="A6" s="120"/>
      <c r="B6" s="49">
        <v>365</v>
      </c>
      <c r="C6" s="49" t="s">
        <v>45</v>
      </c>
      <c r="D6" s="49"/>
      <c r="E6" s="49"/>
      <c r="F6" s="49"/>
      <c r="G6" s="49"/>
      <c r="H6" s="49"/>
      <c r="I6" s="49"/>
      <c r="J6" s="49"/>
      <c r="K6" s="49"/>
      <c r="L6" s="49"/>
      <c r="M6" s="49"/>
      <c r="N6" s="49"/>
      <c r="O6" s="49"/>
      <c r="P6" s="49"/>
    </row>
    <row r="7" spans="1:16" s="50" customFormat="1" ht="12.5" x14ac:dyDescent="0.25">
      <c r="A7" s="120"/>
      <c r="B7" s="121">
        <v>10000</v>
      </c>
      <c r="C7" s="304" t="s">
        <v>46</v>
      </c>
      <c r="D7" s="304"/>
      <c r="E7" s="302" t="s">
        <v>310</v>
      </c>
      <c r="F7" s="302"/>
      <c r="G7" s="302"/>
      <c r="H7" s="302"/>
      <c r="I7" s="302"/>
      <c r="J7" s="302"/>
      <c r="K7" s="302"/>
      <c r="L7" s="302"/>
      <c r="M7" s="302"/>
      <c r="N7" s="302"/>
      <c r="O7" s="302"/>
      <c r="P7" s="302"/>
    </row>
    <row r="8" spans="1:16" s="50" customFormat="1" ht="12.5" x14ac:dyDescent="0.25">
      <c r="A8" s="120"/>
      <c r="B8" s="49">
        <f>B7*B6</f>
        <v>3650000</v>
      </c>
      <c r="C8" s="49" t="s">
        <v>47</v>
      </c>
      <c r="D8" s="49"/>
      <c r="E8" s="302"/>
      <c r="F8" s="302"/>
      <c r="G8" s="302"/>
      <c r="H8" s="302"/>
      <c r="I8" s="302"/>
      <c r="J8" s="302"/>
      <c r="K8" s="302"/>
      <c r="L8" s="302"/>
      <c r="M8" s="302"/>
      <c r="N8" s="302"/>
      <c r="O8" s="302"/>
      <c r="P8" s="302"/>
    </row>
    <row r="9" spans="1:16" s="50" customFormat="1" ht="12.5" x14ac:dyDescent="0.25">
      <c r="A9" s="120"/>
      <c r="B9" s="49">
        <f>B8*62/1500000</f>
        <v>150.86666666666667</v>
      </c>
      <c r="C9" s="49" t="s">
        <v>48</v>
      </c>
      <c r="D9" s="49"/>
      <c r="E9" s="49"/>
      <c r="F9" s="49"/>
      <c r="G9" s="49"/>
      <c r="H9" s="49"/>
      <c r="I9" s="49"/>
      <c r="J9" s="49"/>
      <c r="K9" s="49"/>
      <c r="L9" s="49"/>
      <c r="M9" s="49"/>
      <c r="N9" s="49"/>
      <c r="O9" s="49"/>
      <c r="P9" s="49"/>
    </row>
    <row r="10" spans="1:16" x14ac:dyDescent="0.35">
      <c r="A10" s="123"/>
      <c r="B10" s="6"/>
      <c r="C10" s="6"/>
      <c r="D10" s="6"/>
      <c r="E10" s="6"/>
      <c r="F10" s="6"/>
      <c r="G10" s="6"/>
      <c r="H10" s="6"/>
      <c r="I10" s="6"/>
      <c r="J10" s="6"/>
      <c r="K10" s="6"/>
      <c r="L10" s="6"/>
      <c r="M10" s="6"/>
      <c r="N10" s="6"/>
      <c r="O10" s="6"/>
      <c r="P10" s="6"/>
    </row>
    <row r="11" spans="1:16" x14ac:dyDescent="0.35">
      <c r="A11" s="123"/>
      <c r="B11" s="6"/>
      <c r="C11" s="6"/>
      <c r="D11" s="6"/>
      <c r="E11" s="6"/>
      <c r="F11" s="6"/>
      <c r="G11" s="6"/>
      <c r="H11" s="6"/>
      <c r="I11" s="6"/>
      <c r="J11" s="6"/>
      <c r="K11" s="6"/>
      <c r="L11" s="6"/>
      <c r="M11" s="6"/>
      <c r="N11" s="6"/>
      <c r="O11" s="6"/>
      <c r="P11" s="6"/>
    </row>
    <row r="12" spans="1:16" s="53" customFormat="1" ht="27" customHeight="1" x14ac:dyDescent="0.3">
      <c r="A12" s="113" t="s">
        <v>164</v>
      </c>
      <c r="B12" s="303" t="s">
        <v>358</v>
      </c>
      <c r="C12" s="303"/>
      <c r="D12" s="303"/>
      <c r="E12" s="303"/>
      <c r="F12" s="303"/>
      <c r="G12" s="303"/>
      <c r="H12" s="303"/>
      <c r="I12" s="303"/>
      <c r="J12" s="303"/>
      <c r="K12" s="303"/>
      <c r="L12" s="303"/>
      <c r="M12" s="303"/>
      <c r="N12" s="303"/>
      <c r="O12" s="303"/>
      <c r="P12" s="303"/>
    </row>
    <row r="13" spans="1:16" x14ac:dyDescent="0.35">
      <c r="A13" s="123"/>
      <c r="B13" s="6"/>
      <c r="C13" s="6"/>
      <c r="D13" s="6"/>
      <c r="E13" s="6"/>
      <c r="F13" s="6"/>
      <c r="G13" s="6"/>
      <c r="H13" s="6"/>
      <c r="I13" s="6"/>
      <c r="J13" s="6"/>
      <c r="K13" s="6"/>
      <c r="L13" s="6"/>
      <c r="M13" s="6"/>
      <c r="N13" s="6"/>
      <c r="O13" s="6"/>
      <c r="P13" s="6"/>
    </row>
    <row r="14" spans="1:16" s="50" customFormat="1" ht="12.5" x14ac:dyDescent="0.25">
      <c r="A14" s="49"/>
      <c r="B14" s="49" t="s">
        <v>113</v>
      </c>
      <c r="C14" s="49"/>
      <c r="D14" s="49"/>
      <c r="E14" s="49"/>
      <c r="F14" s="49"/>
      <c r="G14" s="49"/>
      <c r="H14" s="49"/>
      <c r="I14" s="49"/>
      <c r="J14" s="49"/>
      <c r="K14" s="49"/>
      <c r="L14" s="49"/>
      <c r="M14" s="49"/>
      <c r="N14" s="49"/>
      <c r="O14" s="49"/>
      <c r="P14" s="49"/>
    </row>
    <row r="15" spans="1:16" s="50" customFormat="1" ht="12.5" x14ac:dyDescent="0.25">
      <c r="A15" s="49"/>
      <c r="B15" s="49">
        <v>365</v>
      </c>
      <c r="C15" s="49" t="s">
        <v>45</v>
      </c>
      <c r="D15" s="49"/>
      <c r="E15" s="49"/>
      <c r="F15" s="49"/>
      <c r="G15" s="49"/>
      <c r="H15" s="49"/>
      <c r="I15" s="49"/>
      <c r="J15" s="49"/>
      <c r="K15" s="49"/>
      <c r="L15" s="49"/>
      <c r="M15" s="49"/>
      <c r="N15" s="49"/>
      <c r="O15" s="49"/>
      <c r="P15" s="49"/>
    </row>
    <row r="16" spans="1:16" s="50" customFormat="1" ht="12.75" customHeight="1" x14ac:dyDescent="0.25">
      <c r="A16" s="49"/>
      <c r="B16" s="49">
        <v>10000</v>
      </c>
      <c r="C16" s="49" t="s">
        <v>46</v>
      </c>
      <c r="D16" s="49"/>
      <c r="E16" s="302" t="s">
        <v>310</v>
      </c>
      <c r="F16" s="302"/>
      <c r="G16" s="302"/>
      <c r="H16" s="302"/>
      <c r="I16" s="302"/>
      <c r="J16" s="302"/>
      <c r="K16" s="302"/>
      <c r="L16" s="302"/>
      <c r="M16" s="302"/>
      <c r="N16" s="302"/>
      <c r="O16" s="302"/>
      <c r="P16" s="302"/>
    </row>
    <row r="17" spans="1:16" s="50" customFormat="1" ht="12.75" customHeight="1" x14ac:dyDescent="0.25">
      <c r="A17" s="49"/>
      <c r="B17" s="49">
        <f>B16*B15</f>
        <v>3650000</v>
      </c>
      <c r="C17" s="49" t="s">
        <v>47</v>
      </c>
      <c r="D17" s="49"/>
      <c r="E17" s="302"/>
      <c r="F17" s="302"/>
      <c r="G17" s="302"/>
      <c r="H17" s="302"/>
      <c r="I17" s="302"/>
      <c r="J17" s="302"/>
      <c r="K17" s="302"/>
      <c r="L17" s="302"/>
      <c r="M17" s="302"/>
      <c r="N17" s="302"/>
      <c r="O17" s="302"/>
      <c r="P17" s="302"/>
    </row>
    <row r="18" spans="1:16" s="50" customFormat="1" ht="12.5" x14ac:dyDescent="0.25">
      <c r="A18" s="49"/>
      <c r="B18" s="49">
        <f>B17*60/1500000</f>
        <v>146</v>
      </c>
      <c r="C18" s="49" t="s">
        <v>48</v>
      </c>
      <c r="D18" s="49"/>
      <c r="E18" s="49"/>
      <c r="F18" s="49"/>
      <c r="G18" s="49"/>
      <c r="H18" s="49"/>
      <c r="I18" s="49"/>
      <c r="J18" s="49"/>
      <c r="K18" s="49"/>
      <c r="L18" s="49"/>
      <c r="M18" s="49"/>
      <c r="N18" s="49"/>
      <c r="O18" s="49"/>
      <c r="P18" s="49"/>
    </row>
    <row r="19" spans="1:16" x14ac:dyDescent="0.35"/>
  </sheetData>
  <sheetProtection algorithmName="SHA-512" hashValue="a0sMEVWa0QYX5rIpm4k7EjpHGinUZm0t5VTW9WFhyz+1zjS1Oc7uu1mseuNpLlHYDtZXssZqsjYB8jwPMH3TKg==" saltValue="k/f5ofV1H7NCnkf38RsBbw==" spinCount="100000" sheet="1" objects="1" scenarios="1"/>
  <mergeCells count="6">
    <mergeCell ref="E16:P17"/>
    <mergeCell ref="B12:P12"/>
    <mergeCell ref="A1:P1"/>
    <mergeCell ref="C7:D7"/>
    <mergeCell ref="E7:P8"/>
    <mergeCell ref="B4:P5"/>
  </mergeCells>
  <hyperlinks>
    <hyperlink ref="A1:M1" r:id="rId1" location="rule.7007.1300.3.C.1" display="Minn. R. "/>
  </hyperlinks>
  <pageMargins left="0.7" right="0.7" top="0.75" bottom="0.75" header="0.3" footer="0.3"/>
  <pageSetup fitToHeight="0" orientation="landscape"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theme="0" tint="-0.249977111117893"/>
    <pageSetUpPr fitToPage="1"/>
  </sheetPr>
  <dimension ref="A1:I17"/>
  <sheetViews>
    <sheetView showGridLines="0" zoomScaleNormal="100" workbookViewId="0">
      <selection sqref="A1:I1"/>
    </sheetView>
  </sheetViews>
  <sheetFormatPr defaultColWidth="0" defaultRowHeight="14" zeroHeight="1" x14ac:dyDescent="0.3"/>
  <cols>
    <col min="1" max="9" width="13.26953125" style="4" customWidth="1"/>
    <col min="10" max="16384" width="9.1796875" style="4" hidden="1"/>
  </cols>
  <sheetData>
    <row r="1" spans="1:9" ht="14.5" thickBot="1" x14ac:dyDescent="0.35">
      <c r="A1" s="306" t="s">
        <v>308</v>
      </c>
      <c r="B1" s="306"/>
      <c r="C1" s="306"/>
      <c r="D1" s="306"/>
      <c r="E1" s="306"/>
      <c r="F1" s="306"/>
      <c r="G1" s="306"/>
      <c r="H1" s="306"/>
      <c r="I1" s="306"/>
    </row>
    <row r="2" spans="1:9" ht="15" customHeight="1" x14ac:dyDescent="0.3">
      <c r="A2" s="307" t="s">
        <v>119</v>
      </c>
      <c r="B2" s="307"/>
      <c r="C2" s="307"/>
      <c r="D2" s="307"/>
      <c r="E2" s="307"/>
      <c r="F2" s="307"/>
      <c r="G2" s="307"/>
      <c r="H2" s="307"/>
      <c r="I2" s="307"/>
    </row>
    <row r="3" spans="1:9" ht="15" customHeight="1" x14ac:dyDescent="0.3">
      <c r="A3" s="150"/>
      <c r="B3" s="150"/>
      <c r="C3" s="150"/>
      <c r="D3" s="150"/>
      <c r="E3" s="150"/>
      <c r="F3" s="150"/>
      <c r="G3" s="150"/>
      <c r="H3" s="150"/>
      <c r="I3" s="150"/>
    </row>
    <row r="4" spans="1:9" ht="15" customHeight="1" x14ac:dyDescent="0.3">
      <c r="A4" s="150"/>
      <c r="B4" s="150"/>
      <c r="C4" s="150"/>
      <c r="D4" s="150"/>
      <c r="E4" s="150"/>
      <c r="F4" s="150"/>
      <c r="G4" s="150"/>
      <c r="H4" s="150"/>
      <c r="I4" s="150"/>
    </row>
    <row r="5" spans="1:9" ht="15" customHeight="1" x14ac:dyDescent="0.3">
      <c r="A5" s="150"/>
      <c r="B5" s="150"/>
      <c r="C5" s="150"/>
      <c r="D5" s="150"/>
      <c r="E5" s="150"/>
      <c r="F5" s="150"/>
      <c r="G5" s="150"/>
      <c r="H5" s="150"/>
      <c r="I5" s="150"/>
    </row>
    <row r="6" spans="1:9" ht="15" customHeight="1" x14ac:dyDescent="0.3">
      <c r="A6" s="150"/>
      <c r="B6" s="150"/>
      <c r="C6" s="150"/>
      <c r="D6" s="150"/>
      <c r="E6" s="150"/>
      <c r="F6" s="150"/>
      <c r="G6" s="150"/>
      <c r="H6" s="150"/>
      <c r="I6" s="150"/>
    </row>
    <row r="7" spans="1:9" ht="15" customHeight="1" x14ac:dyDescent="0.3">
      <c r="A7" s="150"/>
      <c r="B7" s="150"/>
      <c r="C7" s="150"/>
      <c r="D7" s="150"/>
      <c r="E7" s="150"/>
      <c r="F7" s="150"/>
      <c r="G7" s="150"/>
      <c r="H7" s="150"/>
      <c r="I7" s="150"/>
    </row>
    <row r="8" spans="1:9" ht="15" customHeight="1" x14ac:dyDescent="0.3">
      <c r="A8" s="150"/>
      <c r="B8" s="150"/>
      <c r="C8" s="150"/>
      <c r="D8" s="150"/>
      <c r="E8" s="150"/>
      <c r="F8" s="150"/>
      <c r="G8" s="150"/>
      <c r="H8" s="150"/>
      <c r="I8" s="150"/>
    </row>
    <row r="9" spans="1:9" x14ac:dyDescent="0.3">
      <c r="A9" s="49"/>
      <c r="B9" s="49"/>
      <c r="C9" s="49"/>
      <c r="D9" s="49"/>
      <c r="E9" s="49"/>
      <c r="F9" s="49"/>
      <c r="G9" s="49"/>
      <c r="H9" s="49"/>
      <c r="I9" s="49"/>
    </row>
    <row r="10" spans="1:9" ht="15" customHeight="1" x14ac:dyDescent="0.3">
      <c r="A10" s="150" t="s">
        <v>120</v>
      </c>
      <c r="B10" s="150"/>
      <c r="C10" s="150"/>
      <c r="D10" s="150"/>
      <c r="E10" s="150"/>
      <c r="F10" s="150"/>
      <c r="G10" s="150"/>
      <c r="H10" s="150"/>
      <c r="I10" s="150"/>
    </row>
    <row r="11" spans="1:9" x14ac:dyDescent="0.3">
      <c r="A11" s="150"/>
      <c r="B11" s="150"/>
      <c r="C11" s="150"/>
      <c r="D11" s="150"/>
      <c r="E11" s="150"/>
      <c r="F11" s="150"/>
      <c r="G11" s="150"/>
      <c r="H11" s="150"/>
      <c r="I11" s="150"/>
    </row>
    <row r="12" spans="1:9" x14ac:dyDescent="0.3">
      <c r="A12" s="150"/>
      <c r="B12" s="150"/>
      <c r="C12" s="150"/>
      <c r="D12" s="150"/>
      <c r="E12" s="150"/>
      <c r="F12" s="150"/>
      <c r="G12" s="150"/>
      <c r="H12" s="150"/>
      <c r="I12" s="150"/>
    </row>
    <row r="13" spans="1:9" hidden="1" x14ac:dyDescent="0.3">
      <c r="A13" s="3"/>
      <c r="B13" s="3"/>
      <c r="C13" s="3"/>
      <c r="D13" s="3"/>
      <c r="E13" s="3"/>
      <c r="F13" s="3"/>
      <c r="G13" s="3"/>
      <c r="H13" s="3"/>
      <c r="I13" s="3"/>
    </row>
    <row r="14" spans="1:9" hidden="1" x14ac:dyDescent="0.3"/>
    <row r="15" spans="1:9" hidden="1" x14ac:dyDescent="0.3"/>
    <row r="16" spans="1:9" hidden="1" x14ac:dyDescent="0.3"/>
    <row r="17" hidden="1" x14ac:dyDescent="0.3"/>
  </sheetData>
  <sheetProtection algorithmName="SHA-512" hashValue="4GzDyKB3tXuYAo9HDqE6h7xW0DL7sefaea1bJqaXOiNq7/AJFk1gd56Wj7yDlLL+71pz96Vjwr1ZZY+P/CWgzg==" saltValue="o7j7ffXFfOdrJgyTASatqQ==" spinCount="100000" sheet="1" objects="1" scenarios="1"/>
  <mergeCells count="3">
    <mergeCell ref="A1:I1"/>
    <mergeCell ref="A2:I8"/>
    <mergeCell ref="A10:I12"/>
  </mergeCells>
  <hyperlinks>
    <hyperlink ref="A1:I1" r:id="rId1" location="rule.7007.1300.3.D" display="Laboratory emissions (Minn. R. 7007.1300, subp. 3(D))"/>
  </hyperlinks>
  <pageMargins left="0.7" right="0.7" top="0.75" bottom="0.75" header="0.3" footer="0.3"/>
  <pageSetup scale="76" fitToHeight="0" orientation="portrait" horizontalDpi="4294967293"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theme="0" tint="-0.249977111117893"/>
    <pageSetUpPr fitToPage="1"/>
  </sheetPr>
  <dimension ref="A1:XFC25"/>
  <sheetViews>
    <sheetView workbookViewId="0">
      <selection sqref="A1:H1"/>
    </sheetView>
  </sheetViews>
  <sheetFormatPr defaultColWidth="0.54296875" defaultRowHeight="14" zeroHeight="1" x14ac:dyDescent="0.3"/>
  <cols>
    <col min="1" max="8" width="14.81640625" style="4" customWidth="1"/>
    <col min="9" max="757" width="2.54296875" style="4" hidden="1" customWidth="1"/>
    <col min="758" max="16383" width="0" style="4" hidden="1" customWidth="1"/>
    <col min="16384" max="16384" width="0.54296875" style="4" hidden="1" customWidth="1"/>
  </cols>
  <sheetData>
    <row r="1" spans="1:8" ht="14.5" thickBot="1" x14ac:dyDescent="0.35">
      <c r="A1" s="295" t="s">
        <v>298</v>
      </c>
      <c r="B1" s="295"/>
      <c r="C1" s="295"/>
      <c r="D1" s="295"/>
      <c r="E1" s="295"/>
      <c r="F1" s="295"/>
      <c r="G1" s="295"/>
      <c r="H1" s="295"/>
    </row>
    <row r="2" spans="1:8" s="50" customFormat="1" ht="12.5" x14ac:dyDescent="0.25">
      <c r="A2" s="49" t="s">
        <v>50</v>
      </c>
      <c r="B2" s="49"/>
      <c r="C2" s="49"/>
      <c r="D2" s="49"/>
      <c r="E2" s="49"/>
      <c r="F2" s="49"/>
      <c r="G2" s="49"/>
      <c r="H2" s="49"/>
    </row>
    <row r="3" spans="1:8" s="50" customFormat="1" ht="12.5" x14ac:dyDescent="0.25">
      <c r="A3" s="49" t="s">
        <v>51</v>
      </c>
      <c r="B3" s="49"/>
      <c r="C3" s="49"/>
      <c r="D3" s="49"/>
      <c r="E3" s="49"/>
      <c r="F3" s="49"/>
      <c r="G3" s="49"/>
      <c r="H3" s="49"/>
    </row>
    <row r="4" spans="1:8" s="50" customFormat="1" ht="12.5" x14ac:dyDescent="0.25">
      <c r="A4" s="49"/>
      <c r="B4" s="49"/>
      <c r="C4" s="49"/>
      <c r="D4" s="49"/>
      <c r="E4" s="49"/>
      <c r="F4" s="49"/>
      <c r="G4" s="49"/>
      <c r="H4" s="49"/>
    </row>
    <row r="5" spans="1:8" s="50" customFormat="1" ht="13" x14ac:dyDescent="0.3">
      <c r="A5" s="51" t="s">
        <v>231</v>
      </c>
      <c r="B5" s="49"/>
      <c r="C5" s="49"/>
      <c r="D5" s="49"/>
      <c r="E5" s="49"/>
      <c r="F5" s="49"/>
      <c r="G5" s="49"/>
      <c r="H5" s="49"/>
    </row>
    <row r="6" spans="1:8" s="50" customFormat="1" ht="25" x14ac:dyDescent="0.25">
      <c r="A6" s="54" t="s">
        <v>77</v>
      </c>
      <c r="B6" s="54" t="s">
        <v>78</v>
      </c>
      <c r="C6" s="54" t="s">
        <v>80</v>
      </c>
      <c r="D6" s="43" t="s">
        <v>87</v>
      </c>
      <c r="E6" s="49"/>
      <c r="F6" s="49"/>
      <c r="G6" s="49"/>
      <c r="H6" s="49"/>
    </row>
    <row r="7" spans="1:8" s="50" customFormat="1" ht="29.25" customHeight="1" x14ac:dyDescent="0.25">
      <c r="A7" s="54" t="s">
        <v>79</v>
      </c>
      <c r="B7" s="54">
        <v>81.599999999999994</v>
      </c>
      <c r="C7" s="54" t="s">
        <v>81</v>
      </c>
      <c r="D7" s="54" t="s">
        <v>82</v>
      </c>
      <c r="E7" s="49"/>
      <c r="F7" s="49"/>
      <c r="G7" s="49"/>
      <c r="H7" s="49"/>
    </row>
    <row r="8" spans="1:8" s="50" customFormat="1" ht="12.5" x14ac:dyDescent="0.25">
      <c r="A8" s="54" t="s">
        <v>7</v>
      </c>
      <c r="B8" s="54">
        <v>0.16200000000000001</v>
      </c>
      <c r="C8" s="54" t="s">
        <v>81</v>
      </c>
      <c r="D8" s="54" t="s">
        <v>86</v>
      </c>
      <c r="E8" s="49"/>
      <c r="F8" s="49"/>
      <c r="G8" s="49"/>
      <c r="H8" s="49"/>
    </row>
    <row r="9" spans="1:8" s="50" customFormat="1" ht="12.5" x14ac:dyDescent="0.25">
      <c r="A9" s="54" t="s">
        <v>34</v>
      </c>
      <c r="B9" s="54">
        <v>2.5299999999999998</v>
      </c>
      <c r="C9" s="54" t="s">
        <v>81</v>
      </c>
      <c r="D9" s="54" t="s">
        <v>85</v>
      </c>
      <c r="E9" s="49"/>
      <c r="F9" s="49"/>
      <c r="G9" s="49"/>
      <c r="H9" s="49"/>
    </row>
    <row r="10" spans="1:8" s="50" customFormat="1" ht="12.5" x14ac:dyDescent="0.25">
      <c r="A10" s="54" t="s">
        <v>83</v>
      </c>
      <c r="B10" s="54">
        <v>1.88</v>
      </c>
      <c r="C10" s="54" t="s">
        <v>81</v>
      </c>
      <c r="D10" s="54" t="s">
        <v>85</v>
      </c>
      <c r="E10" s="49"/>
      <c r="F10" s="49"/>
      <c r="G10" s="49"/>
      <c r="H10" s="49"/>
    </row>
    <row r="11" spans="1:8" s="50" customFormat="1" ht="12.5" x14ac:dyDescent="0.25">
      <c r="A11" s="54" t="s">
        <v>33</v>
      </c>
      <c r="B11" s="54">
        <v>0.01</v>
      </c>
      <c r="C11" s="54" t="s">
        <v>81</v>
      </c>
      <c r="D11" s="54" t="s">
        <v>84</v>
      </c>
      <c r="E11" s="49"/>
      <c r="F11" s="49"/>
      <c r="G11" s="49"/>
      <c r="H11" s="49"/>
    </row>
    <row r="12" spans="1:8" s="50" customFormat="1" ht="12.5" x14ac:dyDescent="0.25">
      <c r="A12" s="54" t="s">
        <v>35</v>
      </c>
      <c r="B12" s="54">
        <v>23.2</v>
      </c>
      <c r="C12" s="54" t="s">
        <v>81</v>
      </c>
      <c r="D12" s="54" t="s">
        <v>82</v>
      </c>
      <c r="E12" s="49"/>
      <c r="F12" s="49"/>
      <c r="G12" s="49"/>
      <c r="H12" s="49"/>
    </row>
    <row r="13" spans="1:8" s="50" customFormat="1" ht="12.5" x14ac:dyDescent="0.25">
      <c r="A13" s="54" t="s">
        <v>37</v>
      </c>
      <c r="B13" s="54">
        <v>1.71</v>
      </c>
      <c r="C13" s="54" t="s">
        <v>81</v>
      </c>
      <c r="D13" s="54" t="s">
        <v>82</v>
      </c>
      <c r="E13" s="49"/>
      <c r="F13" s="49"/>
      <c r="G13" s="49"/>
      <c r="H13" s="49"/>
    </row>
    <row r="14" spans="1:8" s="50" customFormat="1" ht="12.5" x14ac:dyDescent="0.25">
      <c r="A14" s="49"/>
      <c r="B14" s="49"/>
      <c r="C14" s="49"/>
      <c r="D14" s="49"/>
      <c r="E14" s="49"/>
      <c r="F14" s="49"/>
      <c r="G14" s="49"/>
      <c r="H14" s="49"/>
    </row>
    <row r="15" spans="1:8" s="50" customFormat="1" ht="12.5" x14ac:dyDescent="0.25">
      <c r="A15" s="49"/>
      <c r="B15" s="49"/>
      <c r="C15" s="55" t="s">
        <v>121</v>
      </c>
      <c r="D15" s="49"/>
      <c r="E15" s="49"/>
      <c r="F15" s="49"/>
      <c r="G15" s="49"/>
      <c r="H15" s="49"/>
    </row>
    <row r="16" spans="1:8" s="50" customFormat="1" ht="12.5" x14ac:dyDescent="0.25">
      <c r="B16" s="49">
        <v>1000</v>
      </c>
      <c r="C16" s="49">
        <v>2000</v>
      </c>
      <c r="D16" s="49">
        <v>3000</v>
      </c>
      <c r="E16" s="49">
        <v>4000</v>
      </c>
      <c r="F16" s="49">
        <v>5000</v>
      </c>
      <c r="G16" s="49">
        <v>10000</v>
      </c>
      <c r="H16" s="56">
        <v>24509.803921568626</v>
      </c>
    </row>
    <row r="17" spans="1:8" s="50" customFormat="1" ht="12.5" x14ac:dyDescent="0.25">
      <c r="A17" s="57" t="s">
        <v>77</v>
      </c>
      <c r="B17" s="58" t="s">
        <v>88</v>
      </c>
      <c r="C17" s="58" t="s">
        <v>88</v>
      </c>
      <c r="D17" s="58" t="s">
        <v>88</v>
      </c>
      <c r="E17" s="58" t="s">
        <v>88</v>
      </c>
      <c r="F17" s="58" t="s">
        <v>88</v>
      </c>
      <c r="G17" s="58" t="s">
        <v>88</v>
      </c>
      <c r="H17" s="58" t="s">
        <v>88</v>
      </c>
    </row>
    <row r="18" spans="1:8" s="50" customFormat="1" ht="12.5" x14ac:dyDescent="0.25">
      <c r="A18" s="57" t="s">
        <v>79</v>
      </c>
      <c r="B18" s="58">
        <f t="shared" ref="B18:H24" si="0">B$16*$B7/2000/1000</f>
        <v>4.0799999999999996E-2</v>
      </c>
      <c r="C18" s="58">
        <f t="shared" si="0"/>
        <v>8.1599999999999992E-2</v>
      </c>
      <c r="D18" s="58">
        <f t="shared" si="0"/>
        <v>0.12239999999999999</v>
      </c>
      <c r="E18" s="58">
        <f t="shared" si="0"/>
        <v>0.16319999999999998</v>
      </c>
      <c r="F18" s="58">
        <f t="shared" si="0"/>
        <v>0.20399999999999999</v>
      </c>
      <c r="G18" s="58">
        <f t="shared" si="0"/>
        <v>0.40799999999999997</v>
      </c>
      <c r="H18" s="58">
        <f t="shared" si="0"/>
        <v>0.99999999999999989</v>
      </c>
    </row>
    <row r="19" spans="1:8" s="50" customFormat="1" ht="12.5" x14ac:dyDescent="0.25">
      <c r="A19" s="57" t="s">
        <v>7</v>
      </c>
      <c r="B19" s="58">
        <f t="shared" si="0"/>
        <v>8.1000000000000004E-5</v>
      </c>
      <c r="C19" s="58">
        <f t="shared" si="0"/>
        <v>1.6200000000000001E-4</v>
      </c>
      <c r="D19" s="58">
        <f t="shared" si="0"/>
        <v>2.43E-4</v>
      </c>
      <c r="E19" s="58">
        <f t="shared" si="0"/>
        <v>3.2400000000000001E-4</v>
      </c>
      <c r="F19" s="58">
        <f t="shared" si="0"/>
        <v>4.0500000000000003E-4</v>
      </c>
      <c r="G19" s="58">
        <f t="shared" si="0"/>
        <v>8.1000000000000006E-4</v>
      </c>
      <c r="H19" s="58">
        <f t="shared" si="0"/>
        <v>1.9852941176470591E-3</v>
      </c>
    </row>
    <row r="20" spans="1:8" s="50" customFormat="1" ht="12.5" x14ac:dyDescent="0.25">
      <c r="A20" s="57" t="s">
        <v>34</v>
      </c>
      <c r="B20" s="58">
        <f t="shared" si="0"/>
        <v>1.2649999999999998E-3</v>
      </c>
      <c r="C20" s="58">
        <f t="shared" si="0"/>
        <v>2.5299999999999997E-3</v>
      </c>
      <c r="D20" s="58">
        <f t="shared" si="0"/>
        <v>3.7949999999999993E-3</v>
      </c>
      <c r="E20" s="58">
        <f t="shared" si="0"/>
        <v>5.0599999999999994E-3</v>
      </c>
      <c r="F20" s="58">
        <f t="shared" si="0"/>
        <v>6.324999999999999E-3</v>
      </c>
      <c r="G20" s="58">
        <f t="shared" si="0"/>
        <v>1.2649999999999998E-2</v>
      </c>
      <c r="H20" s="58">
        <f t="shared" si="0"/>
        <v>3.1004901960784304E-2</v>
      </c>
    </row>
    <row r="21" spans="1:8" s="50" customFormat="1" ht="12.5" x14ac:dyDescent="0.25">
      <c r="A21" s="57" t="s">
        <v>83</v>
      </c>
      <c r="B21" s="58">
        <f t="shared" si="0"/>
        <v>9.3999999999999997E-4</v>
      </c>
      <c r="C21" s="58">
        <f t="shared" si="0"/>
        <v>1.8799999999999999E-3</v>
      </c>
      <c r="D21" s="58">
        <f t="shared" si="0"/>
        <v>2.82E-3</v>
      </c>
      <c r="E21" s="58">
        <f t="shared" si="0"/>
        <v>3.7599999999999999E-3</v>
      </c>
      <c r="F21" s="58">
        <f t="shared" si="0"/>
        <v>4.7000000000000002E-3</v>
      </c>
      <c r="G21" s="58">
        <f t="shared" si="0"/>
        <v>9.4000000000000004E-3</v>
      </c>
      <c r="H21" s="58">
        <f t="shared" si="0"/>
        <v>2.3039215686274508E-2</v>
      </c>
    </row>
    <row r="22" spans="1:8" s="50" customFormat="1" ht="12.5" x14ac:dyDescent="0.25">
      <c r="A22" s="57" t="s">
        <v>33</v>
      </c>
      <c r="B22" s="58">
        <f t="shared" si="0"/>
        <v>5.0000000000000004E-6</v>
      </c>
      <c r="C22" s="58">
        <f t="shared" si="0"/>
        <v>1.0000000000000001E-5</v>
      </c>
      <c r="D22" s="58">
        <f t="shared" si="0"/>
        <v>1.4999999999999999E-5</v>
      </c>
      <c r="E22" s="58">
        <f t="shared" si="0"/>
        <v>2.0000000000000002E-5</v>
      </c>
      <c r="F22" s="58">
        <f t="shared" si="0"/>
        <v>2.5000000000000001E-5</v>
      </c>
      <c r="G22" s="58">
        <f t="shared" si="0"/>
        <v>5.0000000000000002E-5</v>
      </c>
      <c r="H22" s="58">
        <f t="shared" si="0"/>
        <v>1.2254901960784314E-4</v>
      </c>
    </row>
    <row r="23" spans="1:8" s="50" customFormat="1" ht="12.5" x14ac:dyDescent="0.25">
      <c r="A23" s="57" t="s">
        <v>35</v>
      </c>
      <c r="B23" s="58">
        <f t="shared" si="0"/>
        <v>1.1599999999999999E-2</v>
      </c>
      <c r="C23" s="58">
        <f t="shared" si="0"/>
        <v>2.3199999999999998E-2</v>
      </c>
      <c r="D23" s="58">
        <f t="shared" si="0"/>
        <v>3.4799999999999998E-2</v>
      </c>
      <c r="E23" s="58">
        <f t="shared" si="0"/>
        <v>4.6399999999999997E-2</v>
      </c>
      <c r="F23" s="58">
        <f t="shared" si="0"/>
        <v>5.8000000000000003E-2</v>
      </c>
      <c r="G23" s="58">
        <f t="shared" si="0"/>
        <v>0.11600000000000001</v>
      </c>
      <c r="H23" s="58">
        <f t="shared" si="0"/>
        <v>0.28431372549019601</v>
      </c>
    </row>
    <row r="24" spans="1:8" s="50" customFormat="1" ht="12.5" x14ac:dyDescent="0.25">
      <c r="A24" s="57" t="s">
        <v>37</v>
      </c>
      <c r="B24" s="58">
        <f t="shared" si="0"/>
        <v>8.5499999999999997E-4</v>
      </c>
      <c r="C24" s="58">
        <f t="shared" si="0"/>
        <v>1.7099999999999999E-3</v>
      </c>
      <c r="D24" s="58">
        <f t="shared" si="0"/>
        <v>2.565E-3</v>
      </c>
      <c r="E24" s="58">
        <f t="shared" si="0"/>
        <v>3.4199999999999999E-3</v>
      </c>
      <c r="F24" s="58">
        <f t="shared" si="0"/>
        <v>4.2750000000000002E-3</v>
      </c>
      <c r="G24" s="58">
        <f t="shared" si="0"/>
        <v>8.5500000000000003E-3</v>
      </c>
      <c r="H24" s="58">
        <f t="shared" si="0"/>
        <v>2.0955882352941175E-2</v>
      </c>
    </row>
    <row r="25" spans="1:8" s="50" customFormat="1" ht="12.5" x14ac:dyDescent="0.25">
      <c r="A25" s="57" t="s">
        <v>41</v>
      </c>
      <c r="B25" s="58">
        <f t="shared" ref="B25:H25" si="1">SUM(B20:B24)</f>
        <v>1.4664999999999999E-2</v>
      </c>
      <c r="C25" s="58">
        <f t="shared" si="1"/>
        <v>2.9329999999999998E-2</v>
      </c>
      <c r="D25" s="58">
        <f t="shared" si="1"/>
        <v>4.3994999999999992E-2</v>
      </c>
      <c r="E25" s="58">
        <f t="shared" si="1"/>
        <v>5.8659999999999997E-2</v>
      </c>
      <c r="F25" s="58">
        <f t="shared" si="1"/>
        <v>7.3325000000000001E-2</v>
      </c>
      <c r="G25" s="58">
        <f t="shared" si="1"/>
        <v>0.14665</v>
      </c>
      <c r="H25" s="58">
        <f t="shared" si="1"/>
        <v>0.35943627450980381</v>
      </c>
    </row>
  </sheetData>
  <sheetProtection algorithmName="SHA-512" hashValue="0vO9kymdD8GLIE4mzZFDtU5O3cCP1qoc2x7xzP4PnUTVoVt/e7Z+Y9WK+q9YE5oMRGMsS+XmVumnK4SVzOPA5g==" saltValue="AHQoDT/fdiimM5JoIKzLsQ==" spinCount="100000" sheet="1" objects="1" scenarios="1"/>
  <mergeCells count="1">
    <mergeCell ref="A1:H1"/>
  </mergeCells>
  <hyperlinks>
    <hyperlink ref="A1:H1" r:id="rId1" location="rule.7007.1300.3.E" display="Brazing, soldering, or welding equipment (Minn. R. 7007.1300, subp. 3(E))"/>
  </hyperlinks>
  <pageMargins left="0.7" right="0.7" top="0.75" bottom="0.75" header="0.3" footer="0.3"/>
  <pageSetup scale="76" fitToHeight="0" orientation="portrait"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theme="0" tint="-0.249977111117893"/>
    <pageSetUpPr fitToPage="1"/>
  </sheetPr>
  <dimension ref="A1:J8"/>
  <sheetViews>
    <sheetView zoomScaleNormal="100" workbookViewId="0">
      <selection sqref="A1:J1"/>
    </sheetView>
  </sheetViews>
  <sheetFormatPr defaultColWidth="0" defaultRowHeight="14.5" zeroHeight="1" x14ac:dyDescent="0.35"/>
  <cols>
    <col min="1" max="10" width="12" customWidth="1"/>
    <col min="11" max="16384" width="9.1796875" hidden="1"/>
  </cols>
  <sheetData>
    <row r="1" spans="1:10" ht="15" thickBot="1" x14ac:dyDescent="0.4">
      <c r="A1" s="308" t="s">
        <v>302</v>
      </c>
      <c r="B1" s="308"/>
      <c r="C1" s="308"/>
      <c r="D1" s="308"/>
      <c r="E1" s="308"/>
      <c r="F1" s="308"/>
      <c r="G1" s="308"/>
      <c r="H1" s="308"/>
      <c r="I1" s="308"/>
      <c r="J1" s="308"/>
    </row>
    <row r="2" spans="1:10" x14ac:dyDescent="0.35">
      <c r="A2" s="150"/>
      <c r="B2" s="150"/>
      <c r="C2" s="150"/>
      <c r="D2" s="150"/>
      <c r="E2" s="150"/>
      <c r="F2" s="150"/>
      <c r="G2" s="150"/>
      <c r="H2" s="150"/>
      <c r="I2" s="150"/>
      <c r="J2" s="150"/>
    </row>
    <row r="3" spans="1:10" s="4" customFormat="1" ht="14" x14ac:dyDescent="0.3">
      <c r="A3" s="150" t="s">
        <v>122</v>
      </c>
      <c r="B3" s="150"/>
      <c r="C3" s="150"/>
      <c r="D3" s="150"/>
      <c r="E3" s="150"/>
      <c r="F3" s="150"/>
      <c r="G3" s="150"/>
      <c r="H3" s="150"/>
      <c r="I3" s="150"/>
      <c r="J3" s="150"/>
    </row>
    <row r="4" spans="1:10" s="4" customFormat="1" ht="15" customHeight="1" x14ac:dyDescent="0.3">
      <c r="A4" s="150" t="s">
        <v>101</v>
      </c>
      <c r="B4" s="150"/>
      <c r="C4" s="150"/>
      <c r="D4" s="150"/>
      <c r="E4" s="150"/>
      <c r="F4" s="150"/>
      <c r="G4" s="150"/>
      <c r="H4" s="150"/>
      <c r="I4" s="150"/>
      <c r="J4" s="150"/>
    </row>
    <row r="5" spans="1:10" s="4" customFormat="1" ht="15" customHeight="1" x14ac:dyDescent="0.3">
      <c r="A5" s="150" t="s">
        <v>309</v>
      </c>
      <c r="B5" s="150"/>
      <c r="C5" s="150"/>
      <c r="D5" s="150"/>
      <c r="E5" s="150"/>
      <c r="F5" s="150"/>
      <c r="G5" s="150"/>
      <c r="H5" s="150"/>
      <c r="I5" s="150"/>
      <c r="J5" s="150"/>
    </row>
    <row r="6" spans="1:10" s="4" customFormat="1" ht="14" x14ac:dyDescent="0.3">
      <c r="A6" s="150"/>
      <c r="B6" s="150"/>
      <c r="C6" s="150"/>
      <c r="D6" s="150"/>
      <c r="E6" s="150"/>
      <c r="F6" s="150"/>
      <c r="G6" s="150"/>
      <c r="H6" s="150"/>
      <c r="I6" s="150"/>
      <c r="J6" s="150"/>
    </row>
    <row r="7" spans="1:10" s="4" customFormat="1" ht="15" customHeight="1" x14ac:dyDescent="0.3">
      <c r="A7" s="221" t="s">
        <v>278</v>
      </c>
      <c r="B7" s="221"/>
      <c r="C7" s="221"/>
      <c r="D7" s="221"/>
      <c r="E7" s="221"/>
      <c r="F7" s="221"/>
      <c r="G7" s="221"/>
      <c r="H7" s="221"/>
      <c r="I7" s="221"/>
      <c r="J7" s="221"/>
    </row>
    <row r="8" spans="1:10" s="4" customFormat="1" ht="14" x14ac:dyDescent="0.3">
      <c r="A8" s="3"/>
      <c r="B8" s="3"/>
      <c r="C8" s="3"/>
      <c r="D8" s="3"/>
      <c r="E8" s="3"/>
      <c r="F8" s="3"/>
      <c r="G8" s="3"/>
      <c r="H8" s="3"/>
      <c r="I8" s="3"/>
      <c r="J8" s="3"/>
    </row>
  </sheetData>
  <sheetProtection algorithmName="SHA-512" hashValue="/kEIPDN1PlOW93fqmSy2j+LFgpG9ENOPNmD0D75F/7Z94eKd2WOUBH2+bAGuk7d6+6oWOcx1mZH/lZ6IUSqMTA==" saltValue="0tTXWoNFnIsvYRB2YxwdTw==" spinCount="100000" sheet="1" objects="1" scenarios="1"/>
  <mergeCells count="6">
    <mergeCell ref="A3:J3"/>
    <mergeCell ref="A4:J4"/>
    <mergeCell ref="A7:J7"/>
    <mergeCell ref="A1:J1"/>
    <mergeCell ref="A2:J2"/>
    <mergeCell ref="A5:J6"/>
  </mergeCells>
  <hyperlinks>
    <hyperlink ref="A1:J1" r:id="rId1" location="rule.7007.1300.3.F" display="Individual miscellaneous emissions (Minn. R. 7007.1300, subp. 3(F))"/>
  </hyperlinks>
  <pageMargins left="0.7" right="0.7" top="0.75" bottom="0.75" header="0.3" footer="0.3"/>
  <pageSetup scale="75" fitToHeight="0" orientation="portrait" horizontalDpi="4294967293"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theme="0" tint="-0.249977111117893"/>
    <pageSetUpPr fitToPage="1"/>
  </sheetPr>
  <dimension ref="A1:J17"/>
  <sheetViews>
    <sheetView workbookViewId="0">
      <selection sqref="A1:J1"/>
    </sheetView>
  </sheetViews>
  <sheetFormatPr defaultColWidth="0" defaultRowHeight="14.5" zeroHeight="1" x14ac:dyDescent="0.35"/>
  <cols>
    <col min="1" max="1" width="8.7265625" customWidth="1"/>
    <col min="2" max="9" width="12" customWidth="1"/>
    <col min="10" max="10" width="15.7265625" customWidth="1"/>
    <col min="11" max="16384" width="9.1796875" hidden="1"/>
  </cols>
  <sheetData>
    <row r="1" spans="1:10" ht="15" thickBot="1" x14ac:dyDescent="0.4">
      <c r="A1" s="308" t="s">
        <v>303</v>
      </c>
      <c r="B1" s="308"/>
      <c r="C1" s="308"/>
      <c r="D1" s="308"/>
      <c r="E1" s="308"/>
      <c r="F1" s="308"/>
      <c r="G1" s="308"/>
      <c r="H1" s="308"/>
      <c r="I1" s="308"/>
      <c r="J1" s="308"/>
    </row>
    <row r="2" spans="1:10" s="59" customFormat="1" ht="14" x14ac:dyDescent="0.3">
      <c r="A2" s="111" t="s">
        <v>52</v>
      </c>
      <c r="B2" s="3"/>
      <c r="C2" s="3"/>
      <c r="D2" s="3"/>
      <c r="E2" s="40"/>
      <c r="F2" s="40"/>
      <c r="G2" s="40"/>
      <c r="H2" s="40"/>
      <c r="I2" s="40"/>
      <c r="J2" s="40"/>
    </row>
    <row r="3" spans="1:10" s="59" customFormat="1" ht="14" x14ac:dyDescent="0.3">
      <c r="A3" s="49" t="s">
        <v>123</v>
      </c>
      <c r="B3" s="3"/>
      <c r="C3" s="3"/>
      <c r="D3" s="3"/>
      <c r="E3" s="40"/>
      <c r="F3" s="40"/>
      <c r="G3" s="40"/>
      <c r="H3" s="40"/>
      <c r="I3" s="40"/>
      <c r="J3" s="40"/>
    </row>
    <row r="4" spans="1:10" x14ac:dyDescent="0.35">
      <c r="A4" s="6"/>
      <c r="B4" s="6"/>
      <c r="C4" s="6"/>
      <c r="D4" s="6"/>
      <c r="E4" s="6"/>
      <c r="F4" s="6"/>
      <c r="G4" s="6"/>
      <c r="H4" s="6"/>
      <c r="I4" s="6"/>
      <c r="J4" s="6"/>
    </row>
    <row r="5" spans="1:10" s="50" customFormat="1" ht="12.5" x14ac:dyDescent="0.25">
      <c r="A5" s="313" t="s">
        <v>53</v>
      </c>
      <c r="B5" s="313"/>
      <c r="C5" s="120">
        <v>10</v>
      </c>
      <c r="D5" s="49" t="s">
        <v>125</v>
      </c>
      <c r="F5" s="49"/>
      <c r="H5" s="49"/>
      <c r="I5" s="49"/>
      <c r="J5" s="49"/>
    </row>
    <row r="6" spans="1:10" s="50" customFormat="1" ht="13" thickBot="1" x14ac:dyDescent="0.3">
      <c r="A6" s="49"/>
      <c r="B6" s="49"/>
      <c r="C6" s="49"/>
      <c r="D6" s="49"/>
      <c r="E6" s="49"/>
      <c r="F6" s="49"/>
      <c r="G6" s="49"/>
      <c r="H6" s="49"/>
      <c r="I6" s="49"/>
      <c r="J6" s="49"/>
    </row>
    <row r="7" spans="1:10" s="50" customFormat="1" ht="13.5" thickBot="1" x14ac:dyDescent="0.35">
      <c r="A7" s="60"/>
      <c r="B7" s="13" t="s">
        <v>64</v>
      </c>
      <c r="C7" s="13"/>
      <c r="D7" s="13"/>
      <c r="E7" s="61"/>
      <c r="F7" s="61"/>
      <c r="G7" s="62" t="s">
        <v>56</v>
      </c>
      <c r="H7" s="63" t="s">
        <v>57</v>
      </c>
      <c r="I7" s="64" t="s">
        <v>66</v>
      </c>
      <c r="J7" s="65" t="s">
        <v>58</v>
      </c>
    </row>
    <row r="8" spans="1:10" s="50" customFormat="1" ht="15.75" customHeight="1" thickTop="1" x14ac:dyDescent="0.25">
      <c r="A8" s="66"/>
      <c r="B8" s="316"/>
      <c r="C8" s="317"/>
      <c r="D8" s="318"/>
      <c r="E8" s="309" t="s">
        <v>67</v>
      </c>
      <c r="F8" s="310"/>
      <c r="G8" s="67">
        <v>10</v>
      </c>
      <c r="H8" s="67">
        <v>10</v>
      </c>
      <c r="I8" s="67">
        <v>10</v>
      </c>
      <c r="J8" s="116" t="s">
        <v>65</v>
      </c>
    </row>
    <row r="9" spans="1:10" s="50" customFormat="1" ht="15" x14ac:dyDescent="0.3">
      <c r="A9" s="68"/>
      <c r="B9" s="319" t="s">
        <v>232</v>
      </c>
      <c r="C9" s="320"/>
      <c r="D9" s="321"/>
      <c r="E9" s="311" t="s">
        <v>59</v>
      </c>
      <c r="F9" s="312"/>
      <c r="G9" s="69">
        <v>0.7</v>
      </c>
      <c r="H9" s="69">
        <v>0.9</v>
      </c>
      <c r="I9" s="69">
        <v>0.9</v>
      </c>
      <c r="J9" s="117" t="s">
        <v>60</v>
      </c>
    </row>
    <row r="10" spans="1:10" s="50" customFormat="1" ht="12.5" x14ac:dyDescent="0.25">
      <c r="A10" s="68"/>
      <c r="B10" s="322" t="s">
        <v>68</v>
      </c>
      <c r="C10" s="323"/>
      <c r="D10" s="324"/>
      <c r="E10" s="311" t="s">
        <v>61</v>
      </c>
      <c r="F10" s="312"/>
      <c r="G10" s="69">
        <v>0.45</v>
      </c>
      <c r="H10" s="70">
        <v>0.45</v>
      </c>
      <c r="I10" s="69">
        <v>0.45</v>
      </c>
      <c r="J10" s="117" t="s">
        <v>60</v>
      </c>
    </row>
    <row r="11" spans="1:10" s="50" customFormat="1" ht="12.5" x14ac:dyDescent="0.25">
      <c r="A11" s="68"/>
      <c r="B11" s="322" t="s">
        <v>62</v>
      </c>
      <c r="C11" s="323"/>
      <c r="D11" s="324"/>
      <c r="E11" s="311" t="s">
        <v>63</v>
      </c>
      <c r="F11" s="312"/>
      <c r="G11" s="69">
        <v>4.9000000000000004</v>
      </c>
      <c r="H11" s="69">
        <v>1.5</v>
      </c>
      <c r="I11" s="69">
        <v>0.15</v>
      </c>
      <c r="J11" s="118" t="s">
        <v>60</v>
      </c>
    </row>
    <row r="12" spans="1:10" s="50" customFormat="1" ht="13" x14ac:dyDescent="0.3">
      <c r="A12" s="68"/>
      <c r="B12" s="319"/>
      <c r="C12" s="320"/>
      <c r="D12" s="321"/>
      <c r="E12" s="311" t="s">
        <v>124</v>
      </c>
      <c r="F12" s="312"/>
      <c r="G12" s="71">
        <f>G11*((G8/12)^G9)*((5/3)^G10)</f>
        <v>5.4275164089052206</v>
      </c>
      <c r="H12" s="71">
        <f t="shared" ref="H12:I12" si="0">H11*((H8/12)^H9)*((5/3)^H10)</f>
        <v>1.6019910112707159</v>
      </c>
      <c r="I12" s="71">
        <f t="shared" si="0"/>
        <v>0.16019910112707159</v>
      </c>
      <c r="J12" s="118"/>
    </row>
    <row r="13" spans="1:10" s="50" customFormat="1" ht="13" x14ac:dyDescent="0.3">
      <c r="A13" s="68"/>
      <c r="B13" s="319"/>
      <c r="C13" s="320"/>
      <c r="D13" s="321"/>
      <c r="E13" s="311" t="s">
        <v>71</v>
      </c>
      <c r="F13" s="312"/>
      <c r="G13" s="69">
        <v>10</v>
      </c>
      <c r="H13" s="69">
        <v>10</v>
      </c>
      <c r="I13" s="69">
        <v>10</v>
      </c>
      <c r="J13" s="118"/>
    </row>
    <row r="14" spans="1:10" s="50" customFormat="1" ht="13" x14ac:dyDescent="0.3">
      <c r="A14" s="68"/>
      <c r="B14" s="319"/>
      <c r="C14" s="320"/>
      <c r="D14" s="321"/>
      <c r="E14" s="311" t="s">
        <v>69</v>
      </c>
      <c r="F14" s="312"/>
      <c r="G14" s="69">
        <f>G13*G12</f>
        <v>54.275164089052204</v>
      </c>
      <c r="H14" s="69">
        <f>H13*H12</f>
        <v>16.019910112707159</v>
      </c>
      <c r="I14" s="69">
        <f>I13*I12</f>
        <v>1.6019910112707159</v>
      </c>
      <c r="J14" s="118"/>
    </row>
    <row r="15" spans="1:10" s="50" customFormat="1" ht="15.75" customHeight="1" thickBot="1" x14ac:dyDescent="0.35">
      <c r="A15" s="72"/>
      <c r="B15" s="325"/>
      <c r="C15" s="326"/>
      <c r="D15" s="327"/>
      <c r="E15" s="314" t="s">
        <v>70</v>
      </c>
      <c r="F15" s="315"/>
      <c r="G15" s="73">
        <f>G14*365/2000</f>
        <v>9.9052174462520277</v>
      </c>
      <c r="H15" s="73">
        <f t="shared" ref="H15:I15" si="1">H14*365/2000</f>
        <v>2.9236335955690564</v>
      </c>
      <c r="I15" s="73">
        <f t="shared" si="1"/>
        <v>0.29236335955690568</v>
      </c>
      <c r="J15" s="119"/>
    </row>
    <row r="16" spans="1:10" s="50" customFormat="1" ht="12.5" x14ac:dyDescent="0.25">
      <c r="A16" s="49"/>
      <c r="B16" s="49"/>
      <c r="C16" s="49"/>
      <c r="D16" s="49"/>
      <c r="E16" s="49"/>
      <c r="F16" s="49"/>
      <c r="G16" s="49"/>
      <c r="H16" s="49"/>
      <c r="I16" s="49"/>
      <c r="J16" s="49"/>
    </row>
    <row r="17" hidden="1" x14ac:dyDescent="0.35"/>
  </sheetData>
  <sheetProtection algorithmName="SHA-512" hashValue="mqSRsb55KF6TpGq/TXe5kV4LSpr5Hn9yQure3eRqOUT0sJz92x6jqvw48GljQdEJk1BSK2gam2aAqKBnQwzZOg==" saltValue="JIfv7JJOhCpytC3Wt8hOww==" spinCount="100000" sheet="1" objects="1" scenarios="1"/>
  <mergeCells count="18">
    <mergeCell ref="E12:F12"/>
    <mergeCell ref="E13:F13"/>
    <mergeCell ref="E14:F14"/>
    <mergeCell ref="E15:F15"/>
    <mergeCell ref="B8:D8"/>
    <mergeCell ref="B9:D9"/>
    <mergeCell ref="B10:D10"/>
    <mergeCell ref="B11:D11"/>
    <mergeCell ref="B12:D12"/>
    <mergeCell ref="B13:D13"/>
    <mergeCell ref="B14:D14"/>
    <mergeCell ref="B15:D15"/>
    <mergeCell ref="A1:J1"/>
    <mergeCell ref="E8:F8"/>
    <mergeCell ref="E9:F9"/>
    <mergeCell ref="E10:F10"/>
    <mergeCell ref="E11:F11"/>
    <mergeCell ref="A5:B5"/>
  </mergeCells>
  <hyperlinks>
    <hyperlink ref="A1:J1" r:id="rId1" location="rule.7007.1300.3.G" display="Unpaved enterence roads and parking lots (Minn. R. 7007.1300, subp. 3(G))"/>
  </hyperlinks>
  <pageMargins left="0.7" right="0.7" top="0.75" bottom="0.75" header="0.3" footer="0.3"/>
  <pageSetup scale="75" fitToHeight="0" orientation="portrait" horizontalDpi="4294967293"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theme="0" tint="-0.249977111117893"/>
    <pageSetUpPr fitToPage="1"/>
  </sheetPr>
  <dimension ref="A1:XFC18"/>
  <sheetViews>
    <sheetView zoomScaleNormal="100" workbookViewId="0"/>
  </sheetViews>
  <sheetFormatPr defaultColWidth="0" defaultRowHeight="14.5" zeroHeight="1" x14ac:dyDescent="0.35"/>
  <cols>
    <col min="1" max="1" width="120.7265625" customWidth="1"/>
    <col min="2" max="16383" width="9.1796875" hidden="1"/>
    <col min="16384" max="16384" width="7.1796875" hidden="1" customWidth="1"/>
  </cols>
  <sheetData>
    <row r="1" spans="1:1" ht="15" thickBot="1" x14ac:dyDescent="0.4">
      <c r="A1" s="115" t="s">
        <v>305</v>
      </c>
    </row>
    <row r="2" spans="1:1" x14ac:dyDescent="0.35">
      <c r="A2" s="50"/>
    </row>
    <row r="3" spans="1:1" x14ac:dyDescent="0.35">
      <c r="A3" s="97" t="s">
        <v>283</v>
      </c>
    </row>
    <row r="4" spans="1:1" x14ac:dyDescent="0.35">
      <c r="A4" s="49"/>
    </row>
    <row r="5" spans="1:1" x14ac:dyDescent="0.35">
      <c r="A5" s="328" t="s">
        <v>233</v>
      </c>
    </row>
    <row r="6" spans="1:1" x14ac:dyDescent="0.35">
      <c r="A6" s="328"/>
    </row>
    <row r="7" spans="1:1" x14ac:dyDescent="0.35">
      <c r="A7" s="329" t="s">
        <v>237</v>
      </c>
    </row>
    <row r="8" spans="1:1" x14ac:dyDescent="0.35">
      <c r="A8" s="329"/>
    </row>
    <row r="9" spans="1:1" x14ac:dyDescent="0.35">
      <c r="A9" s="329"/>
    </row>
    <row r="10" spans="1:1" x14ac:dyDescent="0.35">
      <c r="A10" s="329"/>
    </row>
    <row r="11" spans="1:1" x14ac:dyDescent="0.35">
      <c r="A11" s="330" t="s">
        <v>238</v>
      </c>
    </row>
    <row r="12" spans="1:1" x14ac:dyDescent="0.35">
      <c r="A12" s="330"/>
    </row>
    <row r="13" spans="1:1" x14ac:dyDescent="0.35">
      <c r="A13" s="330"/>
    </row>
    <row r="14" spans="1:1" x14ac:dyDescent="0.35">
      <c r="A14" s="330"/>
    </row>
    <row r="15" spans="1:1" x14ac:dyDescent="0.35">
      <c r="A15" s="49"/>
    </row>
    <row r="16" spans="1:1" hidden="1" x14ac:dyDescent="0.35"/>
    <row r="17" hidden="1" x14ac:dyDescent="0.35"/>
    <row r="18" hidden="1" x14ac:dyDescent="0.35"/>
  </sheetData>
  <sheetProtection algorithmName="SHA-512" hashValue="dCiWcALcLgJIzNRlJSZnUjanQ7vQfoDxTXjlKZo2IA7d1n5yMAi6HkMJe3w+mCtkZlyyVTBnlUiQnj1JR3hzPw==" saltValue="Yr0CIUKkdfhLtVH5y/pS1Q==" spinCount="100000" sheet="1" objects="1" scenarios="1"/>
  <mergeCells count="3">
    <mergeCell ref="A5:A6"/>
    <mergeCell ref="A7:A10"/>
    <mergeCell ref="A11:A14"/>
  </mergeCells>
  <hyperlinks>
    <hyperlink ref="A1" r:id="rId1"/>
  </hyperlinks>
  <pageMargins left="0.7" right="0.7" top="0.75" bottom="0.75" header="0.3" footer="0.3"/>
  <pageSetup scale="99" fitToHeight="0" orientation="portrait" horizontalDpi="4294967293"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tabColor theme="0" tint="-0.249977111117893"/>
    <pageSetUpPr fitToPage="1"/>
  </sheetPr>
  <dimension ref="A1:A13"/>
  <sheetViews>
    <sheetView zoomScaleNormal="100" workbookViewId="0"/>
  </sheetViews>
  <sheetFormatPr defaultColWidth="0" defaultRowHeight="14.5" zeroHeight="1" x14ac:dyDescent="0.35"/>
  <cols>
    <col min="1" max="1" width="120.7265625" customWidth="1"/>
    <col min="2" max="16384" width="9.1796875" hidden="1"/>
  </cols>
  <sheetData>
    <row r="1" spans="1:1" s="50" customFormat="1" thickBot="1" x14ac:dyDescent="0.35">
      <c r="A1" s="115" t="s">
        <v>304</v>
      </c>
    </row>
    <row r="2" spans="1:1" s="50" customFormat="1" ht="12.5" x14ac:dyDescent="0.25"/>
    <row r="3" spans="1:1" s="50" customFormat="1" ht="13" x14ac:dyDescent="0.3">
      <c r="A3" s="97" t="s">
        <v>284</v>
      </c>
    </row>
    <row r="4" spans="1:1" s="50" customFormat="1" ht="12.5" x14ac:dyDescent="0.25">
      <c r="A4" s="49"/>
    </row>
    <row r="5" spans="1:1" s="50" customFormat="1" ht="15" customHeight="1" x14ac:dyDescent="0.25">
      <c r="A5" s="328" t="s">
        <v>234</v>
      </c>
    </row>
    <row r="6" spans="1:1" s="50" customFormat="1" ht="12.5" x14ac:dyDescent="0.25">
      <c r="A6" s="328"/>
    </row>
    <row r="7" spans="1:1" s="50" customFormat="1" ht="15" customHeight="1" x14ac:dyDescent="0.25">
      <c r="A7" s="329" t="s">
        <v>235</v>
      </c>
    </row>
    <row r="8" spans="1:1" s="50" customFormat="1" ht="12.5" x14ac:dyDescent="0.25">
      <c r="A8" s="329"/>
    </row>
    <row r="9" spans="1:1" s="50" customFormat="1" ht="15" customHeight="1" x14ac:dyDescent="0.25">
      <c r="A9" s="330" t="s">
        <v>239</v>
      </c>
    </row>
    <row r="10" spans="1:1" s="50" customFormat="1" ht="12.5" x14ac:dyDescent="0.25">
      <c r="A10" s="330"/>
    </row>
    <row r="11" spans="1:1" s="50" customFormat="1" ht="12.5" x14ac:dyDescent="0.25">
      <c r="A11" s="330"/>
    </row>
    <row r="12" spans="1:1" s="50" customFormat="1" ht="12.5" x14ac:dyDescent="0.25">
      <c r="A12" s="49"/>
    </row>
    <row r="13" spans="1:1" s="114" customFormat="1" ht="15" hidden="1" customHeight="1" x14ac:dyDescent="0.35"/>
  </sheetData>
  <sheetProtection algorithmName="SHA-512" hashValue="ZsUT+frxBpBJZ7UkCMAQVrBc/GrxyC0y1/10o/wE6x7dIGSkntzzVvJDrhPEh53bRkg32ZBSGhgSmzXl5jZPZA==" saltValue="1Qoo1PMNJTbxZhDMOsPl8g==" spinCount="100000" sheet="1" objects="1" scenarios="1"/>
  <mergeCells count="3">
    <mergeCell ref="A5:A6"/>
    <mergeCell ref="A7:A8"/>
    <mergeCell ref="A9:A11"/>
  </mergeCells>
  <hyperlinks>
    <hyperlink ref="A1" r:id="rId1"/>
  </hyperlinks>
  <pageMargins left="0.7" right="0.7" top="0.75" bottom="0.75" header="0.3" footer="0.3"/>
  <pageSetup scale="99" fitToHeight="0" orientation="portrait" horizontalDpi="4294967293"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J20"/>
  <sheetViews>
    <sheetView zoomScaleNormal="100" workbookViewId="0"/>
  </sheetViews>
  <sheetFormatPr defaultColWidth="8.7265625" defaultRowHeight="14" x14ac:dyDescent="0.3"/>
  <cols>
    <col min="1" max="1" width="10.54296875" style="4" bestFit="1" customWidth="1"/>
    <col min="2" max="16384" width="8.7265625" style="4"/>
  </cols>
  <sheetData>
    <row r="1" spans="1:10" ht="14.5" thickBot="1" x14ac:dyDescent="0.35">
      <c r="A1" s="129" t="s">
        <v>312</v>
      </c>
      <c r="B1" s="130"/>
      <c r="C1" s="130"/>
      <c r="D1" s="130"/>
      <c r="E1" s="130"/>
      <c r="F1" s="130"/>
      <c r="G1" s="130"/>
      <c r="H1" s="130"/>
      <c r="I1" s="130"/>
      <c r="J1" s="130"/>
    </row>
    <row r="2" spans="1:10" s="112" customFormat="1" ht="13" x14ac:dyDescent="0.3">
      <c r="A2" s="126">
        <v>43714</v>
      </c>
      <c r="B2" s="112" t="s">
        <v>313</v>
      </c>
    </row>
    <row r="3" spans="1:10" s="112" customFormat="1" ht="13" x14ac:dyDescent="0.3">
      <c r="A3" s="127"/>
      <c r="B3" s="128" t="s">
        <v>314</v>
      </c>
      <c r="C3" s="128"/>
      <c r="D3" s="128"/>
      <c r="E3" s="128"/>
      <c r="F3" s="128"/>
      <c r="G3" s="128"/>
      <c r="H3" s="128"/>
      <c r="I3" s="128"/>
      <c r="J3" s="128"/>
    </row>
    <row r="4" spans="1:10" s="112" customFormat="1" ht="13" x14ac:dyDescent="0.3">
      <c r="A4" s="126">
        <v>43753</v>
      </c>
      <c r="B4" s="112" t="s">
        <v>315</v>
      </c>
    </row>
    <row r="5" spans="1:10" s="112" customFormat="1" ht="14.5" customHeight="1" x14ac:dyDescent="0.3">
      <c r="B5" s="331" t="s">
        <v>316</v>
      </c>
      <c r="C5" s="331"/>
      <c r="D5" s="331"/>
      <c r="E5" s="331"/>
      <c r="F5" s="331"/>
      <c r="G5" s="331"/>
      <c r="H5" s="331"/>
      <c r="I5" s="331"/>
      <c r="J5" s="331"/>
    </row>
    <row r="6" spans="1:10" s="112" customFormat="1" ht="13" x14ac:dyDescent="0.3">
      <c r="B6" s="331"/>
      <c r="C6" s="331"/>
      <c r="D6" s="331"/>
      <c r="E6" s="331"/>
      <c r="F6" s="331"/>
      <c r="G6" s="331"/>
      <c r="H6" s="331"/>
      <c r="I6" s="331"/>
      <c r="J6" s="331"/>
    </row>
    <row r="7" spans="1:10" s="112" customFormat="1" ht="13" x14ac:dyDescent="0.3">
      <c r="B7" s="331"/>
      <c r="C7" s="331"/>
      <c r="D7" s="331"/>
      <c r="E7" s="331"/>
      <c r="F7" s="331"/>
      <c r="G7" s="331"/>
      <c r="H7" s="331"/>
      <c r="I7" s="331"/>
      <c r="J7" s="331"/>
    </row>
    <row r="8" spans="1:10" s="112" customFormat="1" ht="13" x14ac:dyDescent="0.3">
      <c r="B8" s="331"/>
      <c r="C8" s="331"/>
      <c r="D8" s="331"/>
      <c r="E8" s="331"/>
      <c r="F8" s="331"/>
      <c r="G8" s="331"/>
      <c r="H8" s="331"/>
      <c r="I8" s="331"/>
      <c r="J8" s="331"/>
    </row>
    <row r="9" spans="1:10" s="112" customFormat="1" ht="13" x14ac:dyDescent="0.3">
      <c r="B9" s="331"/>
      <c r="C9" s="331"/>
      <c r="D9" s="331"/>
      <c r="E9" s="331"/>
      <c r="F9" s="331"/>
      <c r="G9" s="331"/>
      <c r="H9" s="331"/>
      <c r="I9" s="331"/>
      <c r="J9" s="331"/>
    </row>
    <row r="10" spans="1:10" s="112" customFormat="1" ht="13" x14ac:dyDescent="0.3">
      <c r="B10" s="331"/>
      <c r="C10" s="331"/>
      <c r="D10" s="331"/>
      <c r="E10" s="331"/>
      <c r="F10" s="331"/>
      <c r="G10" s="331"/>
      <c r="H10" s="331"/>
      <c r="I10" s="331"/>
      <c r="J10" s="331"/>
    </row>
    <row r="11" spans="1:10" s="112" customFormat="1" ht="13" x14ac:dyDescent="0.3">
      <c r="A11" s="128"/>
      <c r="B11" s="128" t="s">
        <v>317</v>
      </c>
      <c r="C11" s="128"/>
      <c r="D11" s="128"/>
      <c r="E11" s="128"/>
      <c r="F11" s="128"/>
      <c r="G11" s="128"/>
      <c r="H11" s="128"/>
      <c r="I11" s="128"/>
      <c r="J11" s="128"/>
    </row>
    <row r="12" spans="1:10" s="112" customFormat="1" ht="13" x14ac:dyDescent="0.3"/>
    <row r="13" spans="1:10" s="112" customFormat="1" ht="13" x14ac:dyDescent="0.3"/>
    <row r="14" spans="1:10" s="112" customFormat="1" ht="13" x14ac:dyDescent="0.3"/>
    <row r="15" spans="1:10" s="112" customFormat="1" ht="13" x14ac:dyDescent="0.3"/>
    <row r="16" spans="1:10" s="112" customFormat="1" ht="13" x14ac:dyDescent="0.3"/>
    <row r="17" s="112" customFormat="1" ht="13" x14ac:dyDescent="0.3"/>
    <row r="18" s="125" customFormat="1" ht="14.5" x14ac:dyDescent="0.35"/>
    <row r="19" s="125" customFormat="1" ht="14.5" x14ac:dyDescent="0.35"/>
    <row r="20" s="125" customFormat="1" ht="14.5" x14ac:dyDescent="0.35"/>
  </sheetData>
  <mergeCells count="1">
    <mergeCell ref="B5:J10"/>
  </mergeCells>
  <pageMargins left="0.7" right="0.7" top="0.75" bottom="0.75" header="0.3" footer="0.3"/>
  <pageSetup orientation="portrait" horizontalDpi="90" verticalDpi="9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9</vt:i4>
      </vt:variant>
    </vt:vector>
  </HeadingPairs>
  <TitlesOfParts>
    <vt:vector size="23" baseType="lpstr">
      <vt:lpstr>Read me (instructions)</vt:lpstr>
      <vt:lpstr>Emissions estimate &amp; results</vt:lpstr>
      <vt:lpstr>Mechanical finishing</vt:lpstr>
      <vt:lpstr>Data validation</vt:lpstr>
      <vt:lpstr>Subpart 3(A)</vt:lpstr>
      <vt:lpstr>Subpart 3(B)</vt:lpstr>
      <vt:lpstr>Subpart 3(C)</vt:lpstr>
      <vt:lpstr>Subpart 3(D)</vt:lpstr>
      <vt:lpstr>Subpart 3(E)</vt:lpstr>
      <vt:lpstr>Subpart 3(F)</vt:lpstr>
      <vt:lpstr>Subpart 3(G)</vt:lpstr>
      <vt:lpstr>7008.4100</vt:lpstr>
      <vt:lpstr>7008.4110</vt:lpstr>
      <vt:lpstr>Updates</vt:lpstr>
      <vt:lpstr>'7008.4100'!Print_Area</vt:lpstr>
      <vt:lpstr>'Emissions estimate &amp; results'!Print_Area</vt:lpstr>
      <vt:lpstr>'Mechanical finishing'!Print_Area</vt:lpstr>
      <vt:lpstr>'Read me (instructions)'!Print_Area</vt:lpstr>
      <vt:lpstr>'Subpart 3(B)'!Print_Area</vt:lpstr>
      <vt:lpstr>'Subpart 3(D)'!Print_Area</vt:lpstr>
      <vt:lpstr>'Subpart 3(E)'!Print_Area</vt:lpstr>
      <vt:lpstr>'Subpart 3(F)'!Print_Area</vt:lpstr>
      <vt:lpstr>'Subpart 3(G)'!Print_Area</vt:lpstr>
    </vt:vector>
  </TitlesOfParts>
  <Company>PCA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Insignificant Facility PTE - Facility Potential Emissions (PTE) tool</dc:title>
  <dc:subject>This form is used to determine if a facility qualifies as an insignificant facility under Minn. R. 7008.2600.</dc:subject>
  <dc:creator>Minnesota Pollution Control Agency - E.Ohde (Chris Klucas)</dc:creator>
  <cp:keywords>Minnesota Pollution Control Agency,p-sbap5-35,planning,small business assistance program,insignificant,PTE,potential emissions estimate</cp:keywords>
  <dc:description>Protected locked cells/Unprotected unlocked input cells</dc:description>
  <cp:lastModifiedBy>Johnson, Troy</cp:lastModifiedBy>
  <cp:lastPrinted>2021-03-08T17:33:56Z</cp:lastPrinted>
  <dcterms:created xsi:type="dcterms:W3CDTF">2017-02-23T18:58:25Z</dcterms:created>
  <dcterms:modified xsi:type="dcterms:W3CDTF">2021-04-13T21:15:59Z</dcterms:modified>
  <cp:category>planning,small business assistance program</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e5b6d974-a0fd-47e9-9b0f-648d7be64a31</vt:lpwstr>
  </property>
</Properties>
</file>