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codeName="{AE6600E7-7A62-396C-DE95-9942FA9DD81E}"/>
  <workbookPr codeName="ThisWorkbook"/>
  <mc:AlternateContent xmlns:mc="http://schemas.openxmlformats.org/markup-compatibility/2006">
    <mc:Choice Requires="x15">
      <x15ac:absPath xmlns:x15ac="http://schemas.microsoft.com/office/spreadsheetml/2010/11/ac" url="T:\Klucas_Christopher.CK\Gail's T Drive\FORMS\Planning\p-sbap5 - SmallBusinessAsstProgram\"/>
    </mc:Choice>
  </mc:AlternateContent>
  <xr:revisionPtr revIDLastSave="0" documentId="13_ncr:1_{0EE890F9-71C3-4EBA-8034-F3F50221222A}" xr6:coauthVersionLast="47" xr6:coauthVersionMax="47" xr10:uidLastSave="{00000000-0000-0000-0000-000000000000}"/>
  <bookViews>
    <workbookView xWindow="-120" yWindow="-120" windowWidth="29040" windowHeight="15840" tabRatio="901" xr2:uid="{00000000-000D-0000-FFFF-FFFF00000000}"/>
  </bookViews>
  <sheets>
    <sheet name="Instructions" sheetId="1" r:id="rId1"/>
    <sheet name="Business information" sheetId="40" r:id="rId2"/>
    <sheet name="Federal standards" sheetId="43" r:id="rId3"/>
    <sheet name="FAQs" sheetId="45" r:id="rId4"/>
    <sheet name="Engine 1" sheetId="17" r:id="rId5"/>
    <sheet name="Engine 2" sheetId="46" r:id="rId6"/>
    <sheet name="Engine 3" sheetId="47" r:id="rId7"/>
    <sheet name="Engine 4" sheetId="48" r:id="rId8"/>
    <sheet name="Engine 5" sheetId="49" r:id="rId9"/>
    <sheet name="Potential emissions" sheetId="24" r:id="rId10"/>
    <sheet name="Actual emissions" sheetId="29" r:id="rId11"/>
    <sheet name="Permits &amp; requirements" sheetId="30" r:id="rId12"/>
    <sheet name="Engine emission factors" sheetId="21" r:id="rId13"/>
    <sheet name="Propane reference" sheetId="44" r:id="rId14"/>
    <sheet name="Data validation" sheetId="6" state="hidden" r:id="rId15"/>
    <sheet name="Data collection" sheetId="50" state="hidden" r:id="rId16"/>
  </sheets>
  <definedNames>
    <definedName name="_xlnm._FilterDatabase" localSheetId="10" hidden="1">'Actual emissions'!$A$1:$J$49</definedName>
    <definedName name="_xlnm._FilterDatabase" localSheetId="11" hidden="1">'Permits &amp; requirements'!$A$1:$L$33</definedName>
    <definedName name="_xlnm._FilterDatabase" localSheetId="9" hidden="1">'Potential emissions'!$A$1:$I$49</definedName>
    <definedName name="Emer">'Data validation'!$A$19</definedName>
    <definedName name="ng2l">'Data validation'!$A$13</definedName>
    <definedName name="ngl">'Data validation'!$A$12</definedName>
    <definedName name="ngr">'Data validation'!$A$11</definedName>
    <definedName name="_xlnm.Print_Area" localSheetId="10">'Actual emissions'!$B$1:$I$47</definedName>
    <definedName name="_xlnm.Print_Area" localSheetId="1">'Business information'!$B$1:$E$44</definedName>
    <definedName name="_xlnm.Print_Area" localSheetId="4">'Engine 1'!$B$1:$J$77</definedName>
    <definedName name="_xlnm.Print_Area" localSheetId="5">'Engine 2'!$B$1:$J$77</definedName>
    <definedName name="_xlnm.Print_Area" localSheetId="6">'Engine 3'!$B$1:$J$77</definedName>
    <definedName name="_xlnm.Print_Area" localSheetId="7">'Engine 4'!$B$1:$J$77</definedName>
    <definedName name="_xlnm.Print_Area" localSheetId="8">'Engine 5'!$B$1:$J$77</definedName>
    <definedName name="_xlnm.Print_Area" localSheetId="12">'Engine emission factors'!$A$1:$I$59</definedName>
    <definedName name="_xlnm.Print_Area" localSheetId="3">FAQs!$B$1:$O$40</definedName>
    <definedName name="_xlnm.Print_Area" localSheetId="2">'Federal standards'!$B$1:$Q$52</definedName>
    <definedName name="_xlnm.Print_Area" localSheetId="0">Instructions!$B$1:$O$31</definedName>
    <definedName name="_xlnm.Print_Area" localSheetId="11">'Permits &amp; requirements'!$B$1:$I$42</definedName>
    <definedName name="_xlnm.Print_Area" localSheetId="9">'Potential emissions'!$B$1:$I$47</definedName>
    <definedName name="_xlnm.Print_Titles" localSheetId="10">'Actual emissions'!$2:$5</definedName>
    <definedName name="_xlnm.Print_Titles" localSheetId="4">'Engine 1'!$28:$33</definedName>
    <definedName name="_xlnm.Print_Titles" localSheetId="5">'Engine 2'!$28:$33</definedName>
    <definedName name="_xlnm.Print_Titles" localSheetId="6">'Engine 3'!$28:$33</definedName>
    <definedName name="_xlnm.Print_Titles" localSheetId="7">'Engine 4'!$28:$33</definedName>
    <definedName name="_xlnm.Print_Titles" localSheetId="8">'Engine 5'!$28:$33</definedName>
    <definedName name="_xlnm.Print_Titles" localSheetId="12">'Engine emission factors'!$3:$3</definedName>
    <definedName name="_xlnm.Print_Titles" localSheetId="2">'Federal standards'!$2:$3</definedName>
    <definedName name="_xlnm.Print_Titles" localSheetId="11">'Permits &amp; requirements'!$2:$2</definedName>
    <definedName name="_xlnm.Print_Titles" localSheetId="9">'Potential emissions'!$2:$5</definedName>
    <definedName name="pro">'Data validation'!$A$9</definedName>
    <definedName name="rd">'Data validation'!$A$7</definedName>
    <definedName name="rg">'Data validation'!$A$8</definedName>
    <definedName name="Routine">'Data validation'!$A$18</definedName>
    <definedName name="select">'Data validation'!$A$6</definedName>
    <definedName name="so">'Data validation'!$A$17</definedName>
    <definedName name="tng">'Data validation'!$A$10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49" l="1"/>
  <c r="G37" i="48"/>
  <c r="G37" i="47"/>
  <c r="G37" i="46"/>
  <c r="F25" i="49"/>
  <c r="F25" i="48"/>
  <c r="F25" i="47"/>
  <c r="F25" i="46"/>
  <c r="E25" i="49"/>
  <c r="E25" i="48"/>
  <c r="E25" i="47"/>
  <c r="E25" i="46"/>
  <c r="I8" i="21"/>
  <c r="F25" i="17"/>
  <c r="E25" i="17"/>
  <c r="G37" i="17" s="1"/>
  <c r="D32" i="48" l="1"/>
  <c r="D32" i="46"/>
  <c r="E32" i="48"/>
  <c r="E32" i="46"/>
  <c r="F22" i="49"/>
  <c r="E32" i="49" s="1"/>
  <c r="F22" i="48"/>
  <c r="F22" i="47"/>
  <c r="E32" i="47" s="1"/>
  <c r="F22" i="46"/>
  <c r="F22" i="17" l="1"/>
  <c r="E32" i="17" s="1"/>
  <c r="A1" i="44"/>
  <c r="B1" i="43" l="1"/>
  <c r="F24" i="49" l="1"/>
  <c r="B166" i="50" s="1"/>
  <c r="B160" i="50"/>
  <c r="D24" i="49"/>
  <c r="D21" i="49"/>
  <c r="F21" i="49" s="1"/>
  <c r="D23" i="49" s="1"/>
  <c r="F23" i="49" s="1"/>
  <c r="F24" i="48"/>
  <c r="B138" i="50" s="1"/>
  <c r="F21" i="48"/>
  <c r="D23" i="48" s="1"/>
  <c r="F23" i="48" s="1"/>
  <c r="D24" i="48"/>
  <c r="B136" i="50" s="1"/>
  <c r="D21" i="48"/>
  <c r="B127" i="50" s="1"/>
  <c r="D24" i="47"/>
  <c r="B108" i="50" s="1"/>
  <c r="F24" i="47"/>
  <c r="B110" i="50" s="1"/>
  <c r="D21" i="47"/>
  <c r="B99" i="50" s="1"/>
  <c r="D24" i="46"/>
  <c r="B80" i="50" s="1"/>
  <c r="F24" i="46"/>
  <c r="B82" i="50" s="1"/>
  <c r="D21" i="46"/>
  <c r="B71" i="50" s="1"/>
  <c r="B164" i="50"/>
  <c r="B159" i="50"/>
  <c r="B158" i="50"/>
  <c r="B156" i="50"/>
  <c r="B154" i="50"/>
  <c r="B153" i="50"/>
  <c r="B151" i="50"/>
  <c r="B150" i="50"/>
  <c r="B149" i="50"/>
  <c r="B148" i="50"/>
  <c r="B147" i="50"/>
  <c r="B146" i="50"/>
  <c r="B145" i="50"/>
  <c r="B144" i="50"/>
  <c r="B143" i="50"/>
  <c r="B142" i="50"/>
  <c r="B141" i="50"/>
  <c r="B140" i="50"/>
  <c r="B132" i="50"/>
  <c r="B131" i="50"/>
  <c r="B130" i="50"/>
  <c r="B128" i="50"/>
  <c r="B126" i="50"/>
  <c r="B125" i="50"/>
  <c r="B123" i="50"/>
  <c r="B122" i="50"/>
  <c r="B121" i="50"/>
  <c r="B120" i="50"/>
  <c r="B119" i="50"/>
  <c r="B118" i="50"/>
  <c r="B117" i="50"/>
  <c r="B116" i="50"/>
  <c r="B115" i="50"/>
  <c r="B114" i="50"/>
  <c r="B113" i="50"/>
  <c r="B112" i="50"/>
  <c r="B56" i="50"/>
  <c r="B75" i="50"/>
  <c r="B74" i="50"/>
  <c r="B72" i="50"/>
  <c r="B70" i="50"/>
  <c r="B69" i="50"/>
  <c r="B67" i="50"/>
  <c r="B66" i="50"/>
  <c r="B65" i="50"/>
  <c r="B64" i="50"/>
  <c r="B63" i="50"/>
  <c r="B62" i="50"/>
  <c r="B61" i="50"/>
  <c r="B60" i="50"/>
  <c r="B59" i="50"/>
  <c r="B58" i="50"/>
  <c r="B57" i="50"/>
  <c r="B104" i="50"/>
  <c r="B103" i="50"/>
  <c r="B102" i="50"/>
  <c r="B100" i="50"/>
  <c r="B98" i="50"/>
  <c r="B97" i="50"/>
  <c r="B95" i="50"/>
  <c r="B94" i="50"/>
  <c r="B93" i="50"/>
  <c r="B92" i="50"/>
  <c r="B91" i="50"/>
  <c r="B90" i="50"/>
  <c r="B89" i="50"/>
  <c r="B88" i="50"/>
  <c r="B87" i="50"/>
  <c r="B86" i="50"/>
  <c r="B85" i="50"/>
  <c r="B84" i="50"/>
  <c r="B28" i="50"/>
  <c r="B47" i="50"/>
  <c r="B46" i="50"/>
  <c r="B44" i="50"/>
  <c r="B42" i="50"/>
  <c r="B41" i="50"/>
  <c r="B39" i="50"/>
  <c r="B38" i="50"/>
  <c r="B37" i="50"/>
  <c r="B36" i="50"/>
  <c r="B35" i="50"/>
  <c r="B34" i="50"/>
  <c r="B33" i="50"/>
  <c r="B32" i="50"/>
  <c r="B31" i="50"/>
  <c r="B30" i="50"/>
  <c r="B29" i="50"/>
  <c r="G4" i="24"/>
  <c r="G4" i="29" s="1"/>
  <c r="F4" i="24"/>
  <c r="F4" i="29" s="1"/>
  <c r="E4" i="24"/>
  <c r="E4" i="29" s="1"/>
  <c r="D4" i="24"/>
  <c r="D4" i="29" s="1"/>
  <c r="C4" i="24"/>
  <c r="C4" i="29" s="1"/>
  <c r="B48" i="50"/>
  <c r="D24" i="17"/>
  <c r="B52" i="50" s="1"/>
  <c r="F24" i="17"/>
  <c r="B54" i="50" s="1"/>
  <c r="D21" i="17"/>
  <c r="F21" i="17" s="1"/>
  <c r="D23" i="17" s="1"/>
  <c r="B16" i="50"/>
  <c r="B17" i="50"/>
  <c r="B18" i="50"/>
  <c r="B19" i="50"/>
  <c r="B20" i="50"/>
  <c r="B21" i="50"/>
  <c r="B22" i="50"/>
  <c r="B23" i="50"/>
  <c r="B24" i="50"/>
  <c r="B25" i="50"/>
  <c r="B15" i="50"/>
  <c r="B14" i="50"/>
  <c r="B13" i="50"/>
  <c r="B2" i="50"/>
  <c r="B3" i="50"/>
  <c r="B4" i="50"/>
  <c r="B5" i="50"/>
  <c r="B6" i="50"/>
  <c r="B7" i="50"/>
  <c r="B8" i="50"/>
  <c r="B9" i="50"/>
  <c r="B10" i="50"/>
  <c r="B11" i="50"/>
  <c r="B12" i="50"/>
  <c r="B1" i="50"/>
  <c r="D14" i="29"/>
  <c r="E14" i="29"/>
  <c r="F14" i="29"/>
  <c r="G14" i="29"/>
  <c r="E14" i="24"/>
  <c r="F14" i="24"/>
  <c r="G14" i="24"/>
  <c r="D14" i="24"/>
  <c r="G72" i="49"/>
  <c r="G71" i="49"/>
  <c r="G70" i="49"/>
  <c r="G69" i="49"/>
  <c r="G68" i="49"/>
  <c r="G67" i="49"/>
  <c r="G66" i="49"/>
  <c r="G65" i="49"/>
  <c r="G64" i="49"/>
  <c r="G63" i="49"/>
  <c r="G62" i="49"/>
  <c r="G61" i="49"/>
  <c r="G60" i="49"/>
  <c r="G59" i="49"/>
  <c r="G58" i="49"/>
  <c r="G57" i="49"/>
  <c r="G56" i="49"/>
  <c r="G55" i="49"/>
  <c r="G54" i="49"/>
  <c r="G53" i="49"/>
  <c r="G52" i="49"/>
  <c r="G51" i="49"/>
  <c r="G50" i="49"/>
  <c r="G49" i="49"/>
  <c r="G48" i="49"/>
  <c r="G45" i="49"/>
  <c r="G44" i="49"/>
  <c r="G43" i="49"/>
  <c r="G40" i="49"/>
  <c r="G39" i="49"/>
  <c r="G38" i="49"/>
  <c r="G36" i="49"/>
  <c r="G35" i="49"/>
  <c r="G34" i="49"/>
  <c r="F32" i="49"/>
  <c r="B152" i="50" s="1"/>
  <c r="B167" i="50"/>
  <c r="E24" i="49"/>
  <c r="B165" i="50" s="1"/>
  <c r="E23" i="49"/>
  <c r="B1" i="49"/>
  <c r="G72" i="48"/>
  <c r="G71" i="48"/>
  <c r="G70" i="48"/>
  <c r="G69" i="48"/>
  <c r="G68" i="48"/>
  <c r="G67" i="48"/>
  <c r="G66" i="48"/>
  <c r="G65" i="48"/>
  <c r="G64" i="48"/>
  <c r="G63" i="48"/>
  <c r="G62" i="48"/>
  <c r="G61" i="48"/>
  <c r="G60" i="48"/>
  <c r="G59" i="48"/>
  <c r="G58" i="48"/>
  <c r="G57" i="48"/>
  <c r="G56" i="48"/>
  <c r="G55" i="48"/>
  <c r="G54" i="48"/>
  <c r="G53" i="48"/>
  <c r="G52" i="48"/>
  <c r="G51" i="48"/>
  <c r="G50" i="48"/>
  <c r="G49" i="48"/>
  <c r="G48" i="48"/>
  <c r="G45" i="48"/>
  <c r="G44" i="48"/>
  <c r="G43" i="48"/>
  <c r="G40" i="48"/>
  <c r="G39" i="48"/>
  <c r="G38" i="48"/>
  <c r="G36" i="48"/>
  <c r="G35" i="48"/>
  <c r="G34" i="48"/>
  <c r="F32" i="48"/>
  <c r="B124" i="50" s="1"/>
  <c r="B139" i="50"/>
  <c r="E24" i="48"/>
  <c r="B137" i="50" s="1"/>
  <c r="E23" i="48"/>
  <c r="B134" i="50" s="1"/>
  <c r="B1" i="48"/>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5" i="47"/>
  <c r="G44" i="47"/>
  <c r="G43" i="47"/>
  <c r="G40" i="47"/>
  <c r="G39" i="47"/>
  <c r="G38" i="47"/>
  <c r="G36" i="47"/>
  <c r="G35" i="47"/>
  <c r="G34" i="47"/>
  <c r="F32" i="47"/>
  <c r="B96" i="50" s="1"/>
  <c r="E24" i="47"/>
  <c r="B109" i="50" s="1"/>
  <c r="E23" i="47"/>
  <c r="D32" i="47" s="1"/>
  <c r="B1" i="47"/>
  <c r="G72" i="46"/>
  <c r="G71" i="46"/>
  <c r="G70" i="46"/>
  <c r="G69" i="46"/>
  <c r="G68" i="46"/>
  <c r="G67" i="46"/>
  <c r="G66" i="46"/>
  <c r="G65" i="46"/>
  <c r="G64" i="46"/>
  <c r="G63" i="46"/>
  <c r="G62" i="46"/>
  <c r="G61" i="46"/>
  <c r="G60" i="46"/>
  <c r="G59" i="46"/>
  <c r="G58" i="46"/>
  <c r="G57" i="46"/>
  <c r="G56" i="46"/>
  <c r="G55" i="46"/>
  <c r="G54" i="46"/>
  <c r="G53" i="46"/>
  <c r="G52" i="46"/>
  <c r="G51" i="46"/>
  <c r="G50" i="46"/>
  <c r="G49" i="46"/>
  <c r="G48" i="46"/>
  <c r="G45" i="46"/>
  <c r="G44" i="46"/>
  <c r="G43" i="46"/>
  <c r="G40" i="46"/>
  <c r="G39" i="46"/>
  <c r="G38" i="46"/>
  <c r="G36" i="46"/>
  <c r="G35" i="46"/>
  <c r="G34" i="46"/>
  <c r="F32" i="46"/>
  <c r="B68" i="50" s="1"/>
  <c r="B83" i="50"/>
  <c r="E24" i="46"/>
  <c r="B81" i="50" s="1"/>
  <c r="E23" i="46"/>
  <c r="B1" i="46"/>
  <c r="B162" i="50" l="1"/>
  <c r="D32" i="49"/>
  <c r="H60" i="49" s="1"/>
  <c r="G33" i="24" s="1"/>
  <c r="B111" i="50"/>
  <c r="I37" i="47"/>
  <c r="E10" i="29" s="1"/>
  <c r="F23" i="17"/>
  <c r="B51" i="50" s="1"/>
  <c r="H65" i="48"/>
  <c r="F38" i="24" s="1"/>
  <c r="I70" i="49"/>
  <c r="G43" i="29" s="1"/>
  <c r="B155" i="50"/>
  <c r="B163" i="50"/>
  <c r="B161" i="50"/>
  <c r="B157" i="50"/>
  <c r="B135" i="50"/>
  <c r="B133" i="50"/>
  <c r="B129" i="50"/>
  <c r="B106" i="50"/>
  <c r="F21" i="47"/>
  <c r="I70" i="46"/>
  <c r="D43" i="29" s="1"/>
  <c r="B76" i="50"/>
  <c r="B78" i="50"/>
  <c r="F21" i="46"/>
  <c r="D23" i="46" s="1"/>
  <c r="B49" i="50"/>
  <c r="B43" i="50"/>
  <c r="B45" i="50"/>
  <c r="H50" i="48"/>
  <c r="F23" i="24" s="1"/>
  <c r="H50" i="49"/>
  <c r="G23" i="24" s="1"/>
  <c r="H65" i="47"/>
  <c r="E38" i="24" s="1"/>
  <c r="H34" i="49"/>
  <c r="G7" i="24" s="1"/>
  <c r="H59" i="49"/>
  <c r="G32" i="24" s="1"/>
  <c r="H49" i="49"/>
  <c r="G22" i="24" s="1"/>
  <c r="I70" i="48"/>
  <c r="F43" i="29" s="1"/>
  <c r="I62" i="48"/>
  <c r="F35" i="29" s="1"/>
  <c r="I54" i="48"/>
  <c r="F27" i="29" s="1"/>
  <c r="I40" i="48"/>
  <c r="F13" i="29" s="1"/>
  <c r="I67" i="48"/>
  <c r="F40" i="29" s="1"/>
  <c r="I59" i="48"/>
  <c r="F32" i="29" s="1"/>
  <c r="I51" i="48"/>
  <c r="F24" i="29" s="1"/>
  <c r="I37" i="48"/>
  <c r="F10" i="29" s="1"/>
  <c r="I72" i="48"/>
  <c r="F45" i="29" s="1"/>
  <c r="I64" i="48"/>
  <c r="F37" i="29" s="1"/>
  <c r="I56" i="48"/>
  <c r="F29" i="29" s="1"/>
  <c r="I48" i="48"/>
  <c r="F21" i="29" s="1"/>
  <c r="I44" i="48"/>
  <c r="F17" i="29" s="1"/>
  <c r="I34" i="48"/>
  <c r="F7" i="29" s="1"/>
  <c r="I69" i="48"/>
  <c r="F42" i="29" s="1"/>
  <c r="I61" i="48"/>
  <c r="F34" i="29" s="1"/>
  <c r="I53" i="48"/>
  <c r="F26" i="29" s="1"/>
  <c r="I39" i="48"/>
  <c r="F12" i="29" s="1"/>
  <c r="I55" i="48"/>
  <c r="F28" i="29" s="1"/>
  <c r="I66" i="48"/>
  <c r="F39" i="29" s="1"/>
  <c r="I58" i="48"/>
  <c r="F31" i="29" s="1"/>
  <c r="I50" i="48"/>
  <c r="F23" i="29" s="1"/>
  <c r="I36" i="48"/>
  <c r="F9" i="29" s="1"/>
  <c r="I71" i="48"/>
  <c r="F44" i="29" s="1"/>
  <c r="I63" i="48"/>
  <c r="F36" i="29" s="1"/>
  <c r="I43" i="48"/>
  <c r="F16" i="29" s="1"/>
  <c r="I68" i="48"/>
  <c r="F41" i="29" s="1"/>
  <c r="I60" i="48"/>
  <c r="F33" i="29" s="1"/>
  <c r="I52" i="48"/>
  <c r="F25" i="29" s="1"/>
  <c r="I38" i="48"/>
  <c r="F11" i="29" s="1"/>
  <c r="I65" i="48"/>
  <c r="F38" i="29" s="1"/>
  <c r="I57" i="48"/>
  <c r="F30" i="29" s="1"/>
  <c r="I49" i="48"/>
  <c r="F22" i="29" s="1"/>
  <c r="I45" i="48"/>
  <c r="F18" i="29" s="1"/>
  <c r="I35" i="48"/>
  <c r="F8" i="29" s="1"/>
  <c r="H38" i="48"/>
  <c r="F11" i="24" s="1"/>
  <c r="H52" i="48"/>
  <c r="F25" i="24" s="1"/>
  <c r="H60" i="48"/>
  <c r="F33" i="24" s="1"/>
  <c r="H68" i="48"/>
  <c r="F41" i="24" s="1"/>
  <c r="H43" i="48"/>
  <c r="F16" i="24" s="1"/>
  <c r="H55" i="48"/>
  <c r="F28" i="24" s="1"/>
  <c r="H63" i="48"/>
  <c r="F36" i="24" s="1"/>
  <c r="H71" i="48"/>
  <c r="F44" i="24" s="1"/>
  <c r="H66" i="48"/>
  <c r="F39" i="24" s="1"/>
  <c r="H44" i="46"/>
  <c r="D17" i="24" s="1"/>
  <c r="H39" i="48"/>
  <c r="F12" i="24" s="1"/>
  <c r="H53" i="48"/>
  <c r="F26" i="24" s="1"/>
  <c r="H61" i="48"/>
  <c r="F34" i="24" s="1"/>
  <c r="H69" i="48"/>
  <c r="F42" i="24" s="1"/>
  <c r="H58" i="48"/>
  <c r="F31" i="24" s="1"/>
  <c r="H36" i="46"/>
  <c r="D9" i="24" s="1"/>
  <c r="H34" i="48"/>
  <c r="F7" i="24" s="1"/>
  <c r="H44" i="48"/>
  <c r="F17" i="24" s="1"/>
  <c r="H48" i="48"/>
  <c r="F21" i="24" s="1"/>
  <c r="H56" i="48"/>
  <c r="F29" i="24" s="1"/>
  <c r="H64" i="48"/>
  <c r="F37" i="24" s="1"/>
  <c r="H72" i="48"/>
  <c r="F45" i="24" s="1"/>
  <c r="H37" i="48"/>
  <c r="F10" i="24" s="1"/>
  <c r="H51" i="48"/>
  <c r="F24" i="24" s="1"/>
  <c r="H59" i="48"/>
  <c r="F32" i="24" s="1"/>
  <c r="H67" i="48"/>
  <c r="F40" i="24" s="1"/>
  <c r="H36" i="48"/>
  <c r="F9" i="24" s="1"/>
  <c r="H40" i="48"/>
  <c r="F13" i="24" s="1"/>
  <c r="H54" i="48"/>
  <c r="F27" i="24" s="1"/>
  <c r="H62" i="48"/>
  <c r="F35" i="24" s="1"/>
  <c r="H70" i="48"/>
  <c r="F43" i="24" s="1"/>
  <c r="H35" i="48"/>
  <c r="F8" i="24" s="1"/>
  <c r="H45" i="48"/>
  <c r="F18" i="24" s="1"/>
  <c r="H49" i="48"/>
  <c r="F22" i="24" s="1"/>
  <c r="H57" i="48"/>
  <c r="F30" i="24" s="1"/>
  <c r="I70" i="47"/>
  <c r="E43" i="29" s="1"/>
  <c r="I62" i="47"/>
  <c r="E35" i="29" s="1"/>
  <c r="I54" i="47"/>
  <c r="E27" i="29" s="1"/>
  <c r="I40" i="47"/>
  <c r="E13" i="29" s="1"/>
  <c r="I67" i="47"/>
  <c r="E40" i="29" s="1"/>
  <c r="I59" i="47"/>
  <c r="E32" i="29" s="1"/>
  <c r="I51" i="47"/>
  <c r="E24" i="29" s="1"/>
  <c r="I72" i="47"/>
  <c r="E45" i="29" s="1"/>
  <c r="I64" i="47"/>
  <c r="E37" i="29" s="1"/>
  <c r="I56" i="47"/>
  <c r="E29" i="29" s="1"/>
  <c r="I48" i="47"/>
  <c r="E21" i="29" s="1"/>
  <c r="I44" i="47"/>
  <c r="E17" i="29" s="1"/>
  <c r="I34" i="47"/>
  <c r="E7" i="29" s="1"/>
  <c r="I69" i="47"/>
  <c r="E42" i="29" s="1"/>
  <c r="I61" i="47"/>
  <c r="E34" i="29" s="1"/>
  <c r="I53" i="47"/>
  <c r="E26" i="29" s="1"/>
  <c r="I39" i="47"/>
  <c r="E12" i="29" s="1"/>
  <c r="I38" i="47"/>
  <c r="E11" i="29" s="1"/>
  <c r="I65" i="47"/>
  <c r="E38" i="29" s="1"/>
  <c r="I45" i="47"/>
  <c r="E18" i="29" s="1"/>
  <c r="I35" i="47"/>
  <c r="E8" i="29" s="1"/>
  <c r="I66" i="47"/>
  <c r="E39" i="29" s="1"/>
  <c r="I58" i="47"/>
  <c r="E31" i="29" s="1"/>
  <c r="I50" i="47"/>
  <c r="E23" i="29" s="1"/>
  <c r="I36" i="47"/>
  <c r="E9" i="29" s="1"/>
  <c r="I60" i="47"/>
  <c r="E33" i="29" s="1"/>
  <c r="I49" i="47"/>
  <c r="E22" i="29" s="1"/>
  <c r="I71" i="47"/>
  <c r="E44" i="29" s="1"/>
  <c r="I63" i="47"/>
  <c r="E36" i="29" s="1"/>
  <c r="I55" i="47"/>
  <c r="E28" i="29" s="1"/>
  <c r="I43" i="47"/>
  <c r="E16" i="29" s="1"/>
  <c r="I68" i="47"/>
  <c r="E41" i="29" s="1"/>
  <c r="I52" i="47"/>
  <c r="E25" i="29" s="1"/>
  <c r="I57" i="47"/>
  <c r="E30" i="29" s="1"/>
  <c r="H55" i="47"/>
  <c r="E28" i="24" s="1"/>
  <c r="H71" i="47"/>
  <c r="E44" i="24" s="1"/>
  <c r="H34" i="46"/>
  <c r="D7" i="24" s="1"/>
  <c r="H56" i="46"/>
  <c r="D29" i="24" s="1"/>
  <c r="H63" i="46"/>
  <c r="D36" i="24" s="1"/>
  <c r="H36" i="47"/>
  <c r="E9" i="24" s="1"/>
  <c r="H50" i="47"/>
  <c r="E23" i="24" s="1"/>
  <c r="H58" i="47"/>
  <c r="E31" i="24" s="1"/>
  <c r="H66" i="47"/>
  <c r="E39" i="24" s="1"/>
  <c r="H63" i="47"/>
  <c r="E36" i="24" s="1"/>
  <c r="H43" i="46"/>
  <c r="D16" i="24" s="1"/>
  <c r="H39" i="47"/>
  <c r="E12" i="24" s="1"/>
  <c r="H53" i="47"/>
  <c r="E26" i="24" s="1"/>
  <c r="H61" i="47"/>
  <c r="E34" i="24" s="1"/>
  <c r="H69" i="47"/>
  <c r="E42" i="24" s="1"/>
  <c r="H55" i="46"/>
  <c r="D28" i="24" s="1"/>
  <c r="H38" i="47"/>
  <c r="E11" i="24" s="1"/>
  <c r="H52" i="47"/>
  <c r="E25" i="24" s="1"/>
  <c r="H64" i="46"/>
  <c r="D37" i="24" s="1"/>
  <c r="H34" i="47"/>
  <c r="E7" i="24" s="1"/>
  <c r="H44" i="47"/>
  <c r="E17" i="24" s="1"/>
  <c r="H48" i="47"/>
  <c r="E21" i="24" s="1"/>
  <c r="H56" i="47"/>
  <c r="E29" i="24" s="1"/>
  <c r="H64" i="47"/>
  <c r="E37" i="24" s="1"/>
  <c r="H72" i="47"/>
  <c r="E45" i="24" s="1"/>
  <c r="H48" i="46"/>
  <c r="D21" i="24" s="1"/>
  <c r="H51" i="47"/>
  <c r="E24" i="24" s="1"/>
  <c r="H59" i="47"/>
  <c r="E32" i="24" s="1"/>
  <c r="H67" i="47"/>
  <c r="E40" i="24" s="1"/>
  <c r="H39" i="46"/>
  <c r="D12" i="24" s="1"/>
  <c r="H60" i="47"/>
  <c r="E33" i="24" s="1"/>
  <c r="H68" i="47"/>
  <c r="E41" i="24" s="1"/>
  <c r="H43" i="47"/>
  <c r="E16" i="24" s="1"/>
  <c r="H65" i="46"/>
  <c r="D38" i="24" s="1"/>
  <c r="H40" i="47"/>
  <c r="E13" i="24" s="1"/>
  <c r="H54" i="47"/>
  <c r="E27" i="24" s="1"/>
  <c r="H62" i="47"/>
  <c r="E35" i="24" s="1"/>
  <c r="H70" i="47"/>
  <c r="E43" i="24" s="1"/>
  <c r="H35" i="47"/>
  <c r="E8" i="24" s="1"/>
  <c r="H45" i="47"/>
  <c r="E18" i="24" s="1"/>
  <c r="H49" i="47"/>
  <c r="E22" i="24" s="1"/>
  <c r="H57" i="47"/>
  <c r="E30" i="24" s="1"/>
  <c r="I35" i="46"/>
  <c r="D8" i="29" s="1"/>
  <c r="H38" i="46"/>
  <c r="D11" i="24" s="1"/>
  <c r="I45" i="46"/>
  <c r="D18" i="29" s="1"/>
  <c r="I49" i="46"/>
  <c r="D22" i="29" s="1"/>
  <c r="H52" i="46"/>
  <c r="D25" i="24" s="1"/>
  <c r="I57" i="46"/>
  <c r="D30" i="29" s="1"/>
  <c r="H60" i="46"/>
  <c r="D33" i="24" s="1"/>
  <c r="I65" i="46"/>
  <c r="D38" i="29" s="1"/>
  <c r="H68" i="46"/>
  <c r="D41" i="24" s="1"/>
  <c r="I68" i="46"/>
  <c r="D41" i="29" s="1"/>
  <c r="H71" i="46"/>
  <c r="D44" i="24" s="1"/>
  <c r="I60" i="46"/>
  <c r="D33" i="29" s="1"/>
  <c r="I43" i="46"/>
  <c r="D16" i="29" s="1"/>
  <c r="H50" i="46"/>
  <c r="D23" i="24" s="1"/>
  <c r="I55" i="46"/>
  <c r="D28" i="29" s="1"/>
  <c r="H58" i="46"/>
  <c r="D31" i="24" s="1"/>
  <c r="I63" i="46"/>
  <c r="D36" i="29" s="1"/>
  <c r="H66" i="46"/>
  <c r="D39" i="24" s="1"/>
  <c r="I71" i="46"/>
  <c r="D44" i="29" s="1"/>
  <c r="I38" i="46"/>
  <c r="D11" i="29" s="1"/>
  <c r="I52" i="46"/>
  <c r="D25" i="29" s="1"/>
  <c r="I36" i="46"/>
  <c r="D9" i="29" s="1"/>
  <c r="I50" i="46"/>
  <c r="D23" i="29" s="1"/>
  <c r="H53" i="46"/>
  <c r="D26" i="24" s="1"/>
  <c r="I58" i="46"/>
  <c r="D31" i="29" s="1"/>
  <c r="H61" i="46"/>
  <c r="D34" i="24" s="1"/>
  <c r="I66" i="46"/>
  <c r="D39" i="29" s="1"/>
  <c r="H69" i="46"/>
  <c r="D42" i="24" s="1"/>
  <c r="I69" i="46"/>
  <c r="D42" i="29" s="1"/>
  <c r="H72" i="46"/>
  <c r="D45" i="24" s="1"/>
  <c r="I34" i="46"/>
  <c r="D7" i="29" s="1"/>
  <c r="H37" i="46"/>
  <c r="D10" i="24" s="1"/>
  <c r="I44" i="46"/>
  <c r="D17" i="29" s="1"/>
  <c r="I48" i="46"/>
  <c r="D21" i="29" s="1"/>
  <c r="H51" i="46"/>
  <c r="D24" i="24" s="1"/>
  <c r="I56" i="46"/>
  <c r="D29" i="29" s="1"/>
  <c r="H59" i="46"/>
  <c r="D32" i="24" s="1"/>
  <c r="I64" i="46"/>
  <c r="D37" i="29" s="1"/>
  <c r="H67" i="46"/>
  <c r="D40" i="24" s="1"/>
  <c r="I72" i="46"/>
  <c r="D45" i="29" s="1"/>
  <c r="I39" i="46"/>
  <c r="D12" i="29" s="1"/>
  <c r="I53" i="46"/>
  <c r="D26" i="29" s="1"/>
  <c r="I61" i="46"/>
  <c r="D34" i="29" s="1"/>
  <c r="I37" i="46"/>
  <c r="D10" i="29" s="1"/>
  <c r="H40" i="46"/>
  <c r="D13" i="24" s="1"/>
  <c r="I51" i="46"/>
  <c r="D24" i="29" s="1"/>
  <c r="H54" i="46"/>
  <c r="D27" i="24" s="1"/>
  <c r="I59" i="46"/>
  <c r="D32" i="29" s="1"/>
  <c r="H62" i="46"/>
  <c r="D35" i="24" s="1"/>
  <c r="I67" i="46"/>
  <c r="D40" i="29" s="1"/>
  <c r="H70" i="46"/>
  <c r="D43" i="24" s="1"/>
  <c r="H35" i="46"/>
  <c r="D8" i="24" s="1"/>
  <c r="I40" i="46"/>
  <c r="D13" i="29" s="1"/>
  <c r="H45" i="46"/>
  <c r="H49" i="46"/>
  <c r="D22" i="24" s="1"/>
  <c r="I54" i="46"/>
  <c r="D27" i="29" s="1"/>
  <c r="H57" i="46"/>
  <c r="D30" i="24" s="1"/>
  <c r="I62" i="46"/>
  <c r="D35" i="29" s="1"/>
  <c r="H55" i="21"/>
  <c r="H51" i="49" l="1"/>
  <c r="G24" i="24" s="1"/>
  <c r="H69" i="49"/>
  <c r="G42" i="24" s="1"/>
  <c r="H38" i="49"/>
  <c r="G11" i="24" s="1"/>
  <c r="H35" i="49"/>
  <c r="G8" i="24" s="1"/>
  <c r="H37" i="49"/>
  <c r="G10" i="24" s="1"/>
  <c r="H71" i="49"/>
  <c r="G44" i="24" s="1"/>
  <c r="H70" i="49"/>
  <c r="G43" i="24" s="1"/>
  <c r="H72" i="49"/>
  <c r="G45" i="24" s="1"/>
  <c r="H53" i="49"/>
  <c r="G26" i="24" s="1"/>
  <c r="H63" i="49"/>
  <c r="G36" i="24" s="1"/>
  <c r="H52" i="49"/>
  <c r="G25" i="24" s="1"/>
  <c r="H45" i="49"/>
  <c r="G18" i="24" s="1"/>
  <c r="H36" i="49"/>
  <c r="G9" i="24" s="1"/>
  <c r="H61" i="49"/>
  <c r="G34" i="24" s="1"/>
  <c r="H65" i="49"/>
  <c r="G38" i="24" s="1"/>
  <c r="H62" i="49"/>
  <c r="G35" i="24" s="1"/>
  <c r="H64" i="49"/>
  <c r="G37" i="24" s="1"/>
  <c r="H39" i="49"/>
  <c r="G12" i="24" s="1"/>
  <c r="H55" i="49"/>
  <c r="G28" i="24" s="1"/>
  <c r="H54" i="49"/>
  <c r="G27" i="24" s="1"/>
  <c r="H56" i="49"/>
  <c r="G29" i="24" s="1"/>
  <c r="H43" i="49"/>
  <c r="H40" i="49"/>
  <c r="G13" i="24" s="1"/>
  <c r="H48" i="49"/>
  <c r="G21" i="24" s="1"/>
  <c r="H66" i="49"/>
  <c r="G39" i="24" s="1"/>
  <c r="H57" i="49"/>
  <c r="G30" i="24" s="1"/>
  <c r="H67" i="49"/>
  <c r="G40" i="24" s="1"/>
  <c r="H44" i="49"/>
  <c r="G17" i="24" s="1"/>
  <c r="H58" i="49"/>
  <c r="G31" i="24" s="1"/>
  <c r="H68" i="49"/>
  <c r="G41" i="24" s="1"/>
  <c r="H37" i="47"/>
  <c r="E10" i="24" s="1"/>
  <c r="I17" i="21"/>
  <c r="I11" i="21"/>
  <c r="I10" i="21"/>
  <c r="I6" i="21"/>
  <c r="I9" i="21"/>
  <c r="E23" i="17"/>
  <c r="D32" i="17" s="1"/>
  <c r="F23" i="46"/>
  <c r="B79" i="50" s="1"/>
  <c r="I38" i="49"/>
  <c r="G11" i="29" s="1"/>
  <c r="I36" i="49"/>
  <c r="G9" i="29" s="1"/>
  <c r="I34" i="49"/>
  <c r="G7" i="29" s="1"/>
  <c r="I59" i="49"/>
  <c r="G32" i="29" s="1"/>
  <c r="I37" i="49"/>
  <c r="G10" i="29" s="1"/>
  <c r="I69" i="49"/>
  <c r="G42" i="29" s="1"/>
  <c r="I52" i="49"/>
  <c r="G25" i="29" s="1"/>
  <c r="I50" i="49"/>
  <c r="G23" i="29" s="1"/>
  <c r="I44" i="49"/>
  <c r="G17" i="29" s="1"/>
  <c r="I67" i="49"/>
  <c r="G40" i="29" s="1"/>
  <c r="I61" i="49"/>
  <c r="G34" i="29" s="1"/>
  <c r="I71" i="49"/>
  <c r="G44" i="29" s="1"/>
  <c r="I58" i="49"/>
  <c r="G31" i="29" s="1"/>
  <c r="I35" i="49"/>
  <c r="G8" i="29" s="1"/>
  <c r="I68" i="49"/>
  <c r="G41" i="29" s="1"/>
  <c r="I66" i="49"/>
  <c r="G39" i="29" s="1"/>
  <c r="I56" i="49"/>
  <c r="G29" i="29" s="1"/>
  <c r="I54" i="49"/>
  <c r="G27" i="29" s="1"/>
  <c r="I63" i="49"/>
  <c r="G36" i="29" s="1"/>
  <c r="I65" i="49"/>
  <c r="G38" i="29" s="1"/>
  <c r="I48" i="49"/>
  <c r="G21" i="29" s="1"/>
  <c r="I45" i="49"/>
  <c r="G18" i="29" s="1"/>
  <c r="I43" i="49"/>
  <c r="G16" i="29" s="1"/>
  <c r="I39" i="49"/>
  <c r="G12" i="29" s="1"/>
  <c r="I64" i="49"/>
  <c r="G37" i="29" s="1"/>
  <c r="I62" i="49"/>
  <c r="G35" i="29" s="1"/>
  <c r="I57" i="49"/>
  <c r="G30" i="29" s="1"/>
  <c r="I51" i="49"/>
  <c r="G24" i="29" s="1"/>
  <c r="I60" i="49"/>
  <c r="G33" i="29" s="1"/>
  <c r="I40" i="49"/>
  <c r="G13" i="29" s="1"/>
  <c r="I49" i="49"/>
  <c r="G22" i="29" s="1"/>
  <c r="I55" i="49"/>
  <c r="G28" i="29" s="1"/>
  <c r="I53" i="49"/>
  <c r="G26" i="29" s="1"/>
  <c r="I72" i="49"/>
  <c r="G45" i="29" s="1"/>
  <c r="H46" i="49"/>
  <c r="G16" i="24"/>
  <c r="B101" i="50"/>
  <c r="D23" i="47"/>
  <c r="F23" i="47" s="1"/>
  <c r="B73" i="50"/>
  <c r="B77" i="50"/>
  <c r="H46" i="46"/>
  <c r="D18" i="24"/>
  <c r="H46" i="48"/>
  <c r="I46" i="47"/>
  <c r="H73" i="48"/>
  <c r="I73" i="48"/>
  <c r="I46" i="48"/>
  <c r="H73" i="46"/>
  <c r="H46" i="47"/>
  <c r="I73" i="47"/>
  <c r="H73" i="47"/>
  <c r="I46" i="46"/>
  <c r="I73" i="46"/>
  <c r="B55" i="21"/>
  <c r="F32" i="17"/>
  <c r="B40" i="50" s="1"/>
  <c r="H73" i="49" l="1"/>
  <c r="I46" i="49"/>
  <c r="I73" i="49"/>
  <c r="B105" i="50"/>
  <c r="B107" i="50"/>
  <c r="O1" i="45"/>
  <c r="I29" i="21" l="1"/>
  <c r="G60" i="17" s="1"/>
  <c r="I28" i="21"/>
  <c r="I24" i="21"/>
  <c r="I37" i="21"/>
  <c r="I36" i="21"/>
  <c r="I32" i="21"/>
  <c r="G63" i="17" s="1"/>
  <c r="I21" i="21"/>
  <c r="G52" i="17" s="1"/>
  <c r="I30" i="21"/>
  <c r="G61" i="17" s="1"/>
  <c r="I40" i="21"/>
  <c r="I39" i="21"/>
  <c r="I38" i="21"/>
  <c r="I23" i="21"/>
  <c r="I22" i="21"/>
  <c r="I31" i="21"/>
  <c r="G62" i="17" s="1"/>
  <c r="I20" i="21"/>
  <c r="G51" i="17" s="1"/>
  <c r="I35" i="21"/>
  <c r="G66" i="17" s="1"/>
  <c r="I27" i="21"/>
  <c r="G58" i="17" s="1"/>
  <c r="I19" i="21"/>
  <c r="I34" i="21"/>
  <c r="I26" i="21"/>
  <c r="I18" i="21"/>
  <c r="I41" i="21"/>
  <c r="I33" i="21"/>
  <c r="G64" i="17" s="1"/>
  <c r="I25" i="21"/>
  <c r="G56" i="17" s="1"/>
  <c r="G49" i="17"/>
  <c r="G50" i="17"/>
  <c r="G53" i="17"/>
  <c r="G54" i="17"/>
  <c r="G55" i="17"/>
  <c r="G57" i="17"/>
  <c r="G59" i="17"/>
  <c r="G65" i="17"/>
  <c r="G67" i="17"/>
  <c r="G68" i="17"/>
  <c r="G69" i="17"/>
  <c r="G70" i="17"/>
  <c r="G71" i="17"/>
  <c r="G72" i="17"/>
  <c r="G48" i="17"/>
  <c r="G35" i="17"/>
  <c r="G38" i="17"/>
  <c r="G40" i="17"/>
  <c r="B50" i="50"/>
  <c r="I13" i="21"/>
  <c r="I7" i="21"/>
  <c r="G36" i="17" s="1"/>
  <c r="I5" i="21" l="1"/>
  <c r="G34" i="17" s="1"/>
  <c r="B1" i="40"/>
  <c r="A1" i="6" l="1"/>
  <c r="A1" i="21"/>
  <c r="B52" i="21"/>
  <c r="C7" i="21"/>
  <c r="F6" i="21"/>
  <c r="F7" i="21" s="1"/>
  <c r="D6" i="21"/>
  <c r="D7" i="21" s="1"/>
  <c r="C6" i="21"/>
  <c r="H5" i="21"/>
  <c r="H6" i="21" s="1"/>
  <c r="H7" i="21" s="1"/>
  <c r="G5" i="21"/>
  <c r="G7" i="21" s="1"/>
  <c r="F5" i="21"/>
  <c r="B1" i="30"/>
  <c r="B1" i="29"/>
  <c r="B1" i="24"/>
  <c r="B1" i="17"/>
  <c r="G6" i="21" l="1"/>
  <c r="C14" i="29" l="1"/>
  <c r="C14" i="24"/>
  <c r="E24" i="17"/>
  <c r="B53" i="50" s="1"/>
  <c r="H53" i="21"/>
  <c r="B55" i="50" l="1"/>
  <c r="I37" i="17"/>
  <c r="H19" i="29" l="1"/>
  <c r="J19" i="29" s="1"/>
  <c r="H14" i="29" l="1"/>
  <c r="J14" i="29" s="1"/>
  <c r="I34" i="17" l="1"/>
  <c r="I49" i="17" l="1"/>
  <c r="I50" i="17"/>
  <c r="I51" i="17"/>
  <c r="I52" i="17"/>
  <c r="I53" i="17"/>
  <c r="I54" i="17"/>
  <c r="I55" i="17"/>
  <c r="I56" i="17"/>
  <c r="I57" i="17"/>
  <c r="I58" i="17"/>
  <c r="I59" i="17"/>
  <c r="I60" i="17"/>
  <c r="I61" i="17"/>
  <c r="I62" i="17"/>
  <c r="I63" i="17"/>
  <c r="I64" i="17"/>
  <c r="I65" i="17"/>
  <c r="I66" i="17"/>
  <c r="I67" i="17"/>
  <c r="I68" i="17"/>
  <c r="I69" i="17"/>
  <c r="I70" i="17"/>
  <c r="I71" i="17"/>
  <c r="I72" i="17"/>
  <c r="I48" i="17"/>
  <c r="I35" i="17"/>
  <c r="I36" i="17"/>
  <c r="I38" i="17"/>
  <c r="I40" i="17"/>
  <c r="E34" i="21" l="1"/>
  <c r="E22" i="21"/>
  <c r="E21" i="21"/>
  <c r="E30" i="21"/>
  <c r="E41" i="21"/>
  <c r="E39" i="21"/>
  <c r="E23" i="21"/>
  <c r="C52" i="21"/>
  <c r="D52" i="21"/>
  <c r="B53" i="21"/>
  <c r="C53" i="21"/>
  <c r="D53" i="21"/>
  <c r="B54" i="21"/>
  <c r="C54" i="21" l="1"/>
  <c r="C55" i="21"/>
  <c r="I14" i="21" s="1"/>
  <c r="D54" i="21"/>
  <c r="D55" i="21"/>
  <c r="I15" i="21" s="1"/>
  <c r="H14" i="24"/>
  <c r="J14" i="24" s="1"/>
  <c r="C15" i="21" l="1"/>
  <c r="B14" i="21"/>
  <c r="G15" i="21"/>
  <c r="H15" i="21" s="1"/>
  <c r="F14" i="21"/>
  <c r="D13" i="21"/>
  <c r="B13" i="21"/>
  <c r="G43" i="17" s="1"/>
  <c r="E13" i="21"/>
  <c r="E10" i="21"/>
  <c r="B10" i="21"/>
  <c r="G39" i="17" l="1"/>
  <c r="I39" i="17" s="1"/>
  <c r="G44" i="17"/>
  <c r="I44" i="17" s="1"/>
  <c r="I43" i="17"/>
  <c r="H34" i="17"/>
  <c r="C7" i="24" s="1"/>
  <c r="H71" i="17"/>
  <c r="C44" i="24" s="1"/>
  <c r="H65" i="17"/>
  <c r="C38" i="24" s="1"/>
  <c r="H57" i="17"/>
  <c r="C30" i="24" s="1"/>
  <c r="H68" i="17"/>
  <c r="C41" i="24" s="1"/>
  <c r="H60" i="17"/>
  <c r="C33" i="24" s="1"/>
  <c r="H52" i="17"/>
  <c r="C25" i="24" s="1"/>
  <c r="H55" i="17"/>
  <c r="C28" i="24" s="1"/>
  <c r="H58" i="17"/>
  <c r="C31" i="24" s="1"/>
  <c r="H50" i="17"/>
  <c r="C23" i="24" s="1"/>
  <c r="H59" i="17"/>
  <c r="C32" i="24" s="1"/>
  <c r="H70" i="17"/>
  <c r="C43" i="24" s="1"/>
  <c r="H69" i="17"/>
  <c r="C42" i="24" s="1"/>
  <c r="H72" i="17"/>
  <c r="C45" i="24" s="1"/>
  <c r="H61" i="17"/>
  <c r="C34" i="24" s="1"/>
  <c r="H53" i="17"/>
  <c r="C26" i="24" s="1"/>
  <c r="H64" i="17"/>
  <c r="C37" i="24" s="1"/>
  <c r="H56" i="17"/>
  <c r="C29" i="24" s="1"/>
  <c r="H63" i="17"/>
  <c r="C36" i="24" s="1"/>
  <c r="H66" i="17"/>
  <c r="C39" i="24" s="1"/>
  <c r="H54" i="17"/>
  <c r="C27" i="24" s="1"/>
  <c r="H67" i="17"/>
  <c r="C40" i="24" s="1"/>
  <c r="H51" i="17"/>
  <c r="C24" i="24" s="1"/>
  <c r="H62" i="17"/>
  <c r="C35" i="24" s="1"/>
  <c r="H49" i="17"/>
  <c r="C22" i="24" s="1"/>
  <c r="H48" i="17"/>
  <c r="D14" i="21"/>
  <c r="G14" i="21"/>
  <c r="H14" i="21" s="1"/>
  <c r="F13" i="21"/>
  <c r="E15" i="21"/>
  <c r="G13" i="21"/>
  <c r="H13" i="21" s="1"/>
  <c r="C13" i="21"/>
  <c r="C14" i="21"/>
  <c r="E14" i="21"/>
  <c r="B15" i="21"/>
  <c r="F15" i="21"/>
  <c r="D15" i="21"/>
  <c r="H36" i="17"/>
  <c r="C9" i="24" s="1"/>
  <c r="G45" i="17" l="1"/>
  <c r="I45" i="17" s="1"/>
  <c r="H36" i="24"/>
  <c r="H25" i="24"/>
  <c r="H35" i="24"/>
  <c r="H39" i="24"/>
  <c r="H26" i="24"/>
  <c r="H43" i="24"/>
  <c r="H28" i="24"/>
  <c r="H30" i="24"/>
  <c r="H32" i="24"/>
  <c r="C21" i="24"/>
  <c r="H21" i="24" s="1"/>
  <c r="H40" i="24"/>
  <c r="H29" i="24"/>
  <c r="H45" i="24"/>
  <c r="H23" i="24"/>
  <c r="H33" i="24"/>
  <c r="H44" i="24"/>
  <c r="H24" i="24"/>
  <c r="H34" i="24"/>
  <c r="H38" i="24"/>
  <c r="H22" i="24"/>
  <c r="H27" i="24"/>
  <c r="H37" i="24"/>
  <c r="H42" i="24"/>
  <c r="H31" i="24"/>
  <c r="H41" i="24"/>
  <c r="H73" i="17"/>
  <c r="H9" i="24"/>
  <c r="C22" i="29" l="1"/>
  <c r="C31" i="29"/>
  <c r="C41" i="29"/>
  <c r="C25" i="29"/>
  <c r="C32" i="29"/>
  <c r="C42" i="29"/>
  <c r="C26" i="29"/>
  <c r="C43" i="29"/>
  <c r="C27" i="29"/>
  <c r="C37" i="29"/>
  <c r="C44" i="29"/>
  <c r="C28" i="29"/>
  <c r="C38" i="29"/>
  <c r="C39" i="29"/>
  <c r="C23" i="29"/>
  <c r="C33" i="29"/>
  <c r="C40" i="29"/>
  <c r="C24" i="29"/>
  <c r="C34" i="29"/>
  <c r="C45" i="29"/>
  <c r="C29" i="29"/>
  <c r="C36" i="29"/>
  <c r="C21" i="29"/>
  <c r="C30" i="29"/>
  <c r="C35" i="29"/>
  <c r="C8" i="29"/>
  <c r="C13" i="29"/>
  <c r="C16" i="29"/>
  <c r="C10" i="29"/>
  <c r="C12" i="29"/>
  <c r="C17" i="29"/>
  <c r="C11" i="29"/>
  <c r="C9" i="29"/>
  <c r="C7" i="29"/>
  <c r="C18" i="29"/>
  <c r="H46" i="24"/>
  <c r="H47" i="24"/>
  <c r="J47" i="24" s="1"/>
  <c r="H38" i="17"/>
  <c r="C11" i="24" s="1"/>
  <c r="C46" i="24" l="1"/>
  <c r="J46" i="24"/>
  <c r="I73" i="17"/>
  <c r="H7" i="29"/>
  <c r="J7" i="29" s="1"/>
  <c r="H12" i="29"/>
  <c r="J12" i="29" s="1"/>
  <c r="H42" i="29"/>
  <c r="H38" i="29"/>
  <c r="H29" i="29"/>
  <c r="H23" i="29"/>
  <c r="H22" i="29"/>
  <c r="H37" i="29"/>
  <c r="H33" i="29"/>
  <c r="H40" i="29"/>
  <c r="H31" i="29"/>
  <c r="H35" i="29"/>
  <c r="H26" i="29"/>
  <c r="H28" i="29"/>
  <c r="H24" i="29"/>
  <c r="H34" i="29"/>
  <c r="H25" i="29"/>
  <c r="H21" i="29"/>
  <c r="H30" i="29"/>
  <c r="H27" i="29"/>
  <c r="H45" i="29"/>
  <c r="H9" i="29"/>
  <c r="H41" i="29"/>
  <c r="H39" i="29"/>
  <c r="H43" i="29"/>
  <c r="H44" i="29"/>
  <c r="H36" i="29"/>
  <c r="H32" i="29"/>
  <c r="H37" i="17"/>
  <c r="C10" i="24" s="1"/>
  <c r="H7" i="24"/>
  <c r="J7" i="24" s="1"/>
  <c r="H45" i="17"/>
  <c r="C18" i="24" s="1"/>
  <c r="H40" i="17"/>
  <c r="C13" i="24" s="1"/>
  <c r="H35" i="17"/>
  <c r="C8" i="24" s="1"/>
  <c r="H44" i="17"/>
  <c r="C17" i="24" s="1"/>
  <c r="H39" i="17"/>
  <c r="C12" i="24" s="1"/>
  <c r="H43" i="17"/>
  <c r="C16" i="24" s="1"/>
  <c r="H47" i="29" l="1"/>
  <c r="J47" i="29" s="1"/>
  <c r="H46" i="29"/>
  <c r="H17" i="29"/>
  <c r="H18" i="29"/>
  <c r="H11" i="29"/>
  <c r="J11" i="29" s="1"/>
  <c r="H16" i="29"/>
  <c r="H8" i="29"/>
  <c r="J8" i="29" s="1"/>
  <c r="H13" i="29"/>
  <c r="J13" i="29" s="1"/>
  <c r="H10" i="29"/>
  <c r="J10" i="29" s="1"/>
  <c r="H11" i="24"/>
  <c r="J11" i="24" s="1"/>
  <c r="H17" i="24"/>
  <c r="H18" i="24"/>
  <c r="H16" i="24"/>
  <c r="H46" i="17"/>
  <c r="I46" i="17"/>
  <c r="H13" i="24"/>
  <c r="J13" i="24" s="1"/>
  <c r="H8" i="24"/>
  <c r="J8" i="24" s="1"/>
  <c r="H10" i="24"/>
  <c r="J10" i="24" s="1"/>
  <c r="C46" i="29" l="1"/>
  <c r="J46" i="29"/>
  <c r="B27" i="50" s="1"/>
  <c r="B3" i="29"/>
  <c r="H12" i="24"/>
  <c r="J12" i="24" s="1"/>
  <c r="H19" i="24"/>
  <c r="J19" i="24" s="1"/>
  <c r="B26" i="50" l="1"/>
  <c r="B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Grosenheider</author>
    <author>Emily Ohde</author>
  </authors>
  <commentList>
    <comment ref="B8" authorId="0" shapeId="0" xr:uid="{7B07A7B3-A9DD-40F0-A010-5B95A6A1FAE3}">
      <text>
        <r>
          <rPr>
            <sz val="7"/>
            <color indexed="81"/>
            <rFont val="Arial"/>
            <family val="2"/>
          </rPr>
          <t>SOx emission factor given is multiplied by the sulfur content in the fuel (in percent) in the Engine (n) tabs.</t>
        </r>
      </text>
    </comment>
    <comment ref="C8" authorId="0" shapeId="0" xr:uid="{00000000-0006-0000-0C00-000001000000}">
      <text>
        <r>
          <rPr>
            <sz val="7"/>
            <color indexed="81"/>
            <rFont val="Arial"/>
            <family val="2"/>
          </rPr>
          <t>SOx emission factor given is multiplied by the sulfur content in the fuel (in percent) in the Engine (n) tabs.</t>
        </r>
      </text>
    </comment>
    <comment ref="D8" authorId="0" shapeId="0" xr:uid="{00000000-0006-0000-0C00-000002000000}">
      <text>
        <r>
          <rPr>
            <sz val="7"/>
            <color indexed="81"/>
            <rFont val="Arial"/>
            <family val="2"/>
          </rPr>
          <t>SOx emission factor given is multiplied by the sulfur content in the fuel (in percent) in the Engine (n) tabs.</t>
        </r>
      </text>
    </comment>
    <comment ref="I8" authorId="1" shapeId="0" xr:uid="{4CB42AF4-7D11-44F7-8237-993A4D704820}">
      <text>
        <r>
          <rPr>
            <sz val="8"/>
            <color indexed="81"/>
            <rFont val="Arial"/>
            <family val="2"/>
          </rPr>
          <t xml:space="preserve">SOx emission factor given is multiplied by the sulfur content in fuel in the Engine (n) tabs. See footnote 4. </t>
        </r>
      </text>
    </comment>
  </commentList>
</comments>
</file>

<file path=xl/sharedStrings.xml><?xml version="1.0" encoding="utf-8"?>
<sst xmlns="http://schemas.openxmlformats.org/spreadsheetml/2006/main" count="1339" uniqueCount="554">
  <si>
    <t>Instructions</t>
  </si>
  <si>
    <t>Blue</t>
  </si>
  <si>
    <t>Enter information for your facility in the blue boxes.</t>
  </si>
  <si>
    <t>Orange</t>
  </si>
  <si>
    <t>White</t>
  </si>
  <si>
    <t>Green</t>
  </si>
  <si>
    <t>Yellow</t>
  </si>
  <si>
    <t>Assistance</t>
  </si>
  <si>
    <t>Call:</t>
  </si>
  <si>
    <t>651/282-6143</t>
  </si>
  <si>
    <t>Email:</t>
  </si>
  <si>
    <t>smallbizhelp.pca@state.mn.us</t>
  </si>
  <si>
    <t>800/657-3938</t>
  </si>
  <si>
    <t>https://www.pca.state.mn.us/sites/default/files/aq-f1-gi09d.doc</t>
  </si>
  <si>
    <t>Yes</t>
  </si>
  <si>
    <t>No</t>
  </si>
  <si>
    <t>a</t>
  </si>
  <si>
    <t>b</t>
  </si>
  <si>
    <t>c</t>
  </si>
  <si>
    <t>d</t>
  </si>
  <si>
    <t>e</t>
  </si>
  <si>
    <t>Pollutant</t>
  </si>
  <si>
    <t>Emission Factor</t>
  </si>
  <si>
    <t>Potential Emissions</t>
  </si>
  <si>
    <t>Actual Emissions</t>
  </si>
  <si>
    <t>(hr/yr)</t>
  </si>
  <si>
    <t>(ton/yr)</t>
  </si>
  <si>
    <t>(tons/yr)</t>
  </si>
  <si>
    <t>PM</t>
  </si>
  <si>
    <t>PM10</t>
  </si>
  <si>
    <t>SOx</t>
  </si>
  <si>
    <t>NOx</t>
  </si>
  <si>
    <t>VOC</t>
  </si>
  <si>
    <t>CO</t>
  </si>
  <si>
    <t>Lead</t>
  </si>
  <si>
    <t>Benzene</t>
  </si>
  <si>
    <t>Formaldehyde</t>
  </si>
  <si>
    <t>Hexane</t>
  </si>
  <si>
    <t>Naphthalene</t>
  </si>
  <si>
    <t>Toluene</t>
  </si>
  <si>
    <t>HAP total</t>
  </si>
  <si>
    <t>by pollutant</t>
  </si>
  <si>
    <t>Hazardous Air Pollutants</t>
  </si>
  <si>
    <t>Greenhouse Gas Emissions</t>
  </si>
  <si>
    <t>Criteria Air Pollutants</t>
  </si>
  <si>
    <t>n/a</t>
  </si>
  <si>
    <t>Permitting Threshold</t>
  </si>
  <si>
    <t>HAP Indiv. Max</t>
  </si>
  <si>
    <t>Opt. D Permit Limits</t>
  </si>
  <si>
    <t>no</t>
  </si>
  <si>
    <t>yes</t>
  </si>
  <si>
    <t>Info about Air Registration Permits</t>
  </si>
  <si>
    <t xml:space="preserve">More Information </t>
  </si>
  <si>
    <t>Forms</t>
  </si>
  <si>
    <t>Source: 40 CFR 98, Subp. C, Table C-1 and C-2</t>
  </si>
  <si>
    <t>Stationary Reciprocating Internal Combustion Engines</t>
  </si>
  <si>
    <t>RECIPROCATING Natural Gas 4-Stroke  Rich-Burn (lb/MMBtu)</t>
  </si>
  <si>
    <t>RECIPROCATING Natural Gas 4-Stroke Lean-Burn (lb/MMBtu)</t>
  </si>
  <si>
    <t>source</t>
  </si>
  <si>
    <t>AP42 Chpt 3.3 (10/96)</t>
  </si>
  <si>
    <t>AP42 Chpt 3.4 (10/96)</t>
  </si>
  <si>
    <t>AP42 Chpt 3.1 (4/00)</t>
  </si>
  <si>
    <t>SOx emission factor given is multiplied by the sulfur content in the fuel (in percent) in the Engine (n) tabs.</t>
  </si>
  <si>
    <t>Source for Emission Factors</t>
  </si>
  <si>
    <t>NATURAL GAS</t>
  </si>
  <si>
    <t>DISTILLATE OIL 2</t>
  </si>
  <si>
    <t>GASOLINE</t>
  </si>
  <si>
    <t>An average brake-specific fuel consumption of 7,000 Btu/hp-hr was assumed to convert from lb/MMBtu to lb/hp-hr (see AP42 Chpt 3.3).</t>
  </si>
  <si>
    <t>7000 btu/hp*hr x GHG EF (lb/E6BTU)= lb GHG/hp*hr</t>
  </si>
  <si>
    <t xml:space="preserve"> </t>
  </si>
  <si>
    <t>Engine and Fuel Type</t>
  </si>
  <si>
    <t>Engine Use</t>
  </si>
  <si>
    <t>PM2.5</t>
  </si>
  <si>
    <t>Engine 1</t>
  </si>
  <si>
    <t>Engine 2</t>
  </si>
  <si>
    <t>Engine 3</t>
  </si>
  <si>
    <t>Engine 4</t>
  </si>
  <si>
    <t>Engine 5</t>
  </si>
  <si>
    <t>Number of hours operated per 12 months</t>
  </si>
  <si>
    <t xml:space="preserve">All particulate is assumed to be less than or equal to 1 micrometer in size. </t>
  </si>
  <si>
    <t>AP42 Chpt 3.2-2 (7/00)</t>
  </si>
  <si>
    <t>AP42 Chpt 3.2-3 (7/00)</t>
  </si>
  <si>
    <t>Fuel</t>
  </si>
  <si>
    <t>Ethylbenzene</t>
  </si>
  <si>
    <t>Xylene</t>
  </si>
  <si>
    <t>Acetaldehyde</t>
  </si>
  <si>
    <t>HAPs from Diesel&lt;600HP</t>
  </si>
  <si>
    <t>Acrolein</t>
  </si>
  <si>
    <t>40 CFR 98, subp. C, Table C-1 and C-2</t>
  </si>
  <si>
    <t>Routine</t>
  </si>
  <si>
    <t>Emergency</t>
  </si>
  <si>
    <t>Reciprocating - diesel</t>
  </si>
  <si>
    <t>Reciprocating - gasoline</t>
  </si>
  <si>
    <t>Turbine - natural gas</t>
  </si>
  <si>
    <t>(lbs/MMBtu)</t>
  </si>
  <si>
    <t>(1 lb = 0.453592 kg)</t>
  </si>
  <si>
    <t>Applicability of a NESHAP does not determine if a permit is required.</t>
  </si>
  <si>
    <t>1,3-butadiene</t>
  </si>
  <si>
    <t>1,1,2,2-tetrachloroethane</t>
  </si>
  <si>
    <t>1,1,2-trichloroethane</t>
  </si>
  <si>
    <t>1,3-dichloropropene</t>
  </si>
  <si>
    <t>PAH</t>
  </si>
  <si>
    <t>Biphenyl</t>
  </si>
  <si>
    <t>Methanol</t>
  </si>
  <si>
    <t>Chlorobenzene</t>
  </si>
  <si>
    <t>Chloroform</t>
  </si>
  <si>
    <t>Ethylene dibromide</t>
  </si>
  <si>
    <t>Methylene chloride</t>
  </si>
  <si>
    <t>Phenol</t>
  </si>
  <si>
    <t>Styrene</t>
  </si>
  <si>
    <t>Tetrachloroethane</t>
  </si>
  <si>
    <t>Vinyl chloride</t>
  </si>
  <si>
    <t>Carbon tetrachloride</t>
  </si>
  <si>
    <t>RECIPROCATING Natural Gas 2-Stroke Lean-Burn (lb/MMBtu)</t>
  </si>
  <si>
    <t>Recip - nat gas 2-stroke lean burn</t>
  </si>
  <si>
    <t>Recip - nat gas 4-stroke lean burn</t>
  </si>
  <si>
    <t>Recip - nat gas 4-stroke rich burn</t>
  </si>
  <si>
    <t>Stack Height Determination</t>
  </si>
  <si>
    <t>Required if:</t>
  </si>
  <si>
    <t>3) Installing any permit-required engine, including emergency engines.</t>
  </si>
  <si>
    <t>How:</t>
  </si>
  <si>
    <t>https://www.pca.state.mn.us/sites/default/files/aq-f1-ec03.doc</t>
  </si>
  <si>
    <t>https://www.epa.gov/scram/air-quality-dispersion-modeling-screening-models#screen3</t>
  </si>
  <si>
    <t>https://www.pca.state.mn.us/air/engines</t>
  </si>
  <si>
    <t xml:space="preserve">See input requirements and instructions on modeling more than one engine on the MPCA Form EC-03. </t>
  </si>
  <si>
    <t>Resource:</t>
  </si>
  <si>
    <t>Your emission totals are in green boxes. These are automatically calculated based on information entered in the blue boxes.</t>
  </si>
  <si>
    <t>Color key</t>
  </si>
  <si>
    <t>Choose Y/N</t>
  </si>
  <si>
    <t>Air emissions from internal combustion engines</t>
  </si>
  <si>
    <t>Engine and fuel type</t>
  </si>
  <si>
    <t>Engine use</t>
  </si>
  <si>
    <t>Sulfur content of the fuel</t>
  </si>
  <si>
    <t>Internal combustion engine potential and actual emissions</t>
  </si>
  <si>
    <t>Orange boxes are filled with standard values. You may change them if you have test results that provide specific data for your site.</t>
  </si>
  <si>
    <t xml:space="preserve">Do not change the values or formulas in white boxes. White boxes contain intermediate calculations for determining emissions.  </t>
  </si>
  <si>
    <t>Blue text</t>
  </si>
  <si>
    <t>Actual emissions: Engines</t>
  </si>
  <si>
    <t>Potential emissions: Engines</t>
  </si>
  <si>
    <t>Data Validation</t>
  </si>
  <si>
    <t>Engines</t>
  </si>
  <si>
    <t>Response</t>
  </si>
  <si>
    <t>General selection</t>
  </si>
  <si>
    <t>Is a permit required?</t>
  </si>
  <si>
    <t>see engine emission factors tab</t>
  </si>
  <si>
    <t xml:space="preserve">▪ </t>
  </si>
  <si>
    <t>Modification is a physical change or change in operations at an existing facility that increases the amount of an air pollutant or results in the emission of a new air pollutant.</t>
  </si>
  <si>
    <t>Reconstruction is the replacement of components at an existing facility that exceeds 50% of the cost required to build a new facility.</t>
  </si>
  <si>
    <t>The full definitions of construction and modification are available at:</t>
  </si>
  <si>
    <t>40 CFR § 60.2</t>
  </si>
  <si>
    <t xml:space="preserve">and reconstruction at: </t>
  </si>
  <si>
    <t>40 CFR § 60.15</t>
  </si>
  <si>
    <t>Construction, modification, or reconstruction</t>
  </si>
  <si>
    <t>New source performance standards (NSPS)</t>
  </si>
  <si>
    <t>Federal standards can determine whether you need a permit and what requirements you must follow. You may have to follow federal standard requirements in addition to state permit requirements. Below are some of the common federal standards that affect engines.</t>
  </si>
  <si>
    <t xml:space="preserve">Online at the MPCA website at: </t>
  </si>
  <si>
    <r>
      <t>CO</t>
    </r>
    <r>
      <rPr>
        <vertAlign val="subscript"/>
        <sz val="10"/>
        <rFont val="Arial"/>
        <family val="2"/>
      </rPr>
      <t xml:space="preserve">2 </t>
    </r>
    <r>
      <rPr>
        <vertAlign val="superscript"/>
        <sz val="10"/>
        <rFont val="Arial"/>
        <family val="2"/>
      </rPr>
      <t>2</t>
    </r>
  </si>
  <si>
    <r>
      <t>CH</t>
    </r>
    <r>
      <rPr>
        <vertAlign val="subscript"/>
        <sz val="10"/>
        <rFont val="Arial"/>
        <family val="2"/>
      </rPr>
      <t xml:space="preserve">4 </t>
    </r>
    <r>
      <rPr>
        <vertAlign val="superscript"/>
        <sz val="10"/>
        <rFont val="Arial"/>
        <family val="2"/>
      </rPr>
      <t>2</t>
    </r>
  </si>
  <si>
    <r>
      <t>N</t>
    </r>
    <r>
      <rPr>
        <vertAlign val="subscript"/>
        <sz val="10"/>
        <rFont val="Arial"/>
        <family val="2"/>
      </rPr>
      <t>2</t>
    </r>
    <r>
      <rPr>
        <sz val="10"/>
        <rFont val="Arial"/>
        <family val="2"/>
      </rPr>
      <t>O</t>
    </r>
    <r>
      <rPr>
        <vertAlign val="superscript"/>
        <sz val="10"/>
        <rFont val="Arial"/>
        <family val="2"/>
      </rPr>
      <t xml:space="preserve"> 2</t>
    </r>
  </si>
  <si>
    <r>
      <t>Greenhouse Gas Emissions</t>
    </r>
    <r>
      <rPr>
        <sz val="11"/>
        <color theme="1"/>
        <rFont val="Arial"/>
        <family val="2"/>
      </rPr>
      <t xml:space="preserve"> </t>
    </r>
  </si>
  <si>
    <r>
      <t>CO</t>
    </r>
    <r>
      <rPr>
        <vertAlign val="subscript"/>
        <sz val="9"/>
        <rFont val="Arial"/>
        <family val="2"/>
      </rPr>
      <t>2</t>
    </r>
  </si>
  <si>
    <r>
      <t>CH</t>
    </r>
    <r>
      <rPr>
        <vertAlign val="subscript"/>
        <sz val="9"/>
        <rFont val="Arial"/>
        <family val="2"/>
      </rPr>
      <t>4</t>
    </r>
  </si>
  <si>
    <r>
      <t>N</t>
    </r>
    <r>
      <rPr>
        <vertAlign val="subscript"/>
        <sz val="9"/>
        <rFont val="Arial"/>
        <family val="2"/>
      </rPr>
      <t>2</t>
    </r>
    <r>
      <rPr>
        <sz val="9"/>
        <rFont val="Arial"/>
        <family val="2"/>
      </rPr>
      <t>O</t>
    </r>
  </si>
  <si>
    <r>
      <t>GHG total CO</t>
    </r>
    <r>
      <rPr>
        <vertAlign val="subscript"/>
        <sz val="9"/>
        <color theme="1"/>
        <rFont val="Arial"/>
        <family val="2"/>
      </rPr>
      <t>2</t>
    </r>
    <r>
      <rPr>
        <sz val="9"/>
        <color theme="1"/>
        <rFont val="Arial"/>
        <family val="2"/>
      </rPr>
      <t>e</t>
    </r>
  </si>
  <si>
    <r>
      <t>Greenhouse Gas Emissions</t>
    </r>
    <r>
      <rPr>
        <sz val="12"/>
        <color theme="1"/>
        <rFont val="Arial"/>
        <family val="2"/>
      </rPr>
      <t xml:space="preserve"> </t>
    </r>
  </si>
  <si>
    <r>
      <t>CO</t>
    </r>
    <r>
      <rPr>
        <vertAlign val="subscript"/>
        <sz val="10"/>
        <rFont val="Arial"/>
        <family val="2"/>
      </rPr>
      <t>2</t>
    </r>
  </si>
  <si>
    <r>
      <t>CH</t>
    </r>
    <r>
      <rPr>
        <vertAlign val="subscript"/>
        <sz val="10"/>
        <rFont val="Arial"/>
        <family val="2"/>
      </rPr>
      <t>4</t>
    </r>
  </si>
  <si>
    <r>
      <t>N</t>
    </r>
    <r>
      <rPr>
        <vertAlign val="subscript"/>
        <sz val="10"/>
        <rFont val="Arial"/>
        <family val="2"/>
      </rPr>
      <t>2</t>
    </r>
    <r>
      <rPr>
        <sz val="10"/>
        <rFont val="Arial"/>
        <family val="2"/>
      </rPr>
      <t>O</t>
    </r>
  </si>
  <si>
    <r>
      <t>GHG Total CO</t>
    </r>
    <r>
      <rPr>
        <vertAlign val="subscript"/>
        <sz val="10"/>
        <color theme="1"/>
        <rFont val="Arial"/>
        <family val="2"/>
      </rPr>
      <t>2</t>
    </r>
    <r>
      <rPr>
        <sz val="10"/>
        <color theme="1"/>
        <rFont val="Arial"/>
        <family val="2"/>
      </rPr>
      <t>e</t>
    </r>
  </si>
  <si>
    <t>Permits and requirements</t>
  </si>
  <si>
    <t>Use the EPA SCREEN3 program to enter engine and site-specific information to identify the necessary stack height for the engine at:</t>
  </si>
  <si>
    <t>Engine emission factors</t>
  </si>
  <si>
    <t>We provide free, confidential, environmental assistance to small businesses. For more information:</t>
  </si>
  <si>
    <t>https://www.pca.state.mn.us/smallbizhelp</t>
  </si>
  <si>
    <r>
      <t xml:space="preserve">2) There are existing non-emergency engines installed after January 1, 2000, </t>
    </r>
    <r>
      <rPr>
        <b/>
        <sz val="10"/>
        <color theme="1"/>
        <rFont val="Arial"/>
        <family val="2"/>
      </rPr>
      <t>or</t>
    </r>
  </si>
  <si>
    <t>MPCA air permits webpage for engines at:</t>
  </si>
  <si>
    <r>
      <t xml:space="preserve">1) Installing a non-emergency engine, including insignificant activities, </t>
    </r>
    <r>
      <rPr>
        <b/>
        <sz val="10"/>
        <color theme="1"/>
        <rFont val="Arial"/>
        <family val="2"/>
      </rPr>
      <t>or</t>
    </r>
  </si>
  <si>
    <t>(b * d * e) / 2000</t>
  </si>
  <si>
    <t>Choose one</t>
  </si>
  <si>
    <t>Input Value</t>
  </si>
  <si>
    <t>Fuel Conversion</t>
  </si>
  <si>
    <t>Brake specific fuel consumption</t>
  </si>
  <si>
    <t>Heat value of fuel</t>
  </si>
  <si>
    <r>
      <t>RECIPROCATING ENGINES (&gt;=600HP) DIESEL (lb/MMBtu)</t>
    </r>
    <r>
      <rPr>
        <b/>
        <vertAlign val="superscript"/>
        <sz val="9"/>
        <rFont val="Arial"/>
        <family val="2"/>
      </rPr>
      <t>1</t>
    </r>
  </si>
  <si>
    <r>
      <t>TURBINE ENGINES (electrical generation) NATURAL GAS (lb/MMBtu)</t>
    </r>
    <r>
      <rPr>
        <b/>
        <vertAlign val="superscript"/>
        <sz val="9"/>
        <rFont val="Arial"/>
        <family val="2"/>
      </rPr>
      <t>1</t>
    </r>
  </si>
  <si>
    <r>
      <t>RECIPROCATING GASOLINE (lb/MMBtu)</t>
    </r>
    <r>
      <rPr>
        <b/>
        <vertAlign val="superscript"/>
        <sz val="9"/>
        <rFont val="Arial"/>
        <family val="2"/>
      </rPr>
      <t>2</t>
    </r>
  </si>
  <si>
    <t>Engine Rated Output</t>
  </si>
  <si>
    <r>
      <t xml:space="preserve">1 </t>
    </r>
    <r>
      <rPr>
        <sz val="9"/>
        <rFont val="Arial"/>
        <family val="2"/>
      </rPr>
      <t>Global Warming Potential from 40 CFR Part 98, Subpart A, Table A-1</t>
    </r>
  </si>
  <si>
    <r>
      <rPr>
        <vertAlign val="superscript"/>
        <sz val="9"/>
        <rFont val="Arial"/>
        <family val="2"/>
      </rPr>
      <t xml:space="preserve">2 </t>
    </r>
    <r>
      <rPr>
        <sz val="9"/>
        <rFont val="Arial"/>
        <family val="2"/>
      </rPr>
      <t>CO</t>
    </r>
    <r>
      <rPr>
        <vertAlign val="subscript"/>
        <sz val="9"/>
        <rFont val="Arial"/>
        <family val="2"/>
      </rPr>
      <t>2</t>
    </r>
    <r>
      <rPr>
        <sz val="9"/>
        <rFont val="Arial"/>
        <family val="2"/>
      </rPr>
      <t>e = carbon dioxide equivalents</t>
    </r>
  </si>
  <si>
    <t>Types of insignificant activities</t>
  </si>
  <si>
    <t>Minn. R. 7007.1300</t>
  </si>
  <si>
    <t>subp. 2</t>
  </si>
  <si>
    <t>Not required to be listed.</t>
  </si>
  <si>
    <t>supb. 3</t>
  </si>
  <si>
    <t>Required to be listed but emissions do not need to be included in total facility emission calculations, unless requested by MPCA.</t>
  </si>
  <si>
    <t>subp. 4</t>
  </si>
  <si>
    <t>Required to be listed if applying for a Part 70 (Federal permit or federally enforceable permit limits) but emissions do not need to be included in total facility emission calculations, unless requested by MPCA.</t>
  </si>
  <si>
    <r>
      <t xml:space="preserve">If emissions units listed in 7007.1300 are subject to additional requirements under section 114(a)(3) of the act (Monitoring Requirements) or section 112 of the act (Hazardous Air Pollutants), or if part of a title I modification, or, if accounted for, make a stationary source subject to a part 70 permit, emissions from the emissions units </t>
    </r>
    <r>
      <rPr>
        <b/>
        <sz val="10"/>
        <color theme="1"/>
        <rFont val="Arial"/>
        <family val="2"/>
      </rPr>
      <t>must be calculated in the permit application.</t>
    </r>
  </si>
  <si>
    <t xml:space="preserve">If all emission points are insignificant and total emissions do not exceed permitting thresholds, a permit is not required. Comply with any applicable regulations. </t>
  </si>
  <si>
    <t>Other state or federal permit</t>
  </si>
  <si>
    <t>Below permit thresholds</t>
  </si>
  <si>
    <t>Which permit do you need?</t>
  </si>
  <si>
    <r>
      <rPr>
        <b/>
        <sz val="11"/>
        <color rgb="FF008EAA"/>
        <rFont val="Arial"/>
        <family val="2"/>
      </rPr>
      <t xml:space="preserve">The need for a permit is based on your entire business's potential air emissions. </t>
    </r>
    <r>
      <rPr>
        <sz val="10"/>
        <color theme="1"/>
        <rFont val="Arial"/>
        <family val="2"/>
      </rPr>
      <t>All activities that put pollutants into the air (including paint and solvent use, woodworking, metalworking) need to be assessed in addition to the engines included in this calculator. Once you determine if you need a permit, based on whether an NSPS applies and your total potential emissions, you can then use your actual emissions to see which permit is the best fit for your business.</t>
    </r>
  </si>
  <si>
    <t>Info about Air Permits</t>
  </si>
  <si>
    <r>
      <t>Insignificant Activity</t>
    </r>
    <r>
      <rPr>
        <b/>
        <vertAlign val="superscript"/>
        <sz val="10"/>
        <rFont val="Arial"/>
        <family val="2"/>
      </rPr>
      <t xml:space="preserve">4 </t>
    </r>
    <r>
      <rPr>
        <b/>
        <sz val="10"/>
        <rFont val="Arial"/>
        <family val="2"/>
      </rPr>
      <t>Limits</t>
    </r>
  </si>
  <si>
    <r>
      <t>GWP</t>
    </r>
    <r>
      <rPr>
        <b/>
        <vertAlign val="superscript"/>
        <sz val="10"/>
        <color theme="1"/>
        <rFont val="Arial"/>
        <family val="2"/>
      </rPr>
      <t>1</t>
    </r>
  </si>
  <si>
    <r>
      <t>GHG total (CO</t>
    </r>
    <r>
      <rPr>
        <vertAlign val="subscript"/>
        <sz val="10"/>
        <rFont val="Arial"/>
        <family val="2"/>
      </rPr>
      <t>2</t>
    </r>
    <r>
      <rPr>
        <sz val="10"/>
        <rFont val="Arial"/>
        <family val="2"/>
      </rPr>
      <t>e)</t>
    </r>
    <r>
      <rPr>
        <vertAlign val="superscript"/>
        <sz val="10"/>
        <rFont val="Arial"/>
        <family val="2"/>
      </rPr>
      <t xml:space="preserve"> 2</t>
    </r>
  </si>
  <si>
    <r>
      <t>Potential Annual Hours</t>
    </r>
    <r>
      <rPr>
        <b/>
        <vertAlign val="superscript"/>
        <sz val="10"/>
        <rFont val="Arial"/>
        <family val="2"/>
      </rPr>
      <t>3</t>
    </r>
  </si>
  <si>
    <t>Quantity of fuel actually burned per 12 months</t>
  </si>
  <si>
    <t>(MMBtu/yr)</t>
  </si>
  <si>
    <t>hours per year (hr/yr)</t>
  </si>
  <si>
    <t>million Btu per year (MMBtu/yr)</t>
  </si>
  <si>
    <t>gallons per year (gal/yr)</t>
  </si>
  <si>
    <t>Actual Annual Throughput</t>
  </si>
  <si>
    <t>Choose one to calculate actual emissions</t>
  </si>
  <si>
    <t>Actual emissions entry</t>
  </si>
  <si>
    <t xml:space="preserve">If a NESHAP applies, assess the facility-wide potential air emissions to see if a permit is required. Otherwise, comply with the NESHAP. </t>
  </si>
  <si>
    <t>Sources not required to obtain a permit: Minn. R. 7007.0300</t>
  </si>
  <si>
    <t>Minn. R. 7007.0300</t>
  </si>
  <si>
    <t xml:space="preserve">See additional details at: </t>
  </si>
  <si>
    <r>
      <t>Applicability of NSPS IIII or JJJJ does not</t>
    </r>
    <r>
      <rPr>
        <vertAlign val="superscript"/>
        <sz val="10"/>
        <rFont val="Arial"/>
        <family val="2"/>
      </rPr>
      <t>1</t>
    </r>
    <r>
      <rPr>
        <sz val="10"/>
        <rFont val="Arial"/>
        <family val="2"/>
      </rPr>
      <t xml:space="preserve"> indicate a need for a permit as provided by </t>
    </r>
  </si>
  <si>
    <r>
      <rPr>
        <vertAlign val="superscript"/>
        <sz val="10"/>
        <color theme="1"/>
        <rFont val="Arial"/>
        <family val="2"/>
      </rPr>
      <t xml:space="preserve">1 </t>
    </r>
    <r>
      <rPr>
        <sz val="10"/>
        <color theme="1"/>
        <rFont val="Arial"/>
        <family val="2"/>
      </rPr>
      <t>If your engine did not rely on performance testing to demonstrate NSPS compliance and any compression ignition engines are less than 30 liters per cylinder.</t>
    </r>
  </si>
  <si>
    <t>(MMBtu/hr)</t>
  </si>
  <si>
    <t>(c * e) / 2000</t>
  </si>
  <si>
    <t>Updates:</t>
  </si>
  <si>
    <t xml:space="preserve">11/01/2019: formula for actual emissions </t>
  </si>
  <si>
    <t>Make</t>
  </si>
  <si>
    <t>Model</t>
  </si>
  <si>
    <t>Key information and tips.</t>
  </si>
  <si>
    <t>123 Wandering Lane</t>
  </si>
  <si>
    <t>Suite 5</t>
  </si>
  <si>
    <t>St. Paul</t>
  </si>
  <si>
    <t>Contact information</t>
  </si>
  <si>
    <t>Facility information</t>
  </si>
  <si>
    <t>Business/facility name:</t>
  </si>
  <si>
    <t>Example</t>
  </si>
  <si>
    <t>Robert</t>
  </si>
  <si>
    <t>Smith</t>
  </si>
  <si>
    <t>555-555-5555</t>
  </si>
  <si>
    <t>MN</t>
  </si>
  <si>
    <t>Are you the:</t>
  </si>
  <si>
    <t>If other, specify:</t>
  </si>
  <si>
    <t>Owner</t>
  </si>
  <si>
    <t>First name:</t>
  </si>
  <si>
    <t>Last name:</t>
  </si>
  <si>
    <t>Email address:</t>
  </si>
  <si>
    <t>Phone number:</t>
  </si>
  <si>
    <t>Mailing address:</t>
  </si>
  <si>
    <t>Mailing address 2:</t>
  </si>
  <si>
    <t>City:</t>
  </si>
  <si>
    <t>State:</t>
  </si>
  <si>
    <t>Zip code:</t>
  </si>
  <si>
    <t>If you have more than one physical location, complete a separate file.</t>
  </si>
  <si>
    <t>Physical address:</t>
  </si>
  <si>
    <t>Physical address 2:</t>
  </si>
  <si>
    <t>County:</t>
  </si>
  <si>
    <t>If the mailing address is different than physical address, enter below.</t>
  </si>
  <si>
    <t>456 Sticks Road</t>
  </si>
  <si>
    <t>Withrow</t>
  </si>
  <si>
    <t>Washington</t>
  </si>
  <si>
    <t xml:space="preserve">55038 </t>
  </si>
  <si>
    <t>bob.smith@gmail.com</t>
  </si>
  <si>
    <t>Reciprocating - propane</t>
  </si>
  <si>
    <t>Supply power to electric grid in emergency situations (emergency demand response)</t>
  </si>
  <si>
    <t>Supply power to electric grid in non-emergency situations (peak shaving)</t>
  </si>
  <si>
    <t>Other financial arrangement</t>
  </si>
  <si>
    <t>PROPANE</t>
  </si>
  <si>
    <t>Engine designation</t>
  </si>
  <si>
    <t>kW</t>
  </si>
  <si>
    <t>Electrical output</t>
  </si>
  <si>
    <t>Date of manufacture</t>
  </si>
  <si>
    <t>Date installed</t>
  </si>
  <si>
    <t>Displacement</t>
  </si>
  <si>
    <t>Diesel engine tier</t>
  </si>
  <si>
    <t>at the site</t>
  </si>
  <si>
    <t>liters/cylinder</t>
  </si>
  <si>
    <t>if known</t>
  </si>
  <si>
    <t xml:space="preserve">For each engine, complete one engine tab and include all information in the blue boxes. </t>
  </si>
  <si>
    <t>Aitkin</t>
  </si>
  <si>
    <t>Anoka</t>
  </si>
  <si>
    <t>Carlton</t>
  </si>
  <si>
    <t>Blue Earth</t>
  </si>
  <si>
    <t>Jackson</t>
  </si>
  <si>
    <t>Marshall</t>
  </si>
  <si>
    <t>Mahnomen</t>
  </si>
  <si>
    <t>Pipestone</t>
  </si>
  <si>
    <t>Faribault</t>
  </si>
  <si>
    <t>Roseau</t>
  </si>
  <si>
    <t>Wabasha</t>
  </si>
  <si>
    <t>Wadena</t>
  </si>
  <si>
    <t>Waseca</t>
  </si>
  <si>
    <t>Winona</t>
  </si>
  <si>
    <t>Becker</t>
  </si>
  <si>
    <t>Beltrami</t>
  </si>
  <si>
    <t>Benton</t>
  </si>
  <si>
    <t>Big Stone</t>
  </si>
  <si>
    <t>Brown</t>
  </si>
  <si>
    <t>Carver</t>
  </si>
  <si>
    <t>Cass</t>
  </si>
  <si>
    <t>Chippewa</t>
  </si>
  <si>
    <t>Chisago</t>
  </si>
  <si>
    <t>Clay</t>
  </si>
  <si>
    <t>Clearwater</t>
  </si>
  <si>
    <t>Cook</t>
  </si>
  <si>
    <t>Cottonwood</t>
  </si>
  <si>
    <t>Crow Wing</t>
  </si>
  <si>
    <t>Dakota</t>
  </si>
  <si>
    <t>Dodge</t>
  </si>
  <si>
    <t>Douglas</t>
  </si>
  <si>
    <t>Fillmore</t>
  </si>
  <si>
    <t>Freeborn</t>
  </si>
  <si>
    <t>Goodhue</t>
  </si>
  <si>
    <t>Grant</t>
  </si>
  <si>
    <t>Hennepin</t>
  </si>
  <si>
    <t>Houston</t>
  </si>
  <si>
    <t>Hubbard</t>
  </si>
  <si>
    <t>Isanti</t>
  </si>
  <si>
    <t>Itasca</t>
  </si>
  <si>
    <t>Kanabec</t>
  </si>
  <si>
    <t>Kandiyohi</t>
  </si>
  <si>
    <t>Kittson</t>
  </si>
  <si>
    <t>Koochiching</t>
  </si>
  <si>
    <t>Lac qui Parle</t>
  </si>
  <si>
    <t>Lake</t>
  </si>
  <si>
    <t>Lake of the Woods</t>
  </si>
  <si>
    <t>Le Sueur</t>
  </si>
  <si>
    <t>Lincoln</t>
  </si>
  <si>
    <t>Lyon</t>
  </si>
  <si>
    <t>Martin</t>
  </si>
  <si>
    <t>McLeod</t>
  </si>
  <si>
    <t>Meeker</t>
  </si>
  <si>
    <t>Mille Lacs</t>
  </si>
  <si>
    <t>Morrison</t>
  </si>
  <si>
    <t>Mower</t>
  </si>
  <si>
    <t>Murray</t>
  </si>
  <si>
    <t>Nicollet</t>
  </si>
  <si>
    <t>Nobles</t>
  </si>
  <si>
    <t>Norman</t>
  </si>
  <si>
    <t>Olmsted</t>
  </si>
  <si>
    <t>Otter Tail</t>
  </si>
  <si>
    <t>Pennington</t>
  </si>
  <si>
    <t>Pine</t>
  </si>
  <si>
    <t>Polk</t>
  </si>
  <si>
    <t>Pope</t>
  </si>
  <si>
    <t>Ramsey</t>
  </si>
  <si>
    <t>Red Lake</t>
  </si>
  <si>
    <t>Redwood</t>
  </si>
  <si>
    <t>Renville</t>
  </si>
  <si>
    <t>Rice</t>
  </si>
  <si>
    <t>Rock</t>
  </si>
  <si>
    <t>Scott</t>
  </si>
  <si>
    <t>Sherburne</t>
  </si>
  <si>
    <t>Sibley</t>
  </si>
  <si>
    <t>St. Louis</t>
  </si>
  <si>
    <t>Stearns</t>
  </si>
  <si>
    <t>Steele</t>
  </si>
  <si>
    <t>Stevens</t>
  </si>
  <si>
    <t>Swift</t>
  </si>
  <si>
    <t>Todd</t>
  </si>
  <si>
    <t>Traverse</t>
  </si>
  <si>
    <t>Watonwan</t>
  </si>
  <si>
    <t>Wilkin</t>
  </si>
  <si>
    <t>Wright</t>
  </si>
  <si>
    <t>Yellow Medicine</t>
  </si>
  <si>
    <t>MN Counties</t>
  </si>
  <si>
    <t>Who can be contacted about the information provided in this document?</t>
  </si>
  <si>
    <t xml:space="preserve">Provide details about the business where the engines are located. </t>
  </si>
  <si>
    <t>Agralite Electric Coop</t>
  </si>
  <si>
    <t>Beltrami Electric Coop</t>
  </si>
  <si>
    <t>Benco Electric</t>
  </si>
  <si>
    <t>Brown County Rural Electric</t>
  </si>
  <si>
    <t>Clearwater Polk electric</t>
  </si>
  <si>
    <t xml:space="preserve">Connexus Energy </t>
  </si>
  <si>
    <t>Cooperative Light and Power</t>
  </si>
  <si>
    <t>Dakota Electric Association</t>
  </si>
  <si>
    <t>East Central Energy</t>
  </si>
  <si>
    <t>Federated Rural Electric Association</t>
  </si>
  <si>
    <t>Freeborn-Mower Cooperative Services</t>
  </si>
  <si>
    <t>Goodhue County Cooperative Electric Association</t>
  </si>
  <si>
    <t>Great River Energy</t>
  </si>
  <si>
    <t>Iowa Lakes Electric Cooperative</t>
  </si>
  <si>
    <t>Itasca Mantrap</t>
  </si>
  <si>
    <t>Kandiyohi Power Coop</t>
  </si>
  <si>
    <t>Lake Country Power</t>
  </si>
  <si>
    <t>Lake Region Electric Coop</t>
  </si>
  <si>
    <t>Lyon-Lincoln Electric Coop</t>
  </si>
  <si>
    <t xml:space="preserve">McLeod Coop </t>
  </si>
  <si>
    <t>Meeler Electric Coop</t>
  </si>
  <si>
    <t>MiEnergy</t>
  </si>
  <si>
    <t>Mille Lacs Energy Services</t>
  </si>
  <si>
    <t>Minnesota Power</t>
  </si>
  <si>
    <t>Minnesota Valley Cooperative Light and Power</t>
  </si>
  <si>
    <t>Minnesota Valley Electric</t>
  </si>
  <si>
    <t>Nobles Coop Electric</t>
  </si>
  <si>
    <t xml:space="preserve">North Itasca </t>
  </si>
  <si>
    <t>Northwestern Wisconsin Electric Company</t>
  </si>
  <si>
    <t>Otter Tail Power Company</t>
  </si>
  <si>
    <t>North Star Electric Coop</t>
  </si>
  <si>
    <t>People's Energy Cooperative</t>
  </si>
  <si>
    <t>PKM Electric Coop</t>
  </si>
  <si>
    <t>Red River Valley Coop</t>
  </si>
  <si>
    <t>Red Lake Electric Coop</t>
  </si>
  <si>
    <t>Redwood Electric Coop</t>
  </si>
  <si>
    <t>Renville-Sibley Electric Coop</t>
  </si>
  <si>
    <t>Roseau Electric Cooperative</t>
  </si>
  <si>
    <t>Runestone Electric</t>
  </si>
  <si>
    <t>Sioux Valley Electric Energy</t>
  </si>
  <si>
    <t>South Central Electric</t>
  </si>
  <si>
    <t>Steele Waseca Cooperative Electric</t>
  </si>
  <si>
    <t>Stearns Electric Association</t>
  </si>
  <si>
    <t>Todd-Wadena Electric Coop</t>
  </si>
  <si>
    <t>Traverse Electric Cooperative</t>
  </si>
  <si>
    <t>Wild Rice Electric Coop</t>
  </si>
  <si>
    <t>Wright Hennepin Coop Electric</t>
  </si>
  <si>
    <t>Xcel Energy</t>
  </si>
  <si>
    <t>Other</t>
  </si>
  <si>
    <t>Utility Companies</t>
  </si>
  <si>
    <t>Business information</t>
  </si>
  <si>
    <t>Bobby's Business</t>
  </si>
  <si>
    <r>
      <rPr>
        <vertAlign val="superscript"/>
        <sz val="9"/>
        <rFont val="Arial"/>
        <family val="2"/>
      </rPr>
      <t xml:space="preserve">4 </t>
    </r>
    <r>
      <rPr>
        <sz val="9"/>
        <rFont val="Arial"/>
        <family val="2"/>
      </rPr>
      <t>See information on insignificant activities at Minn. R. 7007.1300 and on the 'Permits &amp; Requirements' tab.</t>
    </r>
  </si>
  <si>
    <t>located on nameplate</t>
  </si>
  <si>
    <t xml:space="preserve">Does a federal rule apply to this engine? </t>
  </si>
  <si>
    <t xml:space="preserve">Need help? Use EPA's Regulation Navigation tools for assistance. Go to the 'Federal standards' tab for more information. </t>
  </si>
  <si>
    <t>Calculate the potential and actual air emissions from this engine</t>
  </si>
  <si>
    <t>If yes, what is your MPCA Agency Interest number?</t>
  </si>
  <si>
    <t>https://webapp.pca.state.mn.us/wimn/search</t>
  </si>
  <si>
    <t>Does this location have an air quality permit?</t>
  </si>
  <si>
    <t>Federal rules for engines</t>
  </si>
  <si>
    <t>Federal standards</t>
  </si>
  <si>
    <t>National emission standards for hazardous air pollutants (NESHAP)</t>
  </si>
  <si>
    <t>Purpose</t>
  </si>
  <si>
    <t>Prevent or reduce emissions that have health impacts.</t>
  </si>
  <si>
    <t>Engine standard for</t>
  </si>
  <si>
    <t>40 CFR 63, subp. ZZZZ
(NESHAP 4Z)</t>
  </si>
  <si>
    <t>Regulation</t>
  </si>
  <si>
    <t>Tip</t>
  </si>
  <si>
    <t>Requires new emission sources to be less polluting than older sources.</t>
  </si>
  <si>
    <t>Standards of Performance for Compression Ignition (diesel) Engines</t>
  </si>
  <si>
    <t xml:space="preserve">Standards of Performance for Spark Ignition (gaseous) Engines </t>
  </si>
  <si>
    <t>40 CFR 60, subp. IIII
(NSPS 4I)</t>
  </si>
  <si>
    <t>40 CFR 60, subp. JJJJ
(NSPS 4J)</t>
  </si>
  <si>
    <t>At small air emission sources, this rule is for engines constructed prior to June 12, 2006.</t>
  </si>
  <si>
    <t>At small air emission sources, these rules are for engines constructed on or after June 12, 2006.</t>
  </si>
  <si>
    <t xml:space="preserve">Use these tools to help you! </t>
  </si>
  <si>
    <t>Is there an engine subject to a federal NSPS?</t>
  </si>
  <si>
    <t>Is there an engine subject to the federal NESHAP?</t>
  </si>
  <si>
    <t>Does your business's potential emissions exceed permit thresholds?</t>
  </si>
  <si>
    <t>Does your business's actual emissions exceed Option D limits</t>
  </si>
  <si>
    <t>If you have additional air emission sources, you must assess your facility's total potential emissions from all sources to identify your permitting needs.</t>
  </si>
  <si>
    <t>What type of permit?</t>
  </si>
  <si>
    <t>1) Start by filling out the 'Business information' tab.</t>
  </si>
  <si>
    <t xml:space="preserve">More information on engine requirements at: </t>
  </si>
  <si>
    <r>
      <t>Propane toxic emission factors were calculated from the natural gas toxic emission factors using the following formula: TEF</t>
    </r>
    <r>
      <rPr>
        <vertAlign val="subscript"/>
        <sz val="9"/>
        <color theme="1"/>
        <rFont val="Arial"/>
        <family val="2"/>
      </rPr>
      <t>P</t>
    </r>
    <r>
      <rPr>
        <sz val="9"/>
        <color theme="1"/>
        <rFont val="Arial"/>
        <family val="2"/>
      </rPr>
      <t xml:space="preserve"> = TEF</t>
    </r>
    <r>
      <rPr>
        <vertAlign val="subscript"/>
        <sz val="9"/>
        <color theme="1"/>
        <rFont val="Arial"/>
        <family val="2"/>
      </rPr>
      <t>NG</t>
    </r>
    <r>
      <rPr>
        <sz val="9"/>
        <color theme="1"/>
        <rFont val="Arial"/>
        <family val="2"/>
      </rPr>
      <t xml:space="preserve"> * HV</t>
    </r>
    <r>
      <rPr>
        <vertAlign val="subscript"/>
        <sz val="9"/>
        <color theme="1"/>
        <rFont val="Arial"/>
        <family val="2"/>
      </rPr>
      <t>P</t>
    </r>
    <r>
      <rPr>
        <sz val="9"/>
        <color theme="1"/>
        <rFont val="Arial"/>
        <family val="2"/>
      </rPr>
      <t>/HV</t>
    </r>
    <r>
      <rPr>
        <vertAlign val="subscript"/>
        <sz val="9"/>
        <color theme="1"/>
        <rFont val="Arial"/>
        <family val="2"/>
      </rPr>
      <t>NG</t>
    </r>
  </si>
  <si>
    <r>
      <t>TEF</t>
    </r>
    <r>
      <rPr>
        <vertAlign val="subscript"/>
        <sz val="9"/>
        <color theme="1"/>
        <rFont val="Arial"/>
        <family val="2"/>
      </rPr>
      <t>P</t>
    </r>
    <r>
      <rPr>
        <sz val="9"/>
        <color theme="1"/>
        <rFont val="Arial"/>
        <family val="2"/>
      </rPr>
      <t xml:space="preserve"> = Propane toxic emission factor; TEF</t>
    </r>
    <r>
      <rPr>
        <vertAlign val="subscript"/>
        <sz val="9"/>
        <color theme="1"/>
        <rFont val="Arial"/>
        <family val="2"/>
      </rPr>
      <t>NG</t>
    </r>
    <r>
      <rPr>
        <sz val="9"/>
        <color theme="1"/>
        <rFont val="Arial"/>
        <family val="2"/>
      </rPr>
      <t xml:space="preserve"> = Average of natural gas toxic emission factors; HV</t>
    </r>
    <r>
      <rPr>
        <vertAlign val="subscript"/>
        <sz val="9"/>
        <color theme="1"/>
        <rFont val="Arial"/>
        <family val="2"/>
      </rPr>
      <t>P</t>
    </r>
    <r>
      <rPr>
        <sz val="9"/>
        <color theme="1"/>
        <rFont val="Arial"/>
        <family val="2"/>
      </rPr>
      <t xml:space="preserve"> = Heating value for propane; HV</t>
    </r>
    <r>
      <rPr>
        <vertAlign val="subscript"/>
        <sz val="9"/>
        <color theme="1"/>
        <rFont val="Arial"/>
        <family val="2"/>
      </rPr>
      <t>NG</t>
    </r>
    <r>
      <rPr>
        <sz val="9"/>
        <color theme="1"/>
        <rFont val="Arial"/>
        <family val="2"/>
      </rPr>
      <t xml:space="preserve"> = Heating value for natural gas</t>
    </r>
  </si>
  <si>
    <t>Additional Federal rules</t>
  </si>
  <si>
    <t>There are other NESHAPs and NSPSs that may apply to your business.</t>
  </si>
  <si>
    <t>Examples</t>
  </si>
  <si>
    <t>Other NESHAPs include those for coating operations, metal fabrication and finishing, or asphalt processing.</t>
  </si>
  <si>
    <t>List</t>
  </si>
  <si>
    <t>Other NSPSs include those for nonmetallic mineral processors, hospital waste incinerators, and sewage treatment plants.</t>
  </si>
  <si>
    <t>Guidance</t>
  </si>
  <si>
    <t>https://www.epa.gov/stationary-engines/implementation-tools-nsps-compression-ignition-internal-combustion-engines</t>
  </si>
  <si>
    <t>https://www.epa.gov/stationary-engines/implementation-tools-nsps-spark-ignition-internal-combustion-engines</t>
  </si>
  <si>
    <t>https://www.epa.gov/stationary-engines/implementation-tools-neshap-reciprocating-internal-combustion-engines</t>
  </si>
  <si>
    <t>Do I have an emergency engine?</t>
  </si>
  <si>
    <t>Up to 100 hours per year may be used for:</t>
  </si>
  <si>
    <t>Emergency stationary RICE may be operated for maintenance checks and readiness testing, provided that the tests are recommended by federal, state or local government, the manufacturer, the vendor, the regional transmission organization or equivalent balancing authority and transmission operator, or the insurance company associated with the engine. The owner or operator may petition the Administrator for approval of additional hours to be used for maintenance checks and readiness testing, but a petition is not required if the owner or operator maintains records indicating that federal, state, or local standards require maintenance and testing of emergency RICE beyond 100 hours per calendar year.</t>
  </si>
  <si>
    <t>Up to 50 hours of the total 100 hours per calendar year may be used for non-emergency situations, as described below.</t>
  </si>
  <si>
    <r>
      <t xml:space="preserve">The 50 hours per year for non-emergency situations </t>
    </r>
    <r>
      <rPr>
        <b/>
        <sz val="10"/>
        <color theme="1"/>
        <rFont val="Arial"/>
        <family val="2"/>
      </rPr>
      <t>cannot</t>
    </r>
    <r>
      <rPr>
        <sz val="10"/>
        <color theme="1"/>
        <rFont val="Arial"/>
        <family val="2"/>
      </rPr>
      <t xml:space="preserve"> be used for peak shaving or non-emergency demand response, or to generate income for a facility to an electric grid or otherwise supply power as part of a financial arrangement with another entity.</t>
    </r>
  </si>
  <si>
    <t>At major sources of HAPs</t>
  </si>
  <si>
    <t>At area sources of HAPs</t>
  </si>
  <si>
    <t>The engine is dispatched by the local balancing authority or local transmission and distribution system operator.</t>
  </si>
  <si>
    <t>The dispatch is intended to mitigate local transmission and/or distribution limitations so as to avert potential voltage collapse or line overloads that could lead to the interruption of power supply in a local area or region.</t>
  </si>
  <si>
    <t>The dispatch follows reliability, emergency operation or similar protocols that follow specific NERC, regional, state, public utility commission or local standards or guidelines.</t>
  </si>
  <si>
    <t>The power is provided only to the facility itself or to support the local transmission and distribution system.</t>
  </si>
  <si>
    <t>The owner or operator identifies and records the entity that dispatches the engine and the specific NERC, regional, state, public utility commission or local standards or guidelines that are being followed for dispatching the engine. The local balancing authority or local transmission and distribution system operator may keep these records on behalf of the engine owner or operator.</t>
  </si>
  <si>
    <r>
      <t xml:space="preserve">The 50 hours per year for non-emergency situations </t>
    </r>
    <r>
      <rPr>
        <b/>
        <sz val="10"/>
        <color theme="1"/>
        <rFont val="Arial"/>
        <family val="2"/>
      </rPr>
      <t>can be used</t>
    </r>
    <r>
      <rPr>
        <sz val="10"/>
        <color theme="1"/>
        <rFont val="Arial"/>
        <family val="2"/>
      </rPr>
      <t xml:space="preserve"> to supply power as part of a financial arrangement with another entity if all of the following conditions are met:</t>
    </r>
  </si>
  <si>
    <t>An emergency engine is operated to provide electrical power or mechanical work during an emergency situation.</t>
  </si>
  <si>
    <t>Used to produce power for critical networks or equipment (including power supplied to portions of a facility) when electric power from the local utility (or the normal power source, if the facility runs on its own power production) is interrupted, or stationary ICE used to pump water in the case of fire or flood, etc.</t>
  </si>
  <si>
    <r>
      <t>A peaking unit or engine</t>
    </r>
    <r>
      <rPr>
        <sz val="10"/>
        <color rgb="FF000000"/>
        <rFont val="Arial"/>
        <family val="2"/>
      </rPr>
      <t> means any standby engine intended for use during periods of high demand that are not emergencies.</t>
    </r>
  </si>
  <si>
    <t>Time limits:</t>
  </si>
  <si>
    <t>There is no time limit on the use of emergency stationary RICE in emergency situations.</t>
  </si>
  <si>
    <t>Examples:</t>
  </si>
  <si>
    <t>1.</t>
  </si>
  <si>
    <t>2.</t>
  </si>
  <si>
    <t>3.</t>
  </si>
  <si>
    <t xml:space="preserve">Maintenance and testing
</t>
  </si>
  <si>
    <t>Am I peak shaving?</t>
  </si>
  <si>
    <t>Is my engine considered mobile or stationary?</t>
  </si>
  <si>
    <t>Stationary ICE include reciprocating ICE, rotary ICE, and other ICE, except combustion turbines.</t>
  </si>
  <si>
    <t>By itself or in or on a piece of equipment, it is portable or transportable, meaning designed to be and capable of being carried or moved from one location to another. Indicia of transportability include, but are not limited to, wheels, skids, carrying handles, dolly, trailer, or platform.</t>
  </si>
  <si>
    <t>What is a nonroad engine?</t>
  </si>
  <si>
    <t>Self-propelled or serves a dual purpose by both propelling itself and performing another function (such as garden tractors, off-highway mobile cranes and bulldozers).</t>
  </si>
  <si>
    <t>Intended to be propelled while performing its function (such as lawnmowers and string trimmers).</t>
  </si>
  <si>
    <t>A nonroad engine is (or will be) used in or on a piece of equipment that is:</t>
  </si>
  <si>
    <t>An internal combustion engine is NOT a nonroad engine if it remains (or will remain) at a location for more than 12 consecutive months or a shorter period of time for an engine located at a seasonal source.</t>
  </si>
  <si>
    <t xml:space="preserve">A seasonal source is a stationary source that remains in a single location on a permanent basis (i.e., at least two years) and that operates at that single location approximately three months (or more) each year. </t>
  </si>
  <si>
    <t xml:space="preserve">Stationary internal combustion engine differs from a mobile internal combustion engine in that a stationary internal combustion engine is not a nonroad engine and is not used to propel a motor vehicle, aircraft, or a vehicle used solely for competition. </t>
  </si>
  <si>
    <t>What is a stationary internal combustion engine?</t>
  </si>
  <si>
    <t>Frequently asked questions</t>
  </si>
  <si>
    <r>
      <t xml:space="preserve">Does this engine operate to do any of the following? Select yes or no for each. </t>
    </r>
    <r>
      <rPr>
        <sz val="10"/>
        <color theme="1"/>
        <rFont val="Arial"/>
        <family val="2"/>
      </rPr>
      <t>Go to the 'FAQs' tab for more information.</t>
    </r>
  </si>
  <si>
    <r>
      <rPr>
        <b/>
        <sz val="9"/>
        <rFont val="Arial"/>
        <family val="2"/>
      </rPr>
      <t>CO</t>
    </r>
    <r>
      <rPr>
        <b/>
        <vertAlign val="subscript"/>
        <sz val="9"/>
        <rFont val="Arial"/>
        <family val="2"/>
      </rPr>
      <t xml:space="preserve">2 </t>
    </r>
    <r>
      <rPr>
        <b/>
        <sz val="9"/>
        <rFont val="Arial"/>
        <family val="2"/>
      </rPr>
      <t>Emission Factor</t>
    </r>
    <r>
      <rPr>
        <b/>
        <vertAlign val="superscript"/>
        <sz val="9"/>
        <rFont val="Arial"/>
        <family val="2"/>
      </rPr>
      <t>1</t>
    </r>
    <r>
      <rPr>
        <b/>
        <sz val="9"/>
        <rFont val="Arial"/>
        <family val="2"/>
      </rPr>
      <t xml:space="preserve">
</t>
    </r>
    <r>
      <rPr>
        <sz val="9"/>
        <rFont val="Arial"/>
        <family val="2"/>
      </rPr>
      <t>(lbs/million BTU)</t>
    </r>
  </si>
  <si>
    <r>
      <rPr>
        <b/>
        <sz val="9"/>
        <rFont val="Arial"/>
        <family val="2"/>
      </rPr>
      <t>CH</t>
    </r>
    <r>
      <rPr>
        <b/>
        <vertAlign val="subscript"/>
        <sz val="9"/>
        <rFont val="Arial"/>
        <family val="2"/>
      </rPr>
      <t>4</t>
    </r>
    <r>
      <rPr>
        <b/>
        <sz val="9"/>
        <rFont val="Arial"/>
        <family val="2"/>
      </rPr>
      <t xml:space="preserve"> Emission Factor</t>
    </r>
    <r>
      <rPr>
        <b/>
        <vertAlign val="superscript"/>
        <sz val="9"/>
        <rFont val="Arial"/>
        <family val="2"/>
      </rPr>
      <t>1</t>
    </r>
    <r>
      <rPr>
        <sz val="9"/>
        <rFont val="Arial"/>
        <family val="2"/>
      </rPr>
      <t xml:space="preserve">
(lbs/million BTU)</t>
    </r>
  </si>
  <si>
    <r>
      <rPr>
        <b/>
        <sz val="9"/>
        <rFont val="Arial"/>
        <family val="2"/>
      </rPr>
      <t>N</t>
    </r>
    <r>
      <rPr>
        <b/>
        <vertAlign val="subscript"/>
        <sz val="9"/>
        <rFont val="Arial"/>
        <family val="2"/>
      </rPr>
      <t>2</t>
    </r>
    <r>
      <rPr>
        <b/>
        <sz val="9"/>
        <rFont val="Arial"/>
        <family val="2"/>
      </rPr>
      <t>O Emission Factor</t>
    </r>
    <r>
      <rPr>
        <b/>
        <vertAlign val="superscript"/>
        <sz val="9"/>
        <rFont val="Arial"/>
        <family val="2"/>
      </rPr>
      <t>1</t>
    </r>
    <r>
      <rPr>
        <sz val="9"/>
        <rFont val="Arial"/>
        <family val="2"/>
      </rPr>
      <t xml:space="preserve">
(lbs/million BTU)</t>
    </r>
  </si>
  <si>
    <r>
      <t>Brake-specific fuel consumption</t>
    </r>
    <r>
      <rPr>
        <sz val="9"/>
        <color theme="1"/>
        <rFont val="Arial"/>
        <family val="2"/>
      </rPr>
      <t xml:space="preserve"> 
(btu/hp*hr)</t>
    </r>
    <r>
      <rPr>
        <vertAlign val="superscript"/>
        <sz val="9"/>
        <color indexed="8"/>
        <rFont val="Arial"/>
        <family val="2"/>
      </rPr>
      <t>2</t>
    </r>
  </si>
  <si>
    <r>
      <rPr>
        <b/>
        <sz val="9"/>
        <rFont val="Arial"/>
        <family val="2"/>
      </rPr>
      <t>Heat Value</t>
    </r>
    <r>
      <rPr>
        <b/>
        <vertAlign val="superscript"/>
        <sz val="9"/>
        <rFont val="Arial"/>
        <family val="2"/>
      </rPr>
      <t>3</t>
    </r>
    <r>
      <rPr>
        <b/>
        <sz val="9"/>
        <rFont val="Arial"/>
        <family val="2"/>
      </rPr>
      <t xml:space="preserve">
(</t>
    </r>
    <r>
      <rPr>
        <sz val="9"/>
        <rFont val="Arial"/>
        <family val="2"/>
      </rPr>
      <t>Btu/gal)</t>
    </r>
  </si>
  <si>
    <t>Rated</t>
  </si>
  <si>
    <t>Units</t>
  </si>
  <si>
    <t>Actual selection</t>
  </si>
  <si>
    <t>BSCF or Heat Value</t>
  </si>
  <si>
    <t>Value</t>
  </si>
  <si>
    <t>Heat Value or none</t>
  </si>
  <si>
    <t>Sulfur Content</t>
  </si>
  <si>
    <t>Potential Hours</t>
  </si>
  <si>
    <t>Actual emissions, total:</t>
  </si>
  <si>
    <t>Potential emissions, total:</t>
  </si>
  <si>
    <t>Permitting and insignificant activity thresholds.</t>
  </si>
  <si>
    <t>If an NSPS applies you need a permit, except as provided in Minn. R. 7007.0300.</t>
  </si>
  <si>
    <t>This calculator was created by the Minnesota Pollution Control Agency's (MPCA) Small Business Environmental Assistance Program (SBEAP).</t>
  </si>
  <si>
    <t>For any engine (or engines) that replaces an engine at a location and that is intended to perform the same or similar function as the engine replaced, include the time period of both engines in calculating the consecutive time period.</t>
  </si>
  <si>
    <t>3) The 'FAQs' tab contains definitions to help you identify specifics about your engine.</t>
  </si>
  <si>
    <t>4) Use the blue tabs across the bottom to enter information for your engines. Use only one blue tab per engine.</t>
  </si>
  <si>
    <t>5) The green tabs total potential and actual emissions from the information entered on the blue tabs.</t>
  </si>
  <si>
    <t xml:space="preserve">6) The yellow 'Permits &amp; Requirements' tab will help you decide if a permit is needed and which permit to apply for. </t>
  </si>
  <si>
    <t>2) See the 'Federal standards' tab to identify if a federal rule applies to your engine.</t>
  </si>
  <si>
    <r>
      <t>Registration Option C or Registration Option D</t>
    </r>
    <r>
      <rPr>
        <vertAlign val="superscript"/>
        <sz val="10"/>
        <color theme="1"/>
        <rFont val="Arial"/>
        <family val="2"/>
      </rPr>
      <t>2</t>
    </r>
  </si>
  <si>
    <r>
      <t xml:space="preserve">Need help? Search for your business name in MPCA's 
</t>
    </r>
    <r>
      <rPr>
        <i/>
        <sz val="10"/>
        <color theme="1"/>
        <rFont val="Arial"/>
        <family val="2"/>
      </rPr>
      <t>What's In My Neighborhood</t>
    </r>
    <r>
      <rPr>
        <sz val="10"/>
        <color theme="1"/>
        <rFont val="Arial"/>
        <family val="2"/>
      </rPr>
      <t>. You will find your MPCA Agency Interest number under "Alternate names".</t>
    </r>
  </si>
  <si>
    <t>U.S. Environmental Protection Agency (EPA) standards for reciprocating internal combustion engines (RICE)</t>
  </si>
  <si>
    <t>Applicability is determined separately for each engine. Each engine and any other air pollutant sources at your site will need to be evaluated for air emissions.</t>
  </si>
  <si>
    <t>Construction includes fabricating, erecting, or installing an engine.</t>
  </si>
  <si>
    <t>Found on the MPCA website at the end of the 
following document:</t>
  </si>
  <si>
    <r>
      <rPr>
        <vertAlign val="superscript"/>
        <sz val="9"/>
        <rFont val="Arial"/>
        <family val="2"/>
      </rPr>
      <t xml:space="preserve">3 </t>
    </r>
    <r>
      <rPr>
        <sz val="9"/>
        <rFont val="Arial"/>
        <family val="2"/>
      </rPr>
      <t>Routine = 24 hr/day * 365 day/yr or 8760 hr/yr; Emergency = 500 hr/yr for purposes of calculating potential air emission to identify whether or not a permit is required.</t>
    </r>
  </si>
  <si>
    <r>
      <t>2</t>
    </r>
    <r>
      <rPr>
        <sz val="10"/>
        <color theme="1"/>
        <rFont val="Arial"/>
        <family val="2"/>
      </rPr>
      <t>Option C registration permit is intended for facilities with indirect heating units (boilers), reciprocating internal combustion engines, and/or emissions from using Volatile Organic Compound (VOC)-containing materials. The Option D registration permit is for facilities with additional air emission activities.</t>
    </r>
  </si>
  <si>
    <t xml:space="preserve">Propane criteria emission factors ARB "Instructions for the Emission Data System Review &amp; Update Report 8/91" referencing EPA/AIRS emission factors by source classification code. </t>
  </si>
  <si>
    <t xml:space="preserve">If your business conducts an activity which is considered construction, modification, or reconstruction, as defined below or within the standard, the activity may cause an NESHAP or NSPS to apply to you or create the need for a permit amendment. </t>
  </si>
  <si>
    <t>Propane emission factor reference</t>
  </si>
  <si>
    <t>https://www.pca.state.mn.us/business-with-us/stationary-engines</t>
  </si>
  <si>
    <t>Found on the EPA website at:</t>
  </si>
  <si>
    <t>https://www.epa.gov/stationary-sources-air-pollution/national-emission-standards-hazardous-air-pollutants-neshap-8</t>
  </si>
  <si>
    <t xml:space="preserve">Application Forms, scroll to Registration </t>
  </si>
  <si>
    <t>Application Forms</t>
  </si>
  <si>
    <t>Internal combustion engines 
air emissions calculator</t>
  </si>
  <si>
    <r>
      <t>Heat value</t>
    </r>
    <r>
      <rPr>
        <b/>
        <vertAlign val="superscript"/>
        <sz val="9"/>
        <color theme="1"/>
        <rFont val="Arial"/>
        <family val="2"/>
      </rPr>
      <t>3</t>
    </r>
    <r>
      <rPr>
        <b/>
        <sz val="9"/>
        <color theme="1"/>
        <rFont val="Arial"/>
        <family val="2"/>
      </rPr>
      <t xml:space="preserve">
</t>
    </r>
    <r>
      <rPr>
        <sz val="9"/>
        <color theme="1"/>
        <rFont val="Arial"/>
        <family val="2"/>
      </rPr>
      <t>(Btu/scf)</t>
    </r>
  </si>
  <si>
    <t>gallons/hr (gal/hr)</t>
  </si>
  <si>
    <t>standard cubic feet/hr (scf/hr)</t>
  </si>
  <si>
    <t>horsepower(HP) or brake power (HP-hr)</t>
  </si>
  <si>
    <r>
      <t>EPA/AIRS by SCC</t>
    </r>
    <r>
      <rPr>
        <vertAlign val="superscript"/>
        <sz val="9"/>
        <color theme="1"/>
        <rFont val="Arial"/>
        <family val="2"/>
      </rPr>
      <t>3,4</t>
    </r>
  </si>
  <si>
    <r>
      <t>Calculated</t>
    </r>
    <r>
      <rPr>
        <vertAlign val="superscript"/>
        <sz val="9"/>
        <rFont val="Arial"/>
        <family val="2"/>
      </rPr>
      <t>5</t>
    </r>
  </si>
  <si>
    <r>
      <t>RECIPROCATING Propane</t>
    </r>
    <r>
      <rPr>
        <b/>
        <vertAlign val="superscript"/>
        <sz val="9"/>
        <rFont val="Arial"/>
        <family val="2"/>
      </rPr>
      <t>3,4,5</t>
    </r>
    <r>
      <rPr>
        <b/>
        <sz val="9"/>
        <rFont val="Arial"/>
        <family val="2"/>
      </rPr>
      <t xml:space="preserve">
(lb/MMBtu)</t>
    </r>
  </si>
  <si>
    <t>https://www3.epa.gov/ttnchie1/conference/ei12/area/haneke.pdf</t>
  </si>
  <si>
    <r>
      <t>SOx emission factor from AP-42 Section 1.5 Table 1.5-1 for propane. The SO2 emission factor is based on fuel sulfur content as 0.10S lb/1000 gal, where S is sulfur content of fuel in gr/100ft</t>
    </r>
    <r>
      <rPr>
        <vertAlign val="superscript"/>
        <sz val="9"/>
        <rFont val="Arial"/>
        <family val="2"/>
      </rPr>
      <t>3</t>
    </r>
    <r>
      <rPr>
        <sz val="9"/>
        <rFont val="Arial"/>
        <family val="2"/>
      </rPr>
      <t>. National average sulfur content</t>
    </r>
  </si>
  <si>
    <r>
      <t>of propane 0.54 gr/100ft</t>
    </r>
    <r>
      <rPr>
        <vertAlign val="superscript"/>
        <sz val="9"/>
        <rFont val="Arial"/>
        <family val="2"/>
      </rPr>
      <t>3</t>
    </r>
  </si>
  <si>
    <r>
      <t>RECIPROCATING ENGINES (&lt;600HP) DIESEL (lb/MMBtu)</t>
    </r>
    <r>
      <rPr>
        <b/>
        <vertAlign val="superscript"/>
        <sz val="9"/>
        <rFont val="Arial"/>
        <family val="2"/>
      </rPr>
      <t>1</t>
    </r>
  </si>
  <si>
    <t>p-sbap5-25  •  12/13/23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</si>
</sst>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000"/>
    <numFmt numFmtId="165" formatCode="0.0"/>
    <numFmt numFmtId="166" formatCode="0.0000"/>
    <numFmt numFmtId="167" formatCode="0.0000%"/>
    <numFmt numFmtId="168" formatCode="00000"/>
    <numFmt numFmtId="169" formatCode="0.00000"/>
    <numFmt numFmtId="170" formatCode="0.000"/>
    <numFmt numFmtId="171" formatCode="0.00000000"/>
    <numFmt numFmtId="172" formatCode="0.000000"/>
  </numFmts>
  <fonts count="75" x14ac:knownFonts="1">
    <font>
      <sz val="11"/>
      <color theme="1"/>
      <name val="Calibri"/>
      <family val="2"/>
      <scheme val="minor"/>
    </font>
    <font>
      <sz val="11"/>
      <color theme="1"/>
      <name val="Calibri"/>
      <family val="2"/>
      <scheme val="minor"/>
    </font>
    <font>
      <b/>
      <sz val="22"/>
      <color theme="1"/>
      <name val="Calibri"/>
      <family val="2"/>
      <scheme val="minor"/>
    </font>
    <font>
      <b/>
      <sz val="16"/>
      <color rgb="FF7F7F7F"/>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1"/>
      <color rgb="FF008EAA"/>
      <name val="Calibri"/>
      <family val="2"/>
      <scheme val="minor"/>
    </font>
    <font>
      <sz val="10"/>
      <name val="Calibri"/>
      <family val="2"/>
      <scheme val="minor"/>
    </font>
    <font>
      <u/>
      <sz val="9"/>
      <color theme="10"/>
      <name val="Calibri"/>
      <family val="2"/>
      <scheme val="minor"/>
    </font>
    <font>
      <sz val="10"/>
      <name val="Arial"/>
      <family val="2"/>
    </font>
    <font>
      <b/>
      <sz val="14"/>
      <name val="Calibri"/>
      <family val="2"/>
      <scheme val="minor"/>
    </font>
    <font>
      <sz val="11"/>
      <color rgb="FF006100"/>
      <name val="Calibri"/>
      <family val="2"/>
      <scheme val="minor"/>
    </font>
    <font>
      <sz val="10"/>
      <color indexed="8"/>
      <name val="Arial"/>
      <family val="2"/>
    </font>
    <font>
      <i/>
      <sz val="11"/>
      <color rgb="FF7F7F7F"/>
      <name val="Calibri"/>
      <family val="2"/>
      <scheme val="minor"/>
    </font>
    <font>
      <b/>
      <sz val="14"/>
      <color rgb="FF000000"/>
      <name val="Calibri"/>
      <family val="2"/>
    </font>
    <font>
      <sz val="20"/>
      <color theme="1"/>
      <name val="Calibri"/>
      <family val="2"/>
      <scheme val="minor"/>
    </font>
    <font>
      <sz val="11"/>
      <color theme="1"/>
      <name val="Arial"/>
      <family val="2"/>
    </font>
    <font>
      <sz val="10"/>
      <color theme="1"/>
      <name val="Arial"/>
      <family val="2"/>
    </font>
    <font>
      <sz val="9"/>
      <color theme="1"/>
      <name val="Arial"/>
      <family val="2"/>
    </font>
    <font>
      <i/>
      <sz val="10"/>
      <color theme="1"/>
      <name val="Arial"/>
      <family val="2"/>
    </font>
    <font>
      <u/>
      <sz val="10"/>
      <color rgb="FF0000FF"/>
      <name val="Arial"/>
      <family val="2"/>
    </font>
    <font>
      <u/>
      <sz val="10"/>
      <color theme="10"/>
      <name val="Arial"/>
      <family val="2"/>
    </font>
    <font>
      <u/>
      <sz val="10"/>
      <color theme="4" tint="-0.24994659260841701"/>
      <name val="Arial"/>
      <family val="2"/>
    </font>
    <font>
      <b/>
      <sz val="11"/>
      <color rgb="FF008EAA"/>
      <name val="Arial"/>
      <family val="2"/>
    </font>
    <font>
      <b/>
      <sz val="11"/>
      <color theme="1"/>
      <name val="Arial"/>
      <family val="2"/>
    </font>
    <font>
      <sz val="12"/>
      <color theme="1"/>
      <name val="Arial"/>
      <family val="2"/>
    </font>
    <font>
      <b/>
      <sz val="12"/>
      <color theme="1"/>
      <name val="Arial"/>
      <family val="2"/>
    </font>
    <font>
      <u/>
      <sz val="9"/>
      <color rgb="FF0000FF"/>
      <name val="Arial"/>
      <family val="2"/>
    </font>
    <font>
      <b/>
      <sz val="10"/>
      <color theme="1"/>
      <name val="Arial"/>
      <family val="2"/>
    </font>
    <font>
      <sz val="9"/>
      <name val="Arial"/>
      <family val="2"/>
    </font>
    <font>
      <b/>
      <sz val="9"/>
      <color theme="1"/>
      <name val="Arial"/>
      <family val="2"/>
    </font>
    <font>
      <b/>
      <sz val="9"/>
      <name val="Arial"/>
      <family val="2"/>
    </font>
    <font>
      <b/>
      <sz val="10"/>
      <name val="Arial"/>
      <family val="2"/>
    </font>
    <font>
      <b/>
      <sz val="10"/>
      <color rgb="FF008EAA"/>
      <name val="Arial"/>
      <family val="2"/>
    </font>
    <font>
      <b/>
      <vertAlign val="superscript"/>
      <sz val="10"/>
      <color theme="1"/>
      <name val="Arial"/>
      <family val="2"/>
    </font>
    <font>
      <b/>
      <vertAlign val="superscript"/>
      <sz val="10"/>
      <name val="Arial"/>
      <family val="2"/>
    </font>
    <font>
      <sz val="9"/>
      <color theme="0"/>
      <name val="Arial"/>
      <family val="2"/>
    </font>
    <font>
      <sz val="8"/>
      <name val="Arial"/>
      <family val="2"/>
    </font>
    <font>
      <vertAlign val="subscript"/>
      <sz val="10"/>
      <name val="Arial"/>
      <family val="2"/>
    </font>
    <font>
      <vertAlign val="superscript"/>
      <sz val="10"/>
      <name val="Arial"/>
      <family val="2"/>
    </font>
    <font>
      <i/>
      <sz val="8"/>
      <name val="Arial"/>
      <family val="2"/>
    </font>
    <font>
      <vertAlign val="superscript"/>
      <sz val="9"/>
      <name val="Arial"/>
      <family val="2"/>
    </font>
    <font>
      <vertAlign val="subscript"/>
      <sz val="9"/>
      <name val="Arial"/>
      <family val="2"/>
    </font>
    <font>
      <vertAlign val="subscript"/>
      <sz val="9"/>
      <color theme="1"/>
      <name val="Arial"/>
      <family val="2"/>
    </font>
    <font>
      <vertAlign val="subscript"/>
      <sz val="10"/>
      <color theme="1"/>
      <name val="Arial"/>
      <family val="2"/>
    </font>
    <font>
      <i/>
      <sz val="10"/>
      <name val="Arial"/>
      <family val="2"/>
    </font>
    <font>
      <i/>
      <sz val="9"/>
      <color rgb="FF0000FF"/>
      <name val="Arial"/>
      <family val="2"/>
    </font>
    <font>
      <sz val="9"/>
      <color rgb="FF0000FF"/>
      <name val="Arial"/>
      <family val="2"/>
    </font>
    <font>
      <b/>
      <vertAlign val="superscript"/>
      <sz val="9"/>
      <name val="Arial"/>
      <family val="2"/>
    </font>
    <font>
      <i/>
      <sz val="9"/>
      <name val="Arial"/>
      <family val="2"/>
    </font>
    <font>
      <b/>
      <vertAlign val="subscript"/>
      <sz val="9"/>
      <name val="Arial"/>
      <family val="2"/>
    </font>
    <font>
      <vertAlign val="superscript"/>
      <sz val="9"/>
      <color indexed="8"/>
      <name val="Arial"/>
      <family val="2"/>
    </font>
    <font>
      <sz val="9"/>
      <color indexed="8"/>
      <name val="Arial"/>
      <family val="2"/>
    </font>
    <font>
      <sz val="9"/>
      <color theme="4" tint="-0.499984740745262"/>
      <name val="Arial"/>
      <family val="2"/>
    </font>
    <font>
      <b/>
      <sz val="11"/>
      <color rgb="FFFF0000"/>
      <name val="Arial"/>
      <family val="2"/>
    </font>
    <font>
      <sz val="7"/>
      <color indexed="81"/>
      <name val="Arial"/>
      <family val="2"/>
    </font>
    <font>
      <sz val="10"/>
      <color rgb="FFFF0000"/>
      <name val="Arial"/>
      <family val="2"/>
    </font>
    <font>
      <b/>
      <sz val="11"/>
      <color rgb="FF00B0F0"/>
      <name val="Arial"/>
      <family val="2"/>
    </font>
    <font>
      <vertAlign val="superscript"/>
      <sz val="10"/>
      <color theme="1"/>
      <name val="Arial"/>
      <family val="2"/>
    </font>
    <font>
      <sz val="10"/>
      <name val="Arial"/>
      <family val="2"/>
    </font>
    <font>
      <i/>
      <sz val="9"/>
      <color theme="1"/>
      <name val="Arial"/>
      <family val="2"/>
    </font>
    <font>
      <b/>
      <i/>
      <sz val="10"/>
      <color theme="0" tint="-0.499984740745262"/>
      <name val="Arial"/>
      <family val="2"/>
    </font>
    <font>
      <i/>
      <sz val="10"/>
      <color theme="0" tint="-0.499984740745262"/>
      <name val="Arial"/>
      <family val="2"/>
    </font>
    <font>
      <sz val="21"/>
      <color rgb="FF003865"/>
      <name val="Arial"/>
      <family val="2"/>
    </font>
    <font>
      <vertAlign val="superscript"/>
      <sz val="9"/>
      <color theme="1"/>
      <name val="Arial"/>
      <family val="2"/>
    </font>
    <font>
      <b/>
      <sz val="11"/>
      <color theme="1"/>
      <name val="Calibri"/>
      <family val="2"/>
      <scheme val="minor"/>
    </font>
    <font>
      <u/>
      <sz val="8"/>
      <color rgb="FF0000FF"/>
      <name val="Arial"/>
      <family val="2"/>
    </font>
    <font>
      <sz val="10"/>
      <color rgb="FF000000"/>
      <name val="Arial"/>
      <family val="2"/>
    </font>
    <font>
      <sz val="11"/>
      <color theme="0"/>
      <name val="Calibri"/>
      <family val="2"/>
      <scheme val="minor"/>
    </font>
    <font>
      <b/>
      <vertAlign val="superscript"/>
      <sz val="9"/>
      <color theme="1"/>
      <name val="Arial"/>
      <family val="2"/>
    </font>
    <font>
      <sz val="11"/>
      <color theme="0"/>
      <name val="Arial"/>
      <family val="2"/>
    </font>
    <font>
      <b/>
      <sz val="10"/>
      <color theme="1"/>
      <name val="Calibri"/>
      <family val="2"/>
      <scheme val="minor"/>
    </font>
    <font>
      <sz val="8"/>
      <color indexed="81"/>
      <name val="Arial"/>
      <family val="2"/>
    </font>
  </fonts>
  <fills count="10">
    <fill>
      <patternFill patternType="none"/>
    </fill>
    <fill>
      <patternFill patternType="gray125"/>
    </fill>
    <fill>
      <patternFill patternType="solid">
        <fgColor rgb="FFD1EAFF"/>
        <bgColor indexed="64"/>
      </patternFill>
    </fill>
    <fill>
      <patternFill patternType="solid">
        <fgColor rgb="FFFFEDC1"/>
        <bgColor indexed="64"/>
      </patternFill>
    </fill>
    <fill>
      <patternFill patternType="solid">
        <fgColor rgb="FFEAF8D8"/>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theme="0"/>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top style="medium">
        <color indexed="64"/>
      </top>
      <bottom style="medium">
        <color indexed="64"/>
      </bottom>
      <diagonal/>
    </border>
    <border>
      <left style="thin">
        <color indexed="64"/>
      </left>
      <right/>
      <top style="dotted">
        <color indexed="64"/>
      </top>
      <bottom/>
      <diagonal/>
    </border>
  </borders>
  <cellStyleXfs count="24">
    <xf numFmtId="0" fontId="0" fillId="0" borderId="0"/>
    <xf numFmtId="0" fontId="22" fillId="0" borderId="0" applyNumberFormat="0" applyFill="0" applyBorder="0" applyAlignment="0" applyProtection="0"/>
    <xf numFmtId="0" fontId="2" fillId="0" borderId="0" applyNumberFormat="0" applyFill="0" applyBorder="0" applyProtection="0">
      <alignment horizontal="right" vertical="center"/>
    </xf>
    <xf numFmtId="0" fontId="3" fillId="0" borderId="0" applyNumberFormat="0" applyFill="0" applyBorder="0" applyProtection="0">
      <alignment horizontal="right" vertical="center"/>
    </xf>
    <xf numFmtId="0" fontId="7" fillId="0" borderId="0" applyNumberFormat="0" applyFill="0" applyBorder="0" applyProtection="0">
      <alignment vertical="center"/>
    </xf>
    <xf numFmtId="0" fontId="4" fillId="0" borderId="0" applyNumberFormat="0" applyFill="0" applyBorder="0" applyProtection="0">
      <alignment vertical="center"/>
    </xf>
    <xf numFmtId="0" fontId="10" fillId="0" borderId="0" applyNumberFormat="0" applyFill="0" applyBorder="0" applyProtection="0">
      <alignment vertical="center"/>
    </xf>
    <xf numFmtId="0" fontId="5" fillId="0" borderId="0" applyNumberFormat="0" applyFill="0" applyBorder="0" applyProtection="0">
      <alignment vertical="center"/>
    </xf>
    <xf numFmtId="0" fontId="6" fillId="0" borderId="0" applyNumberFormat="0" applyFill="0" applyBorder="0" applyProtection="0">
      <alignment vertical="center"/>
    </xf>
    <xf numFmtId="0" fontId="1" fillId="2" borderId="0" applyNumberFormat="0" applyFont="0" applyBorder="0" applyAlignment="0" applyProtection="0">
      <alignment vertical="center"/>
    </xf>
    <xf numFmtId="0" fontId="1" fillId="3" borderId="0" applyNumberFormat="0" applyFont="0" applyBorder="0" applyAlignment="0" applyProtection="0">
      <alignment vertical="center"/>
    </xf>
    <xf numFmtId="0" fontId="1" fillId="4" borderId="0" applyNumberFormat="0" applyFont="0" applyBorder="0" applyAlignment="0" applyProtection="0">
      <alignment vertical="center"/>
    </xf>
    <xf numFmtId="0" fontId="1" fillId="5" borderId="0" applyNumberFormat="0" applyFont="0" applyBorder="0" applyAlignment="0" applyProtection="0">
      <alignment vertical="center"/>
    </xf>
    <xf numFmtId="0" fontId="8" fillId="0" borderId="0" applyNumberFormat="0" applyBorder="0" applyAlignment="0" applyProtection="0">
      <alignment vertical="center"/>
    </xf>
    <xf numFmtId="0" fontId="7" fillId="0" borderId="0" applyNumberFormat="0" applyFill="0" applyBorder="0" applyProtection="0">
      <alignment horizontal="right"/>
    </xf>
    <xf numFmtId="43" fontId="1" fillId="0" borderId="0" applyFont="0" applyFill="0" applyBorder="0" applyAlignment="0" applyProtection="0"/>
    <xf numFmtId="0" fontId="11" fillId="5" borderId="0" applyFont="0" applyBorder="0" applyAlignment="0" applyProtection="0">
      <alignment horizontal="left"/>
    </xf>
    <xf numFmtId="0" fontId="11" fillId="0" borderId="0"/>
    <xf numFmtId="0" fontId="11" fillId="3" borderId="0" applyFont="0" applyBorder="0" applyAlignment="0" applyProtection="0"/>
    <xf numFmtId="43" fontId="11" fillId="0" borderId="0" applyFont="0" applyFill="0" applyBorder="0" applyAlignment="0" applyProtection="0"/>
    <xf numFmtId="0" fontId="13" fillId="7" borderId="0" applyNumberFormat="0" applyBorder="0" applyAlignment="0" applyProtection="0"/>
    <xf numFmtId="0" fontId="14" fillId="0" borderId="0"/>
    <xf numFmtId="0" fontId="15" fillId="0" borderId="0" applyNumberFormat="0" applyFill="0" applyBorder="0" applyAlignment="0" applyProtection="0"/>
    <xf numFmtId="0" fontId="1" fillId="0" borderId="0"/>
  </cellStyleXfs>
  <cellXfs count="529">
    <xf numFmtId="0" fontId="0" fillId="0" borderId="0" xfId="0"/>
    <xf numFmtId="0" fontId="7" fillId="0" borderId="0" xfId="4">
      <alignment vertical="center"/>
    </xf>
    <xf numFmtId="0" fontId="9" fillId="0" borderId="0" xfId="17" applyFont="1"/>
    <xf numFmtId="0" fontId="19" fillId="0" borderId="0" xfId="0" applyFont="1"/>
    <xf numFmtId="0" fontId="21" fillId="0" borderId="0" xfId="0" applyFont="1"/>
    <xf numFmtId="0" fontId="19" fillId="0" borderId="0" xfId="4" applyFont="1" applyAlignment="1">
      <alignment horizontal="right" vertical="center"/>
    </xf>
    <xf numFmtId="0" fontId="18" fillId="0" borderId="0" xfId="0" applyFont="1"/>
    <xf numFmtId="0" fontId="20" fillId="0" borderId="0" xfId="0" applyFont="1"/>
    <xf numFmtId="168" fontId="19" fillId="0" borderId="0" xfId="0" applyNumberFormat="1" applyFont="1" applyAlignment="1">
      <alignment horizontal="right" vertical="center"/>
    </xf>
    <xf numFmtId="0" fontId="19" fillId="0" borderId="0" xfId="4" applyFont="1">
      <alignment vertical="center"/>
    </xf>
    <xf numFmtId="0" fontId="11" fillId="0" borderId="25" xfId="17" applyBorder="1" applyAlignment="1">
      <alignment horizontal="center"/>
    </xf>
    <xf numFmtId="0" fontId="11" fillId="0" borderId="24" xfId="17" applyBorder="1" applyAlignment="1">
      <alignment horizontal="center"/>
    </xf>
    <xf numFmtId="0" fontId="11" fillId="0" borderId="16" xfId="17" applyBorder="1" applyAlignment="1">
      <alignment horizontal="center"/>
    </xf>
    <xf numFmtId="0" fontId="11" fillId="0" borderId="16" xfId="11" applyFont="1" applyFill="1" applyBorder="1" applyAlignment="1">
      <alignment horizontal="center"/>
    </xf>
    <xf numFmtId="0" fontId="11" fillId="0" borderId="17" xfId="11" applyFont="1" applyFill="1" applyBorder="1" applyAlignment="1">
      <alignment horizontal="center"/>
    </xf>
    <xf numFmtId="0" fontId="18" fillId="0" borderId="46" xfId="0" applyFont="1" applyBorder="1"/>
    <xf numFmtId="0" fontId="31" fillId="0" borderId="26" xfId="17" applyFont="1" applyBorder="1" applyAlignment="1">
      <alignment wrapText="1"/>
    </xf>
    <xf numFmtId="0" fontId="20" fillId="0" borderId="15" xfId="0" applyFont="1" applyBorder="1"/>
    <xf numFmtId="0" fontId="31" fillId="0" borderId="8" xfId="17" applyFont="1" applyBorder="1" applyAlignment="1">
      <alignment horizontal="center" wrapText="1"/>
    </xf>
    <xf numFmtId="0" fontId="31" fillId="0" borderId="15" xfId="17" applyFont="1" applyBorder="1" applyAlignment="1">
      <alignment horizontal="center" wrapText="1"/>
    </xf>
    <xf numFmtId="0" fontId="31" fillId="0" borderId="8" xfId="11" applyFont="1" applyFill="1" applyBorder="1" applyAlignment="1">
      <alignment horizontal="center" wrapText="1"/>
    </xf>
    <xf numFmtId="0" fontId="31" fillId="0" borderId="29" xfId="11" applyFont="1" applyFill="1" applyBorder="1" applyAlignment="1">
      <alignment horizontal="center" wrapText="1"/>
    </xf>
    <xf numFmtId="0" fontId="39" fillId="0" borderId="26" xfId="17" applyFont="1" applyBorder="1" applyAlignment="1">
      <alignment wrapText="1"/>
    </xf>
    <xf numFmtId="0" fontId="18" fillId="0" borderId="15" xfId="0" applyFont="1" applyBorder="1"/>
    <xf numFmtId="0" fontId="19" fillId="0" borderId="14" xfId="0" applyFont="1" applyBorder="1" applyAlignment="1">
      <alignment horizontal="center"/>
    </xf>
    <xf numFmtId="0" fontId="31" fillId="0" borderId="14" xfId="17" applyFont="1" applyBorder="1" applyAlignment="1">
      <alignment horizontal="center" wrapText="1"/>
    </xf>
    <xf numFmtId="0" fontId="18" fillId="0" borderId="34" xfId="0" applyFont="1" applyBorder="1"/>
    <xf numFmtId="0" fontId="31" fillId="0" borderId="34" xfId="17" applyFont="1" applyBorder="1" applyAlignment="1">
      <alignment horizontal="center"/>
    </xf>
    <xf numFmtId="0" fontId="18" fillId="0" borderId="34" xfId="0" applyFont="1" applyBorder="1" applyAlignment="1">
      <alignment horizontal="center"/>
    </xf>
    <xf numFmtId="0" fontId="19" fillId="0" borderId="34" xfId="4" applyFont="1" applyBorder="1" applyAlignment="1">
      <alignment horizontal="center" vertical="center"/>
    </xf>
    <xf numFmtId="0" fontId="31" fillId="0" borderId="34" xfId="17" applyFont="1" applyBorder="1" applyAlignment="1">
      <alignment horizontal="center" wrapText="1"/>
    </xf>
    <xf numFmtId="0" fontId="31" fillId="0" borderId="34" xfId="11" applyFont="1" applyFill="1" applyBorder="1" applyAlignment="1">
      <alignment horizontal="center" wrapText="1"/>
    </xf>
    <xf numFmtId="0" fontId="19" fillId="0" borderId="37" xfId="4" applyFont="1" applyBorder="1" applyAlignment="1">
      <alignment horizontal="right" vertical="center"/>
    </xf>
    <xf numFmtId="0" fontId="20" fillId="0" borderId="42" xfId="4" applyFont="1" applyBorder="1" applyAlignment="1">
      <alignment horizontal="center" vertical="center"/>
    </xf>
    <xf numFmtId="0" fontId="11" fillId="0" borderId="26" xfId="17" applyBorder="1" applyAlignment="1">
      <alignment horizontal="right" vertical="center"/>
    </xf>
    <xf numFmtId="1" fontId="11" fillId="0" borderId="0" xfId="15" applyNumberFormat="1" applyFont="1" applyAlignment="1">
      <alignment horizontal="center"/>
    </xf>
    <xf numFmtId="3" fontId="11" fillId="0" borderId="0" xfId="17" applyNumberFormat="1" applyAlignment="1">
      <alignment horizontal="right"/>
    </xf>
    <xf numFmtId="1" fontId="11" fillId="0" borderId="0" xfId="17" applyNumberFormat="1" applyAlignment="1">
      <alignment horizontal="center"/>
    </xf>
    <xf numFmtId="166" fontId="19" fillId="3" borderId="13" xfId="4" applyNumberFormat="1" applyFont="1" applyFill="1" applyBorder="1" applyAlignment="1">
      <alignment horizontal="center" vertical="center"/>
    </xf>
    <xf numFmtId="2" fontId="34" fillId="4" borderId="13" xfId="11" applyNumberFormat="1" applyFont="1" applyBorder="1" applyAlignment="1">
      <alignment horizontal="center"/>
    </xf>
    <xf numFmtId="2" fontId="34" fillId="4" borderId="27" xfId="11" applyNumberFormat="1" applyFont="1" applyBorder="1" applyAlignment="1">
      <alignment horizontal="center"/>
    </xf>
    <xf numFmtId="165" fontId="33" fillId="5" borderId="43" xfId="12" applyNumberFormat="1" applyFont="1" applyBorder="1" applyAlignment="1">
      <alignment horizontal="center" vertical="center"/>
    </xf>
    <xf numFmtId="2" fontId="34" fillId="4" borderId="12" xfId="11" applyNumberFormat="1" applyFont="1" applyBorder="1" applyAlignment="1">
      <alignment horizontal="center"/>
    </xf>
    <xf numFmtId="165" fontId="33" fillId="5" borderId="44" xfId="12" applyNumberFormat="1" applyFont="1" applyBorder="1" applyAlignment="1">
      <alignment horizontal="center" vertical="center"/>
    </xf>
    <xf numFmtId="165" fontId="33" fillId="0" borderId="44" xfId="12" applyNumberFormat="1" applyFont="1" applyFill="1" applyBorder="1" applyAlignment="1">
      <alignment horizontal="center" vertical="center"/>
    </xf>
    <xf numFmtId="0" fontId="11" fillId="0" borderId="28" xfId="17" applyBorder="1" applyAlignment="1">
      <alignment horizontal="right" vertical="center"/>
    </xf>
    <xf numFmtId="0" fontId="18" fillId="0" borderId="19" xfId="0" applyFont="1" applyBorder="1"/>
    <xf numFmtId="1" fontId="11" fillId="0" borderId="19" xfId="15" applyNumberFormat="1" applyFont="1" applyBorder="1" applyAlignment="1">
      <alignment horizontal="center"/>
    </xf>
    <xf numFmtId="3" fontId="11" fillId="0" borderId="19" xfId="17" applyNumberFormat="1" applyBorder="1" applyAlignment="1">
      <alignment horizontal="right"/>
    </xf>
    <xf numFmtId="1" fontId="11" fillId="0" borderId="19" xfId="17" applyNumberFormat="1" applyBorder="1" applyAlignment="1">
      <alignment horizontal="center"/>
    </xf>
    <xf numFmtId="0" fontId="19" fillId="3" borderId="13" xfId="4" applyFont="1" applyFill="1" applyBorder="1" applyAlignment="1">
      <alignment horizontal="center" vertical="center"/>
    </xf>
    <xf numFmtId="2" fontId="34" fillId="4" borderId="20" xfId="11" applyNumberFormat="1" applyFont="1" applyBorder="1" applyAlignment="1">
      <alignment horizontal="center"/>
    </xf>
    <xf numFmtId="2" fontId="34" fillId="4" borderId="21" xfId="11" applyNumberFormat="1" applyFont="1" applyBorder="1" applyAlignment="1">
      <alignment horizontal="center"/>
    </xf>
    <xf numFmtId="165" fontId="33" fillId="0" borderId="45" xfId="12" applyNumberFormat="1" applyFont="1" applyFill="1" applyBorder="1" applyAlignment="1">
      <alignment horizontal="center" vertical="center"/>
    </xf>
    <xf numFmtId="1" fontId="20" fillId="0" borderId="46" xfId="4" applyNumberFormat="1" applyFont="1" applyBorder="1" applyAlignment="1">
      <alignment horizontal="right" vertical="center"/>
    </xf>
    <xf numFmtId="0" fontId="11" fillId="0" borderId="26" xfId="17" applyBorder="1" applyAlignment="1">
      <alignment horizontal="right"/>
    </xf>
    <xf numFmtId="1" fontId="42" fillId="0" borderId="0" xfId="15" applyNumberFormat="1" applyFont="1" applyAlignment="1">
      <alignment horizontal="center"/>
    </xf>
    <xf numFmtId="1" fontId="33" fillId="0" borderId="40" xfId="11" applyNumberFormat="1" applyFont="1" applyFill="1" applyBorder="1" applyAlignment="1">
      <alignment horizontal="center" vertical="center"/>
    </xf>
    <xf numFmtId="166" fontId="34" fillId="4" borderId="12" xfId="11" applyNumberFormat="1" applyFont="1" applyBorder="1" applyAlignment="1">
      <alignment horizontal="center"/>
    </xf>
    <xf numFmtId="166" fontId="34" fillId="4" borderId="27" xfId="11" applyNumberFormat="1" applyFont="1" applyBorder="1" applyAlignment="1">
      <alignment horizontal="center"/>
    </xf>
    <xf numFmtId="1" fontId="33" fillId="0" borderId="43" xfId="11" applyNumberFormat="1" applyFont="1" applyFill="1" applyBorder="1" applyAlignment="1">
      <alignment horizontal="center" vertical="center"/>
    </xf>
    <xf numFmtId="0" fontId="18" fillId="0" borderId="22" xfId="0" applyFont="1" applyBorder="1"/>
    <xf numFmtId="0" fontId="18" fillId="0" borderId="23" xfId="0" applyFont="1" applyBorder="1"/>
    <xf numFmtId="0" fontId="11" fillId="0" borderId="23" xfId="17" applyBorder="1" applyAlignment="1">
      <alignment horizontal="right" vertical="center"/>
    </xf>
    <xf numFmtId="0" fontId="18" fillId="0" borderId="20" xfId="0" applyFont="1" applyBorder="1" applyAlignment="1">
      <alignment horizontal="center"/>
    </xf>
    <xf numFmtId="1" fontId="33" fillId="5" borderId="45" xfId="12" applyNumberFormat="1" applyFont="1" applyBorder="1" applyAlignment="1">
      <alignment horizontal="center" vertical="center"/>
    </xf>
    <xf numFmtId="0" fontId="20" fillId="0" borderId="39" xfId="0" applyFont="1" applyBorder="1" applyAlignment="1">
      <alignment horizontal="right"/>
    </xf>
    <xf numFmtId="0" fontId="31" fillId="0" borderId="0" xfId="17" applyFont="1" applyAlignment="1">
      <alignment horizontal="center"/>
    </xf>
    <xf numFmtId="0" fontId="18" fillId="0" borderId="0" xfId="0" applyFont="1" applyAlignment="1">
      <alignment horizontal="center"/>
    </xf>
    <xf numFmtId="0" fontId="19" fillId="0" borderId="0" xfId="4" applyFont="1" applyAlignment="1">
      <alignment horizontal="center" vertical="center"/>
    </xf>
    <xf numFmtId="0" fontId="20" fillId="0" borderId="26" xfId="0" applyFont="1" applyBorder="1" applyAlignment="1">
      <alignment horizontal="right"/>
    </xf>
    <xf numFmtId="0" fontId="31" fillId="0" borderId="26" xfId="17" applyFont="1" applyBorder="1" applyAlignment="1">
      <alignment horizontal="right" vertical="center"/>
    </xf>
    <xf numFmtId="166" fontId="30" fillId="4" borderId="20" xfId="11" applyNumberFormat="1" applyFont="1" applyBorder="1" applyAlignment="1">
      <alignment horizontal="center"/>
    </xf>
    <xf numFmtId="166" fontId="30" fillId="4" borderId="21" xfId="11" applyNumberFormat="1" applyFont="1" applyBorder="1" applyAlignment="1">
      <alignment horizontal="center"/>
    </xf>
    <xf numFmtId="0" fontId="19" fillId="2" borderId="12" xfId="9" applyFont="1" applyBorder="1" applyAlignment="1">
      <alignment horizontal="center" vertical="center" wrapText="1"/>
    </xf>
    <xf numFmtId="0" fontId="26" fillId="0" borderId="33" xfId="8" applyFont="1" applyBorder="1">
      <alignment vertical="center"/>
    </xf>
    <xf numFmtId="0" fontId="29" fillId="0" borderId="37" xfId="6" applyFont="1" applyBorder="1" applyAlignment="1">
      <alignment horizontal="right" vertical="center"/>
    </xf>
    <xf numFmtId="0" fontId="32" fillId="0" borderId="24" xfId="0" applyFont="1" applyBorder="1" applyAlignment="1">
      <alignment horizontal="center" vertical="center"/>
    </xf>
    <xf numFmtId="0" fontId="33" fillId="0" borderId="16" xfId="11" applyFont="1" applyFill="1" applyBorder="1" applyAlignment="1">
      <alignment horizontal="center" vertical="center" wrapText="1"/>
    </xf>
    <xf numFmtId="0" fontId="33" fillId="0" borderId="17" xfId="11" applyFont="1" applyFill="1" applyBorder="1" applyAlignment="1">
      <alignment horizontal="center" vertical="center" wrapText="1"/>
    </xf>
    <xf numFmtId="0" fontId="31" fillId="0" borderId="36" xfId="11" applyFont="1" applyFill="1" applyBorder="1" applyAlignment="1">
      <alignment horizontal="center" wrapText="1"/>
    </xf>
    <xf numFmtId="0" fontId="31" fillId="0" borderId="38" xfId="11" applyFont="1" applyFill="1" applyBorder="1" applyAlignment="1">
      <alignment horizontal="center" wrapText="1"/>
    </xf>
    <xf numFmtId="0" fontId="26" fillId="0" borderId="47" xfId="8" applyFont="1" applyBorder="1">
      <alignment vertical="center"/>
    </xf>
    <xf numFmtId="0" fontId="20" fillId="0" borderId="34" xfId="0" applyFont="1" applyBorder="1" applyAlignment="1">
      <alignment horizontal="center"/>
    </xf>
    <xf numFmtId="0" fontId="20" fillId="0" borderId="35" xfId="4" applyFont="1" applyBorder="1" applyAlignment="1">
      <alignment horizontal="right" vertical="center"/>
    </xf>
    <xf numFmtId="2" fontId="20" fillId="0" borderId="0" xfId="0" applyNumberFormat="1" applyFont="1" applyAlignment="1">
      <alignment horizontal="center"/>
    </xf>
    <xf numFmtId="2" fontId="33" fillId="4" borderId="12" xfId="11" applyNumberFormat="1" applyFont="1" applyBorder="1" applyAlignment="1">
      <alignment horizontal="center" vertical="center"/>
    </xf>
    <xf numFmtId="1" fontId="33" fillId="5" borderId="32" xfId="12" applyNumberFormat="1" applyFont="1" applyBorder="1" applyAlignment="1">
      <alignment horizontal="center" vertical="center"/>
    </xf>
    <xf numFmtId="2" fontId="33" fillId="4" borderId="13" xfId="11" applyNumberFormat="1" applyFont="1" applyBorder="1" applyAlignment="1">
      <alignment horizontal="center" vertical="center"/>
    </xf>
    <xf numFmtId="1" fontId="33" fillId="5" borderId="27" xfId="12" applyNumberFormat="1" applyFont="1" applyBorder="1" applyAlignment="1">
      <alignment horizontal="center" vertical="center"/>
    </xf>
    <xf numFmtId="0" fontId="31" fillId="0" borderId="28" xfId="17" applyFont="1" applyBorder="1" applyAlignment="1">
      <alignment horizontal="right" vertical="center"/>
    </xf>
    <xf numFmtId="165" fontId="33" fillId="5" borderId="21" xfId="12" applyNumberFormat="1" applyFont="1" applyBorder="1" applyAlignment="1">
      <alignment horizontal="center" vertical="center"/>
    </xf>
    <xf numFmtId="2" fontId="20" fillId="0" borderId="34" xfId="0" applyNumberFormat="1" applyFont="1" applyBorder="1" applyAlignment="1">
      <alignment horizontal="center"/>
    </xf>
    <xf numFmtId="2" fontId="31" fillId="0" borderId="34" xfId="17" applyNumberFormat="1" applyFont="1" applyBorder="1" applyAlignment="1">
      <alignment horizontal="center"/>
    </xf>
    <xf numFmtId="2" fontId="31" fillId="0" borderId="34" xfId="11" applyNumberFormat="1" applyFont="1" applyFill="1" applyBorder="1" applyAlignment="1">
      <alignment horizontal="center" wrapText="1"/>
    </xf>
    <xf numFmtId="1" fontId="20" fillId="0" borderId="37" xfId="4" applyNumberFormat="1" applyFont="1" applyBorder="1" applyAlignment="1">
      <alignment horizontal="right" vertical="center"/>
    </xf>
    <xf numFmtId="0" fontId="31" fillId="0" borderId="26" xfId="17" applyFont="1" applyBorder="1" applyAlignment="1">
      <alignment horizontal="right"/>
    </xf>
    <xf numFmtId="1" fontId="33" fillId="0" borderId="49" xfId="11" applyNumberFormat="1" applyFont="1" applyFill="1" applyBorder="1" applyAlignment="1">
      <alignment horizontal="center" vertical="center"/>
    </xf>
    <xf numFmtId="166" fontId="33" fillId="4" borderId="13" xfId="11" applyNumberFormat="1" applyFont="1" applyBorder="1" applyAlignment="1">
      <alignment horizontal="center" vertical="center"/>
    </xf>
    <xf numFmtId="1" fontId="33" fillId="0" borderId="29" xfId="11" applyNumberFormat="1" applyFont="1" applyFill="1" applyBorder="1" applyAlignment="1">
      <alignment horizontal="center" vertical="center"/>
    </xf>
    <xf numFmtId="1" fontId="33" fillId="0" borderId="32" xfId="11" applyNumberFormat="1" applyFont="1" applyFill="1" applyBorder="1" applyAlignment="1">
      <alignment horizontal="center" vertical="center"/>
    </xf>
    <xf numFmtId="0" fontId="20" fillId="0" borderId="22" xfId="0" applyFont="1" applyBorder="1" applyAlignment="1">
      <alignment horizontal="left"/>
    </xf>
    <xf numFmtId="2" fontId="20" fillId="0" borderId="23" xfId="0" applyNumberFormat="1" applyFont="1" applyBorder="1" applyAlignment="1">
      <alignment horizontal="center"/>
    </xf>
    <xf numFmtId="1" fontId="33" fillId="5" borderId="21" xfId="12" applyNumberFormat="1" applyFont="1" applyBorder="1" applyAlignment="1">
      <alignment horizontal="center" vertical="center"/>
    </xf>
    <xf numFmtId="2" fontId="20" fillId="0" borderId="34" xfId="4" applyNumberFormat="1" applyFont="1" applyBorder="1" applyAlignment="1">
      <alignment horizontal="center"/>
    </xf>
    <xf numFmtId="166" fontId="33" fillId="4" borderId="12" xfId="11" applyNumberFormat="1" applyFont="1" applyBorder="1" applyAlignment="1">
      <alignment horizontal="center" vertical="center"/>
    </xf>
    <xf numFmtId="1" fontId="38" fillId="0" borderId="49" xfId="4" applyNumberFormat="1" applyFont="1" applyBorder="1" applyAlignment="1">
      <alignment horizontal="right" vertical="center"/>
    </xf>
    <xf numFmtId="1" fontId="38" fillId="0" borderId="29" xfId="4" applyNumberFormat="1" applyFont="1" applyBorder="1" applyAlignment="1">
      <alignment horizontal="right" vertical="center"/>
    </xf>
    <xf numFmtId="0" fontId="31" fillId="0" borderId="51" xfId="17" applyFont="1" applyBorder="1" applyAlignment="1">
      <alignment horizontal="right" vertical="center"/>
    </xf>
    <xf numFmtId="0" fontId="31" fillId="0" borderId="50" xfId="17" applyFont="1" applyBorder="1" applyAlignment="1">
      <alignment horizontal="right" vertical="center"/>
    </xf>
    <xf numFmtId="0" fontId="31" fillId="0" borderId="30" xfId="17" applyFont="1" applyBorder="1" applyAlignment="1">
      <alignment horizontal="left" vertical="center"/>
    </xf>
    <xf numFmtId="2" fontId="20" fillId="0" borderId="2" xfId="0" applyNumberFormat="1" applyFont="1" applyBorder="1" applyAlignment="1">
      <alignment horizontal="left"/>
    </xf>
    <xf numFmtId="2" fontId="20" fillId="0" borderId="2" xfId="0" applyNumberFormat="1" applyFont="1" applyBorder="1" applyAlignment="1">
      <alignment horizontal="center"/>
    </xf>
    <xf numFmtId="2" fontId="31" fillId="0" borderId="2" xfId="17" applyNumberFormat="1" applyFont="1" applyBorder="1" applyAlignment="1">
      <alignment horizontal="center"/>
    </xf>
    <xf numFmtId="166" fontId="33" fillId="4" borderId="20" xfId="11" applyNumberFormat="1" applyFont="1" applyBorder="1" applyAlignment="1">
      <alignment horizontal="center" vertical="center"/>
    </xf>
    <xf numFmtId="1" fontId="32" fillId="5" borderId="21" xfId="12" applyNumberFormat="1" applyFont="1" applyBorder="1" applyAlignment="1">
      <alignment horizontal="center"/>
    </xf>
    <xf numFmtId="0" fontId="31" fillId="0" borderId="31" xfId="11" applyFont="1" applyFill="1" applyBorder="1" applyAlignment="1">
      <alignment horizontal="center" wrapText="1"/>
    </xf>
    <xf numFmtId="0" fontId="20" fillId="0" borderId="34" xfId="0" applyFont="1" applyBorder="1"/>
    <xf numFmtId="0" fontId="20" fillId="0" borderId="34" xfId="4" applyFont="1" applyBorder="1" applyAlignment="1">
      <alignment horizontal="center" vertical="center"/>
    </xf>
    <xf numFmtId="166" fontId="33" fillId="4" borderId="12" xfId="11" applyNumberFormat="1" applyFont="1" applyBorder="1" applyAlignment="1">
      <alignment horizontal="center" wrapText="1"/>
    </xf>
    <xf numFmtId="1" fontId="20" fillId="0" borderId="49" xfId="4" applyNumberFormat="1" applyFont="1" applyBorder="1" applyAlignment="1">
      <alignment horizontal="right" vertical="center"/>
    </xf>
    <xf numFmtId="166" fontId="33" fillId="4" borderId="13" xfId="11" applyNumberFormat="1" applyFont="1" applyBorder="1" applyAlignment="1">
      <alignment horizontal="center" wrapText="1"/>
    </xf>
    <xf numFmtId="1" fontId="20" fillId="0" borderId="31" xfId="4" applyNumberFormat="1" applyFont="1" applyBorder="1" applyAlignment="1">
      <alignment horizontal="right" vertical="center"/>
    </xf>
    <xf numFmtId="166" fontId="20" fillId="0" borderId="2" xfId="0" applyNumberFormat="1" applyFont="1" applyBorder="1" applyAlignment="1">
      <alignment horizontal="center"/>
    </xf>
    <xf numFmtId="166" fontId="31" fillId="0" borderId="2" xfId="17" applyNumberFormat="1" applyFont="1" applyBorder="1" applyAlignment="1">
      <alignment horizontal="center"/>
    </xf>
    <xf numFmtId="0" fontId="20" fillId="0" borderId="18" xfId="0" applyFont="1" applyBorder="1" applyAlignment="1">
      <alignment horizontal="left"/>
    </xf>
    <xf numFmtId="166" fontId="20" fillId="0" borderId="19" xfId="0" applyNumberFormat="1" applyFont="1" applyBorder="1" applyAlignment="1">
      <alignment horizontal="center"/>
    </xf>
    <xf numFmtId="0" fontId="18" fillId="0" borderId="0" xfId="23" applyFont="1"/>
    <xf numFmtId="0" fontId="18" fillId="0" borderId="0" xfId="0" applyFont="1" applyAlignment="1">
      <alignment vertical="center"/>
    </xf>
    <xf numFmtId="0" fontId="19" fillId="0" borderId="0" xfId="4" applyFont="1" applyAlignment="1"/>
    <xf numFmtId="0" fontId="48" fillId="0" borderId="14" xfId="17" applyFont="1" applyBorder="1" applyAlignment="1">
      <alignment horizontal="right"/>
    </xf>
    <xf numFmtId="0" fontId="29" fillId="0" borderId="14" xfId="1" applyFont="1" applyBorder="1" applyAlignment="1">
      <alignment horizontal="center"/>
    </xf>
    <xf numFmtId="0" fontId="29" fillId="0" borderId="4" xfId="1" applyFont="1" applyBorder="1" applyAlignment="1">
      <alignment horizontal="center"/>
    </xf>
    <xf numFmtId="0" fontId="49" fillId="0" borderId="0" xfId="17" applyFont="1"/>
    <xf numFmtId="0" fontId="19" fillId="0" borderId="0" xfId="4" applyFont="1" applyAlignment="1">
      <alignment horizontal="left" vertical="center"/>
    </xf>
    <xf numFmtId="0" fontId="30" fillId="0" borderId="0" xfId="0" applyFont="1" applyAlignment="1">
      <alignment horizontal="right"/>
    </xf>
    <xf numFmtId="0" fontId="19" fillId="2" borderId="0" xfId="4" applyFont="1" applyFill="1">
      <alignment vertical="center"/>
    </xf>
    <xf numFmtId="0" fontId="19" fillId="3" borderId="0" xfId="9" applyFont="1" applyFill="1">
      <alignment vertical="center"/>
    </xf>
    <xf numFmtId="0" fontId="19" fillId="4" borderId="0" xfId="4" applyFont="1" applyFill="1">
      <alignment vertical="center"/>
    </xf>
    <xf numFmtId="0" fontId="19" fillId="5" borderId="0" xfId="4" applyFont="1" applyFill="1">
      <alignment vertical="center"/>
    </xf>
    <xf numFmtId="0" fontId="35" fillId="0" borderId="0" xfId="4" applyFont="1">
      <alignment vertical="center"/>
    </xf>
    <xf numFmtId="0" fontId="30" fillId="0" borderId="0" xfId="4" applyFont="1" applyAlignment="1">
      <alignment horizontal="right" wrapText="1"/>
    </xf>
    <xf numFmtId="0" fontId="19" fillId="0" borderId="0" xfId="4" applyFont="1" applyAlignment="1">
      <alignment wrapText="1"/>
    </xf>
    <xf numFmtId="0" fontId="23" fillId="0" borderId="0" xfId="6" applyFont="1" applyAlignment="1"/>
    <xf numFmtId="0" fontId="19" fillId="3" borderId="14" xfId="10" applyFont="1" applyBorder="1" applyAlignment="1">
      <alignment horizontal="center" vertical="center"/>
    </xf>
    <xf numFmtId="1" fontId="19" fillId="3" borderId="12" xfId="10" applyNumberFormat="1" applyFont="1" applyBorder="1" applyAlignment="1">
      <alignment horizontal="center" vertical="center" wrapText="1"/>
    </xf>
    <xf numFmtId="166" fontId="20" fillId="0" borderId="4" xfId="0" applyNumberFormat="1" applyFont="1" applyBorder="1" applyAlignment="1">
      <alignment horizontal="center"/>
    </xf>
    <xf numFmtId="166" fontId="20" fillId="0" borderId="7" xfId="0" applyNumberFormat="1" applyFont="1" applyBorder="1" applyAlignment="1">
      <alignment horizontal="center"/>
    </xf>
    <xf numFmtId="166" fontId="20" fillId="0" borderId="54" xfId="0" applyNumberFormat="1" applyFont="1" applyBorder="1" applyAlignment="1">
      <alignment horizontal="center"/>
    </xf>
    <xf numFmtId="166" fontId="20" fillId="0" borderId="9" xfId="0" applyNumberFormat="1" applyFont="1" applyBorder="1" applyAlignment="1">
      <alignment horizontal="center"/>
    </xf>
    <xf numFmtId="166" fontId="20" fillId="0" borderId="60" xfId="0" applyNumberFormat="1" applyFont="1" applyBorder="1" applyAlignment="1">
      <alignment horizontal="center"/>
    </xf>
    <xf numFmtId="0" fontId="31" fillId="0" borderId="12" xfId="17" applyFont="1" applyBorder="1"/>
    <xf numFmtId="0" fontId="31" fillId="0" borderId="0" xfId="17" applyFont="1"/>
    <xf numFmtId="0" fontId="31" fillId="0" borderId="14" xfId="17" applyFont="1" applyBorder="1" applyAlignment="1">
      <alignment horizontal="right"/>
    </xf>
    <xf numFmtId="0" fontId="31" fillId="0" borderId="5" xfId="20" applyFont="1" applyFill="1" applyBorder="1" applyAlignment="1">
      <alignment horizontal="center"/>
    </xf>
    <xf numFmtId="0" fontId="31" fillId="0" borderId="15" xfId="17" applyFont="1" applyBorder="1" applyAlignment="1">
      <alignment horizontal="right"/>
    </xf>
    <xf numFmtId="0" fontId="31" fillId="0" borderId="0" xfId="20" applyFont="1" applyFill="1" applyAlignment="1">
      <alignment horizontal="center"/>
    </xf>
    <xf numFmtId="0" fontId="29" fillId="0" borderId="12" xfId="1" applyFont="1" applyBorder="1" applyAlignment="1">
      <alignment horizontal="left"/>
    </xf>
    <xf numFmtId="0" fontId="51" fillId="0" borderId="2" xfId="17" applyFont="1" applyBorder="1" applyAlignment="1">
      <alignment horizontal="center"/>
    </xf>
    <xf numFmtId="1" fontId="51" fillId="0" borderId="3" xfId="17" applyNumberFormat="1" applyFont="1" applyBorder="1" applyAlignment="1">
      <alignment horizontal="center"/>
    </xf>
    <xf numFmtId="2" fontId="31" fillId="0" borderId="5" xfId="20" applyNumberFormat="1" applyFont="1" applyFill="1" applyBorder="1" applyAlignment="1">
      <alignment horizontal="center"/>
    </xf>
    <xf numFmtId="166" fontId="31" fillId="0" borderId="0" xfId="20" applyNumberFormat="1" applyFont="1" applyFill="1" applyAlignment="1">
      <alignment horizontal="center"/>
    </xf>
    <xf numFmtId="0" fontId="31" fillId="0" borderId="13" xfId="17" applyFont="1" applyBorder="1" applyAlignment="1">
      <alignment horizontal="right"/>
    </xf>
    <xf numFmtId="166" fontId="31" fillId="0" borderId="10" xfId="20" applyNumberFormat="1" applyFont="1" applyFill="1" applyBorder="1" applyAlignment="1">
      <alignment horizontal="center"/>
    </xf>
    <xf numFmtId="166" fontId="31" fillId="0" borderId="10" xfId="20" quotePrefix="1" applyNumberFormat="1" applyFont="1" applyFill="1" applyBorder="1" applyAlignment="1">
      <alignment horizontal="center"/>
    </xf>
    <xf numFmtId="166" fontId="31" fillId="0" borderId="11" xfId="20" quotePrefix="1" applyNumberFormat="1" applyFont="1" applyFill="1" applyBorder="1" applyAlignment="1">
      <alignment horizontal="center"/>
    </xf>
    <xf numFmtId="0" fontId="20" fillId="0" borderId="14" xfId="0" applyFont="1" applyBorder="1" applyAlignment="1">
      <alignment horizontal="right"/>
    </xf>
    <xf numFmtId="0" fontId="31" fillId="0" borderId="5" xfId="20" applyFont="1" applyFill="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right"/>
    </xf>
    <xf numFmtId="0" fontId="31" fillId="0" borderId="0" xfId="20" applyFont="1" applyFill="1" applyAlignment="1">
      <alignment horizontal="center" vertical="center"/>
    </xf>
    <xf numFmtId="0" fontId="20" fillId="0" borderId="0" xfId="0" applyFont="1" applyAlignment="1">
      <alignment horizontal="center" vertical="center"/>
    </xf>
    <xf numFmtId="0" fontId="31" fillId="0" borderId="55" xfId="17" applyFont="1" applyBorder="1" applyAlignment="1">
      <alignment horizontal="right" vertical="center"/>
    </xf>
    <xf numFmtId="0" fontId="31" fillId="0" borderId="52" xfId="20" applyFont="1" applyFill="1" applyBorder="1" applyAlignment="1">
      <alignment horizontal="center" vertical="center"/>
    </xf>
    <xf numFmtId="0" fontId="31" fillId="0" borderId="56" xfId="17" applyFont="1" applyBorder="1" applyAlignment="1">
      <alignment horizontal="right" vertical="center"/>
    </xf>
    <xf numFmtId="0" fontId="31" fillId="0" borderId="57" xfId="20" applyFont="1" applyFill="1" applyBorder="1" applyAlignment="1">
      <alignment horizontal="center" vertical="center"/>
    </xf>
    <xf numFmtId="0" fontId="31" fillId="0" borderId="15" xfId="17" applyFont="1" applyBorder="1" applyAlignment="1">
      <alignment horizontal="right" vertical="center"/>
    </xf>
    <xf numFmtId="0" fontId="20" fillId="0" borderId="55" xfId="0" applyFont="1" applyBorder="1" applyAlignment="1">
      <alignment horizontal="right"/>
    </xf>
    <xf numFmtId="0" fontId="20" fillId="0" borderId="52" xfId="0" applyFont="1" applyBorder="1" applyAlignment="1">
      <alignment horizontal="center" vertical="center"/>
    </xf>
    <xf numFmtId="11" fontId="31" fillId="0" borderId="0" xfId="17" applyNumberFormat="1" applyFont="1"/>
    <xf numFmtId="0" fontId="31" fillId="0" borderId="0" xfId="17" applyFont="1" applyAlignment="1">
      <alignment horizontal="center" vertical="center"/>
    </xf>
    <xf numFmtId="0" fontId="31" fillId="0" borderId="13" xfId="17" applyFont="1" applyBorder="1" applyAlignment="1">
      <alignment horizontal="right" vertical="center"/>
    </xf>
    <xf numFmtId="0" fontId="31" fillId="0" borderId="10" xfId="20" applyFont="1" applyFill="1" applyBorder="1" applyAlignment="1">
      <alignment horizontal="center" vertical="center"/>
    </xf>
    <xf numFmtId="0" fontId="43" fillId="0" borderId="0" xfId="17" applyFont="1"/>
    <xf numFmtId="0" fontId="32" fillId="0" borderId="12" xfId="17" applyFont="1" applyBorder="1" applyAlignment="1">
      <alignment horizontal="center" wrapText="1"/>
    </xf>
    <xf numFmtId="0" fontId="31" fillId="0" borderId="12" xfId="20" applyFont="1" applyFill="1" applyBorder="1" applyAlignment="1">
      <alignment horizontal="center" wrapText="1"/>
    </xf>
    <xf numFmtId="0" fontId="33" fillId="0" borderId="12" xfId="20" applyFont="1" applyFill="1" applyBorder="1" applyAlignment="1">
      <alignment horizontal="center" wrapText="1"/>
    </xf>
    <xf numFmtId="49" fontId="54" fillId="0" borderId="13" xfId="21" applyNumberFormat="1" applyFont="1" applyBorder="1"/>
    <xf numFmtId="0" fontId="31" fillId="0" borderId="13" xfId="17" applyFont="1" applyBorder="1"/>
    <xf numFmtId="11" fontId="31" fillId="0" borderId="13" xfId="17" applyNumberFormat="1" applyFont="1" applyBorder="1"/>
    <xf numFmtId="0" fontId="31" fillId="0" borderId="11" xfId="17" applyFont="1" applyBorder="1" applyAlignment="1">
      <alignment wrapText="1"/>
    </xf>
    <xf numFmtId="49" fontId="54" fillId="0" borderId="12" xfId="21" applyNumberFormat="1" applyFont="1" applyBorder="1"/>
    <xf numFmtId="11" fontId="31" fillId="0" borderId="12" xfId="17" applyNumberFormat="1" applyFont="1" applyBorder="1"/>
    <xf numFmtId="0" fontId="31" fillId="0" borderId="0" xfId="17" applyFont="1" applyAlignment="1">
      <alignment wrapText="1"/>
    </xf>
    <xf numFmtId="0" fontId="21" fillId="0" borderId="0" xfId="4" applyFont="1">
      <alignment vertical="center"/>
    </xf>
    <xf numFmtId="0" fontId="11" fillId="0" borderId="0" xfId="4" applyFont="1">
      <alignment vertical="center"/>
    </xf>
    <xf numFmtId="0" fontId="19" fillId="0" borderId="0" xfId="0" applyFont="1" applyAlignment="1">
      <alignment horizontal="left"/>
    </xf>
    <xf numFmtId="0" fontId="11" fillId="0" borderId="0" xfId="17" applyAlignment="1">
      <alignment horizontal="left"/>
    </xf>
    <xf numFmtId="0" fontId="21" fillId="0" borderId="0" xfId="0" applyFont="1" applyAlignment="1">
      <alignment horizontal="left" wrapText="1"/>
    </xf>
    <xf numFmtId="0" fontId="47" fillId="0" borderId="0" xfId="17" applyFont="1"/>
    <xf numFmtId="0" fontId="21" fillId="0" borderId="0" xfId="0" applyFont="1" applyAlignment="1">
      <alignment horizontal="left"/>
    </xf>
    <xf numFmtId="0" fontId="20" fillId="0" borderId="0" xfId="4" applyFont="1">
      <alignment vertical="center"/>
    </xf>
    <xf numFmtId="0" fontId="55" fillId="0" borderId="0" xfId="4" applyFont="1">
      <alignment vertical="center"/>
    </xf>
    <xf numFmtId="0" fontId="26" fillId="0" borderId="0" xfId="4" applyFont="1">
      <alignment vertical="center"/>
    </xf>
    <xf numFmtId="0" fontId="26" fillId="0" borderId="0" xfId="4" applyFont="1" applyAlignment="1">
      <alignment vertical="center" wrapText="1"/>
    </xf>
    <xf numFmtId="0" fontId="56" fillId="0" borderId="0" xfId="0" applyFont="1"/>
    <xf numFmtId="0" fontId="30" fillId="0" borderId="1" xfId="4" applyFont="1" applyBorder="1" applyAlignment="1">
      <alignment horizontal="center" vertical="center" wrapText="1"/>
    </xf>
    <xf numFmtId="169" fontId="19" fillId="3" borderId="12" xfId="10" applyNumberFormat="1" applyFont="1" applyBorder="1" applyAlignment="1">
      <alignment horizontal="center" vertical="center" wrapText="1"/>
    </xf>
    <xf numFmtId="166" fontId="31" fillId="0" borderId="0" xfId="22" applyNumberFormat="1" applyFont="1" applyAlignment="1">
      <alignment horizontal="center"/>
    </xf>
    <xf numFmtId="0" fontId="31" fillId="0" borderId="13" xfId="17" quotePrefix="1" applyFont="1" applyBorder="1"/>
    <xf numFmtId="0" fontId="7" fillId="0" borderId="0" xfId="0" applyFont="1"/>
    <xf numFmtId="167" fontId="19" fillId="0" borderId="0" xfId="0" applyNumberFormat="1" applyFont="1"/>
    <xf numFmtId="0" fontId="58" fillId="0" borderId="0" xfId="0" applyFont="1"/>
    <xf numFmtId="0" fontId="19" fillId="0" borderId="0" xfId="0" applyFont="1" applyAlignment="1">
      <alignment horizontal="right"/>
    </xf>
    <xf numFmtId="0" fontId="59" fillId="0" borderId="0" xfId="0" applyFont="1"/>
    <xf numFmtId="0" fontId="31" fillId="0" borderId="0" xfId="17" quotePrefix="1" applyFont="1" applyAlignment="1">
      <alignment vertical="center" wrapText="1"/>
    </xf>
    <xf numFmtId="0" fontId="30" fillId="2" borderId="13" xfId="9" applyFont="1" applyBorder="1" applyAlignment="1">
      <alignment horizontal="center" vertical="center"/>
    </xf>
    <xf numFmtId="166" fontId="20" fillId="0" borderId="5" xfId="0" applyNumberFormat="1" applyFont="1" applyBorder="1" applyAlignment="1">
      <alignment horizontal="center"/>
    </xf>
    <xf numFmtId="166" fontId="20" fillId="0" borderId="6" xfId="0" applyNumberFormat="1" applyFont="1" applyBorder="1" applyAlignment="1">
      <alignment horizontal="center"/>
    </xf>
    <xf numFmtId="166" fontId="20" fillId="0" borderId="8" xfId="0" applyNumberFormat="1" applyFont="1" applyBorder="1" applyAlignment="1">
      <alignment horizontal="center"/>
    </xf>
    <xf numFmtId="166" fontId="20" fillId="0" borderId="10" xfId="0" applyNumberFormat="1" applyFont="1" applyBorder="1" applyAlignment="1">
      <alignment horizontal="center"/>
    </xf>
    <xf numFmtId="166" fontId="20" fillId="0" borderId="11" xfId="0" applyNumberFormat="1" applyFont="1" applyBorder="1" applyAlignment="1">
      <alignment horizontal="center"/>
    </xf>
    <xf numFmtId="166" fontId="20" fillId="0" borderId="57" xfId="0" applyNumberFormat="1" applyFont="1" applyBorder="1" applyAlignment="1">
      <alignment horizontal="center"/>
    </xf>
    <xf numFmtId="166" fontId="20" fillId="0" borderId="58" xfId="0" applyNumberFormat="1" applyFont="1" applyBorder="1" applyAlignment="1">
      <alignment horizontal="center"/>
    </xf>
    <xf numFmtId="166" fontId="20" fillId="0" borderId="52" xfId="0" applyNumberFormat="1" applyFont="1" applyBorder="1" applyAlignment="1">
      <alignment horizontal="center"/>
    </xf>
    <xf numFmtId="166" fontId="20" fillId="0" borderId="53" xfId="0" applyNumberFormat="1" applyFont="1" applyBorder="1" applyAlignment="1">
      <alignment horizontal="center"/>
    </xf>
    <xf numFmtId="0" fontId="30" fillId="0" borderId="0" xfId="8" applyFont="1">
      <alignment vertical="center"/>
    </xf>
    <xf numFmtId="0" fontId="19" fillId="0" borderId="0" xfId="0" applyFont="1" applyAlignment="1">
      <alignment wrapText="1"/>
    </xf>
    <xf numFmtId="0" fontId="22" fillId="0" borderId="13" xfId="1" applyFont="1" applyBorder="1" applyAlignment="1">
      <alignment horizontal="center" vertical="center"/>
    </xf>
    <xf numFmtId="0" fontId="19" fillId="0" borderId="0" xfId="0" applyFont="1" applyAlignment="1" applyProtection="1">
      <alignment vertical="center" wrapText="1"/>
      <protection hidden="1"/>
    </xf>
    <xf numFmtId="0" fontId="21" fillId="0" borderId="0" xfId="0" applyFont="1" applyAlignment="1">
      <alignment vertical="center"/>
    </xf>
    <xf numFmtId="0" fontId="31" fillId="0" borderId="0" xfId="20" applyFont="1" applyFill="1" applyBorder="1" applyAlignment="1">
      <alignment horizontal="center"/>
    </xf>
    <xf numFmtId="0" fontId="19" fillId="0" borderId="0" xfId="0" applyFont="1" applyAlignment="1">
      <alignment horizontal="left"/>
    </xf>
    <xf numFmtId="0" fontId="26" fillId="0" borderId="0" xfId="8" applyFont="1" applyAlignment="1">
      <alignment horizontal="left"/>
    </xf>
    <xf numFmtId="0" fontId="30" fillId="0" borderId="0" xfId="0" applyFont="1" applyAlignment="1">
      <alignment horizontal="right"/>
    </xf>
    <xf numFmtId="1" fontId="33" fillId="0" borderId="27" xfId="12" applyNumberFormat="1" applyFont="1" applyFill="1" applyBorder="1" applyAlignment="1">
      <alignment horizontal="center" vertical="center"/>
    </xf>
    <xf numFmtId="0" fontId="22" fillId="0" borderId="0" xfId="1"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xf>
    <xf numFmtId="0" fontId="30" fillId="0" borderId="0" xfId="0" applyFont="1" applyAlignment="1">
      <alignment horizontal="right"/>
    </xf>
    <xf numFmtId="0" fontId="19" fillId="0" borderId="5" xfId="4" applyFont="1" applyBorder="1" applyAlignment="1">
      <alignment horizontal="left" vertical="center"/>
    </xf>
    <xf numFmtId="0" fontId="30" fillId="0" borderId="12" xfId="4" applyFont="1" applyBorder="1" applyAlignment="1">
      <alignment horizontal="center" vertical="center" wrapText="1"/>
    </xf>
    <xf numFmtId="0" fontId="22" fillId="0" borderId="0" xfId="6" applyFont="1" applyAlignment="1">
      <alignment horizontal="left"/>
    </xf>
    <xf numFmtId="0" fontId="19" fillId="0" borderId="0" xfId="4" applyFont="1" applyAlignment="1">
      <alignment horizontal="left"/>
    </xf>
    <xf numFmtId="0" fontId="28" fillId="0" borderId="10" xfId="8" applyFont="1" applyBorder="1" applyAlignment="1">
      <alignment horizontal="left" vertical="center"/>
    </xf>
    <xf numFmtId="0" fontId="61" fillId="0" borderId="0" xfId="4" applyFont="1" applyFill="1">
      <alignment vertical="center"/>
    </xf>
    <xf numFmtId="0" fontId="31" fillId="0" borderId="0" xfId="17" applyFont="1" applyBorder="1"/>
    <xf numFmtId="10" fontId="9" fillId="0" borderId="0" xfId="17" applyNumberFormat="1" applyFont="1"/>
    <xf numFmtId="169" fontId="20" fillId="0" borderId="8" xfId="0" applyNumberFormat="1" applyFont="1" applyBorder="1" applyAlignment="1">
      <alignment horizontal="center"/>
    </xf>
    <xf numFmtId="2" fontId="20" fillId="0" borderId="8" xfId="0" applyNumberFormat="1" applyFont="1" applyBorder="1" applyAlignment="1">
      <alignment horizontal="center"/>
    </xf>
    <xf numFmtId="170" fontId="20" fillId="0" borderId="8" xfId="0" applyNumberFormat="1" applyFont="1" applyBorder="1" applyAlignment="1">
      <alignment horizontal="center"/>
    </xf>
    <xf numFmtId="0" fontId="9" fillId="0" borderId="0" xfId="17" applyFont="1" applyBorder="1"/>
    <xf numFmtId="0" fontId="33" fillId="0" borderId="0" xfId="17" applyFont="1" applyBorder="1" applyAlignment="1">
      <alignment horizontal="center" wrapText="1"/>
    </xf>
    <xf numFmtId="0" fontId="51" fillId="0" borderId="0" xfId="17" applyFont="1" applyBorder="1" applyAlignment="1">
      <alignment horizontal="center"/>
    </xf>
    <xf numFmtId="2" fontId="31" fillId="0" borderId="0" xfId="17" applyNumberFormat="1" applyFont="1" applyBorder="1" applyAlignment="1">
      <alignment horizontal="center"/>
    </xf>
    <xf numFmtId="164" fontId="31" fillId="0" borderId="0" xfId="17" applyNumberFormat="1" applyFont="1" applyBorder="1" applyAlignment="1">
      <alignment horizontal="center"/>
    </xf>
    <xf numFmtId="0" fontId="31" fillId="0" borderId="0" xfId="17" applyFont="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1" fontId="51" fillId="0" borderId="2" xfId="17" applyNumberFormat="1" applyFont="1" applyBorder="1" applyAlignment="1">
      <alignment horizontal="center"/>
    </xf>
    <xf numFmtId="1" fontId="31" fillId="0" borderId="5" xfId="17" applyNumberFormat="1" applyFont="1" applyBorder="1" applyAlignment="1">
      <alignment horizontal="center"/>
    </xf>
    <xf numFmtId="166" fontId="31" fillId="0" borderId="0" xfId="20" applyNumberFormat="1" applyFont="1" applyFill="1" applyBorder="1" applyAlignment="1">
      <alignment horizontal="center"/>
    </xf>
    <xf numFmtId="0" fontId="20" fillId="0" borderId="0" xfId="0" applyFont="1" applyBorder="1" applyAlignment="1">
      <alignment horizontal="center" vertical="center"/>
    </xf>
    <xf numFmtId="0" fontId="31" fillId="0" borderId="0" xfId="20" applyFont="1" applyFill="1" applyBorder="1" applyAlignment="1">
      <alignment horizontal="center" vertical="center"/>
    </xf>
    <xf numFmtId="0" fontId="31" fillId="0" borderId="0" xfId="17" applyFont="1" applyBorder="1" applyAlignment="1">
      <alignment horizontal="center" vertical="center"/>
    </xf>
    <xf numFmtId="3" fontId="0" fillId="0" borderId="0" xfId="0" applyNumberFormat="1" applyFill="1" applyBorder="1" applyAlignment="1">
      <alignment horizontal="center"/>
    </xf>
    <xf numFmtId="2" fontId="31" fillId="0" borderId="8" xfId="17" applyNumberFormat="1" applyFont="1" applyBorder="1" applyAlignment="1">
      <alignment horizontal="center"/>
    </xf>
    <xf numFmtId="164" fontId="31" fillId="0" borderId="8" xfId="17" applyNumberFormat="1" applyFont="1" applyBorder="1" applyAlignment="1">
      <alignment horizontal="center"/>
    </xf>
    <xf numFmtId="0" fontId="29" fillId="0" borderId="12" xfId="1" applyFont="1" applyBorder="1" applyAlignment="1">
      <alignment horizontal="center"/>
    </xf>
    <xf numFmtId="0" fontId="31" fillId="0" borderId="7" xfId="20" applyFont="1" applyFill="1" applyBorder="1" applyAlignment="1">
      <alignment horizontal="center"/>
    </xf>
    <xf numFmtId="4" fontId="0" fillId="0" borderId="7" xfId="0" applyNumberFormat="1" applyFill="1" applyBorder="1"/>
    <xf numFmtId="0" fontId="48" fillId="0" borderId="12" xfId="17" applyFont="1" applyBorder="1" applyAlignment="1">
      <alignment horizontal="right"/>
    </xf>
    <xf numFmtId="0" fontId="51" fillId="0" borderId="12" xfId="17" applyFont="1" applyBorder="1" applyAlignment="1">
      <alignment horizontal="center"/>
    </xf>
    <xf numFmtId="0" fontId="31" fillId="0" borderId="12" xfId="17" applyFont="1" applyBorder="1" applyAlignment="1">
      <alignment horizontal="center"/>
    </xf>
    <xf numFmtId="0" fontId="30" fillId="0" borderId="0" xfId="8" applyFont="1" applyAlignment="1">
      <alignment horizontal="left"/>
    </xf>
    <xf numFmtId="0" fontId="30" fillId="0" borderId="0" xfId="0" applyFont="1" applyAlignment="1">
      <alignment horizontal="left"/>
    </xf>
    <xf numFmtId="0" fontId="30" fillId="2" borderId="12" xfId="9" applyFont="1" applyBorder="1" applyAlignment="1">
      <alignment horizontal="center" vertical="center"/>
    </xf>
    <xf numFmtId="0" fontId="35" fillId="0" borderId="0" xfId="8" applyFont="1" applyAlignment="1">
      <alignment horizontal="left"/>
    </xf>
    <xf numFmtId="0" fontId="26" fillId="0" borderId="0" xfId="4" applyFont="1" applyAlignment="1">
      <alignment vertical="center"/>
    </xf>
    <xf numFmtId="0" fontId="20" fillId="0" borderId="0" xfId="0" applyFont="1" applyAlignment="1"/>
    <xf numFmtId="0" fontId="29" fillId="0" borderId="0" xfId="6" quotePrefix="1" applyFont="1" applyAlignment="1">
      <alignment vertical="center"/>
    </xf>
    <xf numFmtId="0" fontId="31" fillId="0" borderId="0" xfId="17" quotePrefix="1" applyFont="1" applyBorder="1" applyAlignment="1"/>
    <xf numFmtId="0" fontId="31" fillId="0" borderId="0" xfId="17" quotePrefix="1" applyFont="1" applyBorder="1" applyAlignment="1">
      <alignment vertical="center"/>
    </xf>
    <xf numFmtId="0" fontId="31" fillId="0" borderId="0" xfId="17" quotePrefix="1" applyFont="1" applyBorder="1" applyAlignment="1">
      <alignment vertical="center" wrapText="1"/>
    </xf>
    <xf numFmtId="0" fontId="7" fillId="0" borderId="0" xfId="0" applyFont="1" applyAlignment="1"/>
    <xf numFmtId="0" fontId="19" fillId="0" borderId="0" xfId="8" applyFont="1" applyAlignment="1">
      <alignment horizontal="left"/>
    </xf>
    <xf numFmtId="0" fontId="26" fillId="0" borderId="0" xfId="0" applyFont="1" applyAlignment="1">
      <alignment horizontal="left"/>
    </xf>
    <xf numFmtId="0" fontId="32" fillId="0" borderId="0" xfId="2" applyFont="1" applyAlignment="1">
      <alignment vertical="center"/>
    </xf>
    <xf numFmtId="0" fontId="62" fillId="0" borderId="0" xfId="0" applyFont="1" applyAlignment="1">
      <alignment vertical="center"/>
    </xf>
    <xf numFmtId="0" fontId="62" fillId="0" borderId="0" xfId="0" applyFont="1"/>
    <xf numFmtId="0" fontId="26" fillId="0" borderId="0" xfId="0" applyFont="1"/>
    <xf numFmtId="0" fontId="30" fillId="0" borderId="0" xfId="0" applyFont="1" applyAlignment="1">
      <alignment horizontal="right" indent="1"/>
    </xf>
    <xf numFmtId="0" fontId="63" fillId="0" borderId="0" xfId="0" applyFont="1" applyFill="1" applyBorder="1" applyAlignment="1">
      <alignment horizontal="center" wrapText="1"/>
    </xf>
    <xf numFmtId="49" fontId="19" fillId="2" borderId="12" xfId="0" applyNumberFormat="1" applyFont="1" applyFill="1" applyBorder="1" applyAlignment="1">
      <alignment horizontal="left" indent="1"/>
    </xf>
    <xf numFmtId="49" fontId="64" fillId="0" borderId="12" xfId="0" applyNumberFormat="1" applyFont="1" applyBorder="1" applyAlignment="1">
      <alignment horizontal="left" indent="1"/>
    </xf>
    <xf numFmtId="49" fontId="19" fillId="8" borderId="12" xfId="0" applyNumberFormat="1" applyFont="1" applyFill="1" applyBorder="1" applyAlignment="1">
      <alignment horizontal="left" indent="1"/>
    </xf>
    <xf numFmtId="0" fontId="19" fillId="0" borderId="0" xfId="0" applyFont="1" applyFill="1" applyBorder="1" applyAlignment="1">
      <alignment wrapText="1"/>
    </xf>
    <xf numFmtId="0" fontId="64" fillId="0" borderId="12" xfId="0" applyFont="1" applyBorder="1" applyAlignment="1">
      <alignment horizontal="left" indent="1"/>
    </xf>
    <xf numFmtId="49" fontId="30" fillId="2" borderId="12" xfId="0" applyNumberFormat="1" applyFont="1" applyFill="1" applyBorder="1" applyAlignment="1">
      <alignment horizontal="center"/>
    </xf>
    <xf numFmtId="0" fontId="30" fillId="2" borderId="12" xfId="0" applyFont="1" applyFill="1" applyBorder="1" applyAlignment="1">
      <alignment horizontal="center"/>
    </xf>
    <xf numFmtId="0" fontId="30" fillId="2" borderId="12" xfId="8" applyFont="1" applyFill="1" applyBorder="1" applyAlignment="1">
      <alignment horizontal="center"/>
    </xf>
    <xf numFmtId="0" fontId="18" fillId="0" borderId="48" xfId="0" applyFont="1" applyBorder="1"/>
    <xf numFmtId="0" fontId="25" fillId="0" borderId="0" xfId="0" applyFont="1" applyBorder="1" applyAlignment="1">
      <alignment horizontal="left" wrapText="1"/>
    </xf>
    <xf numFmtId="0" fontId="25" fillId="0" borderId="0" xfId="0" applyFont="1" applyBorder="1" applyAlignment="1">
      <alignment horizontal="left"/>
    </xf>
    <xf numFmtId="0" fontId="22" fillId="0" borderId="0" xfId="1" applyAlignment="1">
      <alignment vertical="center"/>
    </xf>
    <xf numFmtId="0" fontId="26" fillId="0" borderId="0" xfId="0" applyFont="1" applyAlignment="1"/>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65" fillId="0" borderId="0" xfId="0" applyFont="1" applyAlignment="1">
      <alignment horizontal="left" vertical="center" indent="8" readingOrder="1"/>
    </xf>
    <xf numFmtId="0" fontId="30" fillId="0" borderId="0" xfId="0" applyFont="1" applyBorder="1" applyAlignment="1">
      <alignment horizontal="center" vertical="center" wrapText="1"/>
    </xf>
    <xf numFmtId="0" fontId="20" fillId="0" borderId="0" xfId="0" applyFont="1" applyAlignment="1">
      <alignment vertical="center" wrapText="1"/>
    </xf>
    <xf numFmtId="0" fontId="18" fillId="0" borderId="0" xfId="0" applyFont="1" applyBorder="1"/>
    <xf numFmtId="0" fontId="20" fillId="0" borderId="0" xfId="0" applyFont="1" applyBorder="1" applyAlignment="1">
      <alignment vertical="center" wrapText="1"/>
    </xf>
    <xf numFmtId="0" fontId="30" fillId="0" borderId="0" xfId="0" applyFont="1" applyBorder="1" applyAlignment="1">
      <alignment vertical="center" wrapText="1"/>
    </xf>
    <xf numFmtId="0" fontId="5" fillId="0" borderId="0" xfId="5" applyFont="1" applyBorder="1" applyAlignment="1">
      <alignment vertical="center"/>
    </xf>
    <xf numFmtId="0" fontId="30" fillId="0" borderId="6" xfId="8" applyFont="1" applyBorder="1" applyAlignment="1">
      <alignment horizontal="center" vertical="center" wrapText="1"/>
    </xf>
    <xf numFmtId="0" fontId="26" fillId="0" borderId="10" xfId="8" applyFont="1" applyBorder="1" applyAlignment="1">
      <alignment horizontal="left" vertical="center"/>
    </xf>
    <xf numFmtId="0" fontId="0" fillId="0" borderId="0" xfId="0" applyBorder="1"/>
    <xf numFmtId="0" fontId="30" fillId="0" borderId="10" xfId="4" applyFont="1" applyBorder="1" applyAlignment="1">
      <alignment vertical="center" wrapText="1"/>
    </xf>
    <xf numFmtId="0" fontId="11" fillId="0" borderId="0" xfId="4" applyFont="1" applyFill="1">
      <alignment vertical="center"/>
    </xf>
    <xf numFmtId="0" fontId="30" fillId="0" borderId="0" xfId="0" applyFont="1" applyAlignment="1"/>
    <xf numFmtId="0" fontId="20" fillId="0" borderId="0" xfId="0" applyFont="1" applyFill="1" applyBorder="1"/>
    <xf numFmtId="0" fontId="20" fillId="0" borderId="0" xfId="0" applyFont="1" applyFill="1" applyBorder="1" applyAlignment="1">
      <alignment horizontal="center"/>
    </xf>
    <xf numFmtId="0" fontId="20" fillId="0" borderId="0" xfId="0" applyFont="1" applyFill="1" applyBorder="1" applyAlignment="1">
      <alignment horizontal="right"/>
    </xf>
    <xf numFmtId="0" fontId="20" fillId="0" borderId="0" xfId="0" applyFont="1" applyFill="1" applyBorder="1" applyAlignment="1">
      <alignment horizontal="left"/>
    </xf>
    <xf numFmtId="3" fontId="20" fillId="0" borderId="12" xfId="0" applyNumberFormat="1" applyFont="1" applyFill="1" applyBorder="1" applyAlignment="1">
      <alignment horizontal="center"/>
    </xf>
    <xf numFmtId="0" fontId="20" fillId="0" borderId="0" xfId="0" applyFont="1" applyAlignment="1">
      <alignment horizontal="center" vertical="center" wrapText="1"/>
    </xf>
    <xf numFmtId="168" fontId="19" fillId="0" borderId="0" xfId="0" applyNumberFormat="1" applyFont="1" applyAlignment="1">
      <alignment horizontal="right" vertical="top"/>
    </xf>
    <xf numFmtId="0" fontId="7" fillId="0" borderId="0" xfId="0" applyFont="1" applyAlignment="1">
      <alignment horizontal="right"/>
    </xf>
    <xf numFmtId="0" fontId="19" fillId="0" borderId="0" xfId="0" applyFont="1" applyAlignment="1">
      <alignment vertical="center" wrapText="1"/>
    </xf>
    <xf numFmtId="0" fontId="19" fillId="0" borderId="0" xfId="0" applyFont="1" applyAlignment="1">
      <alignment horizontal="right"/>
    </xf>
    <xf numFmtId="0" fontId="19" fillId="0" borderId="0" xfId="0" applyFont="1" applyAlignment="1"/>
    <xf numFmtId="0" fontId="11" fillId="0" borderId="0" xfId="0" applyFont="1" applyAlignment="1">
      <alignment vertical="center" wrapText="1"/>
    </xf>
    <xf numFmtId="0" fontId="69" fillId="0" borderId="0" xfId="0" applyFont="1" applyAlignment="1">
      <alignment vertical="top" wrapText="1"/>
    </xf>
    <xf numFmtId="0" fontId="19" fillId="0" borderId="0" xfId="0" applyFont="1" applyAlignment="1">
      <alignment vertical="top"/>
    </xf>
    <xf numFmtId="0" fontId="19" fillId="0" borderId="0" xfId="0" applyFont="1" applyAlignment="1">
      <alignment horizontal="right" vertical="center"/>
    </xf>
    <xf numFmtId="0" fontId="30" fillId="0" borderId="0" xfId="0" applyFont="1" applyAlignment="1">
      <alignment vertical="top"/>
    </xf>
    <xf numFmtId="0" fontId="19" fillId="0" borderId="0" xfId="0" applyFont="1" applyAlignment="1">
      <alignment horizontal="left" vertical="top" wrapText="1"/>
    </xf>
    <xf numFmtId="49" fontId="19" fillId="0" borderId="0" xfId="0" applyNumberFormat="1" applyFont="1"/>
    <xf numFmtId="49" fontId="19" fillId="0" borderId="0" xfId="0" applyNumberFormat="1" applyFont="1" applyAlignment="1">
      <alignment horizontal="right"/>
    </xf>
    <xf numFmtId="0" fontId="19" fillId="0" borderId="0" xfId="0" applyFont="1" applyAlignment="1">
      <alignment horizontal="left" vertical="top"/>
    </xf>
    <xf numFmtId="0" fontId="67" fillId="0" borderId="0" xfId="0" applyFont="1" applyAlignment="1">
      <alignment horizontal="left" vertical="top"/>
    </xf>
    <xf numFmtId="1" fontId="31" fillId="0" borderId="12" xfId="17" applyNumberFormat="1" applyFont="1" applyBorder="1"/>
    <xf numFmtId="0" fontId="30" fillId="0" borderId="0" xfId="0" applyFont="1" applyAlignment="1">
      <alignment horizontal="left"/>
    </xf>
    <xf numFmtId="0" fontId="19" fillId="0" borderId="0" xfId="0" applyFont="1" applyAlignment="1">
      <alignment horizontal="right"/>
    </xf>
    <xf numFmtId="0" fontId="30" fillId="0" borderId="0" xfId="4" applyFont="1" applyAlignment="1">
      <alignment horizontal="right" vertical="center"/>
    </xf>
    <xf numFmtId="0" fontId="30" fillId="0" borderId="0" xfId="0" applyFont="1" applyAlignment="1">
      <alignment horizontal="right"/>
    </xf>
    <xf numFmtId="0" fontId="19" fillId="0" borderId="0" xfId="0" applyFont="1" applyAlignment="1">
      <alignment horizontal="left"/>
    </xf>
    <xf numFmtId="0" fontId="19" fillId="0" borderId="0" xfId="4" applyFont="1" applyAlignment="1">
      <alignment horizontal="left" vertical="center"/>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5" fillId="0" borderId="0" xfId="0" applyFont="1" applyBorder="1" applyAlignment="1">
      <alignment horizontal="left" wrapText="1"/>
    </xf>
    <xf numFmtId="0" fontId="70" fillId="0" borderId="0" xfId="0" applyFont="1"/>
    <xf numFmtId="166" fontId="20" fillId="0" borderId="0" xfId="0" applyNumberFormat="1" applyFont="1" applyBorder="1" applyAlignment="1">
      <alignment horizontal="center"/>
    </xf>
    <xf numFmtId="0" fontId="22" fillId="0" borderId="0" xfId="1" applyAlignment="1">
      <alignment horizontal="left"/>
    </xf>
    <xf numFmtId="0" fontId="30" fillId="0" borderId="8" xfId="0" applyFont="1" applyBorder="1" applyAlignment="1"/>
    <xf numFmtId="0" fontId="30" fillId="0" borderId="0" xfId="4" applyFont="1" applyAlignment="1">
      <alignment vertical="center"/>
    </xf>
    <xf numFmtId="0" fontId="20" fillId="0" borderId="0" xfId="4" applyFont="1" applyAlignment="1">
      <alignment vertical="center"/>
    </xf>
    <xf numFmtId="0" fontId="20" fillId="0" borderId="7" xfId="4" applyFont="1" applyBorder="1" applyAlignment="1">
      <alignment vertical="center"/>
    </xf>
    <xf numFmtId="0" fontId="72" fillId="0" borderId="0" xfId="0" applyFont="1"/>
    <xf numFmtId="0" fontId="0" fillId="0" borderId="0" xfId="0" applyFont="1" applyAlignment="1">
      <alignment horizontal="left"/>
    </xf>
    <xf numFmtId="0" fontId="73" fillId="0" borderId="0" xfId="0" applyFont="1" applyAlignment="1">
      <alignment horizontal="left"/>
    </xf>
    <xf numFmtId="0" fontId="7" fillId="0" borderId="0" xfId="0" applyFont="1" applyAlignment="1">
      <alignment horizontal="left"/>
    </xf>
    <xf numFmtId="49" fontId="73" fillId="0" borderId="0" xfId="0" applyNumberFormat="1" applyFont="1"/>
    <xf numFmtId="49" fontId="7" fillId="0" borderId="0" xfId="0" applyNumberFormat="1" applyFont="1"/>
    <xf numFmtId="1" fontId="7" fillId="0" borderId="0" xfId="0" applyNumberFormat="1" applyFont="1"/>
    <xf numFmtId="0" fontId="73" fillId="0" borderId="0" xfId="0" applyNumberFormat="1" applyFont="1"/>
    <xf numFmtId="0" fontId="30" fillId="0" borderId="10" xfId="4" applyFont="1" applyBorder="1" applyAlignment="1">
      <alignment vertical="center"/>
    </xf>
    <xf numFmtId="0" fontId="35" fillId="0" borderId="0" xfId="0" applyFont="1" applyBorder="1" applyAlignment="1">
      <alignment wrapText="1"/>
    </xf>
    <xf numFmtId="0" fontId="2" fillId="0" borderId="0" xfId="2" applyAlignment="1">
      <alignment vertical="center"/>
    </xf>
    <xf numFmtId="0" fontId="60" fillId="0" borderId="0" xfId="4" applyFont="1" applyBorder="1" applyAlignment="1">
      <alignment horizontal="left" vertical="center" wrapText="1"/>
    </xf>
    <xf numFmtId="168" fontId="19" fillId="2" borderId="12" xfId="0" applyNumberFormat="1" applyFont="1" applyFill="1" applyBorder="1" applyAlignment="1">
      <alignment horizontal="left" indent="1"/>
    </xf>
    <xf numFmtId="0" fontId="19" fillId="0" borderId="0" xfId="0" applyFont="1" applyFill="1"/>
    <xf numFmtId="0" fontId="19" fillId="0" borderId="0" xfId="0" applyFont="1" applyFill="1" applyAlignment="1">
      <alignment wrapText="1"/>
    </xf>
    <xf numFmtId="0" fontId="20" fillId="0" borderId="0" xfId="0" applyFont="1" applyFill="1"/>
    <xf numFmtId="171" fontId="20" fillId="0" borderId="8" xfId="0" applyNumberFormat="1" applyFont="1" applyBorder="1" applyAlignment="1">
      <alignment horizontal="center" vertical="center"/>
    </xf>
    <xf numFmtId="164" fontId="20" fillId="0" borderId="8" xfId="0" applyNumberFormat="1" applyFont="1" applyBorder="1" applyAlignment="1">
      <alignment horizontal="center" vertical="center"/>
    </xf>
    <xf numFmtId="0" fontId="33" fillId="0" borderId="13" xfId="17" applyFont="1" applyBorder="1" applyAlignment="1">
      <alignment horizontal="center" wrapText="1"/>
    </xf>
    <xf numFmtId="0" fontId="33" fillId="0" borderId="9" xfId="17" applyFont="1" applyBorder="1" applyAlignment="1">
      <alignment horizontal="center" wrapText="1"/>
    </xf>
    <xf numFmtId="0" fontId="9" fillId="0" borderId="19" xfId="17" applyFont="1" applyBorder="1"/>
    <xf numFmtId="0" fontId="58" fillId="0" borderId="0" xfId="4" applyFont="1" applyAlignment="1">
      <alignment vertical="center"/>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164" fontId="20" fillId="0" borderId="6" xfId="0" applyNumberFormat="1" applyFont="1" applyBorder="1" applyAlignment="1">
      <alignment horizontal="center" vertical="center"/>
    </xf>
    <xf numFmtId="164" fontId="20" fillId="0" borderId="53" xfId="0" applyNumberFormat="1" applyFont="1" applyBorder="1" applyAlignment="1">
      <alignment horizontal="center" vertical="center"/>
    </xf>
    <xf numFmtId="164" fontId="31" fillId="0" borderId="58" xfId="20" applyNumberFormat="1" applyFont="1" applyFill="1" applyBorder="1" applyAlignment="1">
      <alignment horizontal="center" vertical="center"/>
    </xf>
    <xf numFmtId="164" fontId="31" fillId="0" borderId="8" xfId="20" applyNumberFormat="1" applyFont="1" applyFill="1" applyBorder="1" applyAlignment="1">
      <alignment horizontal="center" vertical="center"/>
    </xf>
    <xf numFmtId="164" fontId="31" fillId="0" borderId="11" xfId="20" applyNumberFormat="1" applyFont="1" applyFill="1" applyBorder="1" applyAlignment="1">
      <alignment horizontal="center" vertical="center"/>
    </xf>
    <xf numFmtId="171" fontId="31" fillId="0" borderId="8" xfId="17" applyNumberFormat="1" applyFont="1" applyBorder="1" applyAlignment="1">
      <alignment horizontal="center" vertical="center"/>
    </xf>
    <xf numFmtId="172" fontId="31" fillId="0" borderId="8" xfId="20" applyNumberFormat="1" applyFont="1" applyFill="1" applyBorder="1" applyAlignment="1">
      <alignment horizontal="center" vertical="center"/>
    </xf>
    <xf numFmtId="169" fontId="31" fillId="0" borderId="58" xfId="20" applyNumberFormat="1" applyFont="1" applyFill="1" applyBorder="1" applyAlignment="1">
      <alignment horizontal="center" vertical="center"/>
    </xf>
    <xf numFmtId="169" fontId="20" fillId="0" borderId="8" xfId="0" applyNumberFormat="1" applyFont="1" applyBorder="1" applyAlignment="1">
      <alignment horizontal="center" vertical="center"/>
    </xf>
    <xf numFmtId="169" fontId="31" fillId="0" borderId="53" xfId="20" applyNumberFormat="1" applyFont="1" applyFill="1" applyBorder="1" applyAlignment="1">
      <alignment horizontal="center" vertical="center"/>
    </xf>
    <xf numFmtId="172" fontId="20" fillId="0" borderId="8" xfId="0" applyNumberFormat="1" applyFont="1" applyBorder="1" applyAlignment="1">
      <alignment horizontal="center" vertical="center"/>
    </xf>
    <xf numFmtId="172" fontId="20" fillId="0" borderId="53" xfId="0" applyNumberFormat="1" applyFont="1" applyBorder="1" applyAlignment="1">
      <alignment horizontal="center" vertical="center"/>
    </xf>
    <xf numFmtId="166" fontId="20" fillId="0" borderId="8" xfId="0" applyNumberFormat="1" applyFont="1" applyBorder="1" applyAlignment="1">
      <alignment horizontal="center" vertical="center"/>
    </xf>
    <xf numFmtId="0" fontId="22" fillId="0" borderId="0" xfId="1"/>
    <xf numFmtId="0" fontId="19" fillId="0" borderId="0" xfId="4" applyFont="1" applyAlignment="1">
      <alignment horizontal="left" vertical="center"/>
    </xf>
    <xf numFmtId="0" fontId="16" fillId="0" borderId="10" xfId="7" applyFont="1" applyBorder="1" applyAlignment="1">
      <alignment horizontal="left" vertical="center"/>
    </xf>
    <xf numFmtId="0" fontId="22" fillId="0" borderId="0" xfId="6" applyFont="1">
      <alignment vertical="center"/>
    </xf>
    <xf numFmtId="0" fontId="23" fillId="0" borderId="0" xfId="1" applyFont="1" applyAlignment="1">
      <alignment vertical="center"/>
    </xf>
    <xf numFmtId="0" fontId="24" fillId="0" borderId="0" xfId="6" applyFont="1">
      <alignment vertical="center"/>
    </xf>
    <xf numFmtId="0" fontId="23" fillId="0" borderId="0" xfId="1" applyFont="1" applyAlignment="1">
      <alignment horizontal="left" vertical="center"/>
    </xf>
    <xf numFmtId="0" fontId="22" fillId="0" borderId="0" xfId="1" applyFont="1" applyAlignment="1">
      <alignment horizontal="left" vertical="center"/>
    </xf>
    <xf numFmtId="0" fontId="5" fillId="0" borderId="10" xfId="7" applyBorder="1" applyAlignment="1">
      <alignment horizontal="left" vertical="center"/>
    </xf>
    <xf numFmtId="0" fontId="2" fillId="0" borderId="0" xfId="2" applyAlignment="1">
      <alignment horizontal="center" vertical="center"/>
    </xf>
    <xf numFmtId="0" fontId="11" fillId="0" borderId="0" xfId="4" applyFont="1" applyAlignment="1">
      <alignment horizontal="left" vertical="center" wrapText="1"/>
    </xf>
    <xf numFmtId="0" fontId="17" fillId="0" borderId="0" xfId="2" applyFont="1" applyAlignment="1">
      <alignment horizontal="right" vertical="center" wrapText="1"/>
    </xf>
    <xf numFmtId="0" fontId="22" fillId="0" borderId="0" xfId="1" applyAlignment="1">
      <alignment horizontal="center" wrapText="1"/>
    </xf>
    <xf numFmtId="0" fontId="7" fillId="0" borderId="0" xfId="0" applyFont="1" applyAlignment="1">
      <alignment horizontal="right" vertical="center"/>
    </xf>
    <xf numFmtId="0" fontId="5" fillId="0" borderId="10" xfId="7" applyFont="1" applyBorder="1" applyAlignment="1">
      <alignment horizontal="left" vertical="center"/>
    </xf>
    <xf numFmtId="0" fontId="19" fillId="0" borderId="0" xfId="0" applyFont="1" applyAlignment="1">
      <alignment horizontal="center" wrapText="1"/>
    </xf>
    <xf numFmtId="0" fontId="5" fillId="0" borderId="19" xfId="5" applyFont="1" applyBorder="1" applyAlignment="1">
      <alignment horizontal="left" vertical="center"/>
    </xf>
    <xf numFmtId="0" fontId="30"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6"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5" xfId="0" applyFont="1" applyBorder="1" applyAlignment="1">
      <alignment horizontal="center" vertical="center" wrapText="1"/>
    </xf>
    <xf numFmtId="0" fontId="68" fillId="9" borderId="7" xfId="1" applyFont="1" applyFill="1" applyBorder="1" applyAlignment="1">
      <alignment horizontal="center" vertical="center" wrapText="1"/>
    </xf>
    <xf numFmtId="0" fontId="68" fillId="9" borderId="0" xfId="1" applyFont="1" applyFill="1" applyBorder="1" applyAlignment="1">
      <alignment horizontal="center" vertical="center" wrapText="1"/>
    </xf>
    <xf numFmtId="0" fontId="68" fillId="9" borderId="8" xfId="1" applyFont="1" applyFill="1" applyBorder="1" applyAlignment="1">
      <alignment horizontal="center" vertical="center" wrapText="1"/>
    </xf>
    <xf numFmtId="0" fontId="22" fillId="0" borderId="0" xfId="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center"/>
    </xf>
    <xf numFmtId="0" fontId="19" fillId="0" borderId="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29" fillId="0" borderId="7" xfId="6" applyFont="1" applyBorder="1" applyAlignment="1">
      <alignment horizontal="center" vertical="center" wrapText="1"/>
    </xf>
    <xf numFmtId="0" fontId="29" fillId="0" borderId="0" xfId="6" applyFont="1" applyAlignment="1">
      <alignment horizontal="center" vertical="center" wrapText="1"/>
    </xf>
    <xf numFmtId="0" fontId="26" fillId="0" borderId="0" xfId="5" applyFont="1" applyAlignment="1">
      <alignment horizontal="left" vertical="center"/>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8" fontId="19" fillId="0" borderId="0" xfId="0" applyNumberFormat="1" applyFont="1" applyAlignment="1">
      <alignment horizontal="right" vertical="top"/>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xf>
    <xf numFmtId="0" fontId="7" fillId="0" borderId="0" xfId="0" applyFont="1" applyAlignment="1">
      <alignment horizontal="right"/>
    </xf>
    <xf numFmtId="0" fontId="19" fillId="0" borderId="0" xfId="0" applyFont="1" applyAlignment="1">
      <alignment horizontal="left" vertical="center" wrapText="1"/>
    </xf>
    <xf numFmtId="0" fontId="30" fillId="0" borderId="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 xfId="0" applyFont="1" applyBorder="1" applyAlignment="1">
      <alignment horizontal="center" vertical="center" wrapText="1"/>
    </xf>
    <xf numFmtId="0" fontId="22" fillId="0" borderId="7" xfId="1" applyBorder="1" applyAlignment="1">
      <alignment horizontal="center" vertical="center" wrapText="1"/>
    </xf>
    <xf numFmtId="0" fontId="22" fillId="0" borderId="8" xfId="1" applyBorder="1" applyAlignment="1">
      <alignment horizontal="center" vertical="center" wrapText="1"/>
    </xf>
    <xf numFmtId="0" fontId="68" fillId="9" borderId="7" xfId="6" applyFont="1" applyFill="1" applyBorder="1" applyAlignment="1">
      <alignment horizontal="center" vertical="center" wrapText="1"/>
    </xf>
    <xf numFmtId="0" fontId="68" fillId="9" borderId="0" xfId="6" applyFont="1" applyFill="1" applyBorder="1" applyAlignment="1">
      <alignment horizontal="center" vertical="center" wrapText="1"/>
    </xf>
    <xf numFmtId="0" fontId="35" fillId="0" borderId="48" xfId="0" applyFont="1" applyBorder="1" applyAlignment="1">
      <alignment horizontal="left" wrapText="1"/>
    </xf>
    <xf numFmtId="0" fontId="35" fillId="0" borderId="0" xfId="0" applyFont="1" applyBorder="1" applyAlignment="1">
      <alignment horizontal="left" wrapText="1"/>
    </xf>
    <xf numFmtId="0" fontId="26" fillId="9" borderId="0"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19" fillId="0" borderId="0" xfId="0" applyFont="1" applyAlignment="1">
      <alignment horizontal="center" vertical="center" wrapText="1"/>
    </xf>
    <xf numFmtId="0" fontId="29" fillId="0" borderId="0" xfId="1" applyFont="1" applyAlignment="1">
      <alignment horizontal="center" vertical="center"/>
    </xf>
    <xf numFmtId="0" fontId="22" fillId="0" borderId="0" xfId="6" applyFont="1" applyAlignment="1">
      <alignment horizontal="center" vertical="center"/>
    </xf>
    <xf numFmtId="0" fontId="19" fillId="0" borderId="0" xfId="0" applyFont="1" applyAlignment="1">
      <alignment horizontal="left" vertical="top" wrapText="1"/>
    </xf>
    <xf numFmtId="0" fontId="30" fillId="0" borderId="0" xfId="0" applyFont="1" applyAlignment="1">
      <alignment horizontal="right" vertical="top" wrapText="1"/>
    </xf>
    <xf numFmtId="0" fontId="5" fillId="0" borderId="19" xfId="7" applyBorder="1" applyAlignment="1">
      <alignment horizontal="left" vertical="center"/>
    </xf>
    <xf numFmtId="0" fontId="69" fillId="0" borderId="0" xfId="0" applyFont="1" applyAlignment="1">
      <alignment horizontal="left" vertical="top" wrapText="1"/>
    </xf>
    <xf numFmtId="0" fontId="30" fillId="0" borderId="0" xfId="0" applyFont="1" applyAlignment="1">
      <alignment horizontal="right" vertical="top"/>
    </xf>
    <xf numFmtId="0" fontId="30" fillId="0" borderId="0" xfId="0" applyFont="1" applyAlignment="1">
      <alignment horizontal="left" vertical="top"/>
    </xf>
    <xf numFmtId="0" fontId="19" fillId="0" borderId="0" xfId="0" applyFont="1" applyAlignment="1">
      <alignment horizontal="left" vertical="top"/>
    </xf>
    <xf numFmtId="0" fontId="67" fillId="0" borderId="0" xfId="0" applyFont="1" applyAlignment="1">
      <alignment horizontal="left" vertical="top" wrapText="1"/>
    </xf>
    <xf numFmtId="0" fontId="31" fillId="0" borderId="0" xfId="17" quotePrefix="1" applyFont="1" applyAlignment="1">
      <alignment horizontal="left"/>
    </xf>
    <xf numFmtId="0" fontId="31" fillId="0" borderId="0" xfId="0" applyFont="1" applyAlignment="1">
      <alignment horizontal="center" wrapText="1"/>
    </xf>
    <xf numFmtId="0" fontId="26" fillId="0" borderId="19" xfId="8" applyFont="1" applyBorder="1" applyAlignment="1">
      <alignment horizontal="left" vertical="center"/>
    </xf>
    <xf numFmtId="0" fontId="31" fillId="0" borderId="40" xfId="11" applyFont="1" applyFill="1" applyBorder="1" applyAlignment="1">
      <alignment horizontal="center" vertical="center" wrapText="1"/>
    </xf>
    <xf numFmtId="0" fontId="31" fillId="0" borderId="41" xfId="11" applyFont="1" applyFill="1" applyBorder="1" applyAlignment="1">
      <alignment horizontal="center" vertical="center" wrapText="1"/>
    </xf>
    <xf numFmtId="0" fontId="34" fillId="0" borderId="40" xfId="11" applyFont="1" applyFill="1" applyBorder="1" applyAlignment="1">
      <alignment horizontal="center" vertical="center" wrapText="1"/>
    </xf>
    <xf numFmtId="0" fontId="34" fillId="0" borderId="15" xfId="11" applyFont="1" applyFill="1" applyBorder="1" applyAlignment="1">
      <alignment horizontal="center" vertical="center" wrapText="1"/>
    </xf>
    <xf numFmtId="0" fontId="34" fillId="0" borderId="29" xfId="11" applyFont="1" applyFill="1" applyBorder="1" applyAlignment="1">
      <alignment horizontal="center" vertical="center" wrapText="1"/>
    </xf>
    <xf numFmtId="0" fontId="34" fillId="6" borderId="15" xfId="17" applyFont="1" applyFill="1" applyBorder="1" applyAlignment="1">
      <alignment horizontal="center" vertical="center" wrapText="1"/>
    </xf>
    <xf numFmtId="0" fontId="34" fillId="6" borderId="26" xfId="17" applyFont="1" applyFill="1" applyBorder="1" applyAlignment="1">
      <alignment horizontal="center" vertical="center" wrapText="1"/>
    </xf>
    <xf numFmtId="0" fontId="30" fillId="0" borderId="15" xfId="0" applyFont="1" applyBorder="1" applyAlignment="1">
      <alignment horizontal="center" vertical="center"/>
    </xf>
    <xf numFmtId="0" fontId="11" fillId="0" borderId="34" xfId="4" applyFont="1" applyBorder="1" applyAlignment="1">
      <alignment horizontal="right" vertical="center"/>
    </xf>
    <xf numFmtId="0" fontId="11" fillId="0" borderId="35" xfId="4" applyFont="1" applyBorder="1" applyAlignment="1">
      <alignment horizontal="right" vertical="center"/>
    </xf>
    <xf numFmtId="0" fontId="43" fillId="0" borderId="48" xfId="17" quotePrefix="1" applyFont="1" applyBorder="1" applyAlignment="1">
      <alignment horizontal="left"/>
    </xf>
    <xf numFmtId="0" fontId="30" fillId="2" borderId="1" xfId="4" applyFont="1" applyFill="1" applyBorder="1" applyAlignment="1">
      <alignment horizontal="right" vertical="center"/>
    </xf>
    <xf numFmtId="0" fontId="30" fillId="2" borderId="2" xfId="4" applyFont="1" applyFill="1" applyBorder="1" applyAlignment="1">
      <alignment horizontal="right" vertical="center"/>
    </xf>
    <xf numFmtId="0" fontId="30" fillId="2" borderId="3" xfId="4" applyFont="1" applyFill="1" applyBorder="1" applyAlignment="1">
      <alignment horizontal="right" vertical="center"/>
    </xf>
    <xf numFmtId="0" fontId="30" fillId="2" borderId="1" xfId="9" applyFont="1" applyBorder="1" applyAlignment="1">
      <alignment horizontal="center" vertical="center"/>
    </xf>
    <xf numFmtId="0" fontId="30" fillId="2" borderId="3" xfId="9" applyFont="1" applyBorder="1" applyAlignment="1">
      <alignment horizontal="center" vertical="center"/>
    </xf>
    <xf numFmtId="0" fontId="30" fillId="0" borderId="0" xfId="0" applyFont="1" applyAlignment="1">
      <alignment horizontal="right"/>
    </xf>
    <xf numFmtId="0" fontId="19" fillId="0" borderId="0" xfId="4" applyFont="1" applyAlignment="1">
      <alignment horizontal="right" vertical="center"/>
    </xf>
    <xf numFmtId="0" fontId="19" fillId="2" borderId="1" xfId="0" applyFont="1" applyFill="1" applyBorder="1" applyAlignment="1">
      <alignment horizontal="center"/>
    </xf>
    <xf numFmtId="0" fontId="19" fillId="2" borderId="3" xfId="0" applyFont="1" applyFill="1" applyBorder="1" applyAlignment="1">
      <alignment horizontal="center"/>
    </xf>
    <xf numFmtId="0" fontId="35" fillId="0" borderId="0" xfId="8" applyFont="1" applyBorder="1" applyAlignment="1">
      <alignment horizontal="left"/>
    </xf>
    <xf numFmtId="0" fontId="20" fillId="0" borderId="0" xfId="4" applyFont="1" applyAlignment="1">
      <alignment horizontal="left" vertical="center"/>
    </xf>
    <xf numFmtId="0" fontId="5" fillId="0" borderId="19" xfId="8" applyFont="1" applyBorder="1" applyAlignment="1">
      <alignment horizontal="left" vertical="center"/>
    </xf>
    <xf numFmtId="0" fontId="34" fillId="6" borderId="25" xfId="17" applyFont="1" applyFill="1" applyBorder="1" applyAlignment="1">
      <alignment horizontal="center" vertical="center" wrapText="1"/>
    </xf>
    <xf numFmtId="0" fontId="34" fillId="6" borderId="28" xfId="17" applyFont="1" applyFill="1" applyBorder="1" applyAlignment="1">
      <alignment horizontal="center" vertical="center" wrapText="1"/>
    </xf>
    <xf numFmtId="0" fontId="11" fillId="0" borderId="59" xfId="8" applyFont="1" applyBorder="1" applyAlignment="1">
      <alignment horizontal="left" vertical="center"/>
    </xf>
    <xf numFmtId="0" fontId="11" fillId="0" borderId="19" xfId="8" applyFont="1" applyBorder="1" applyAlignment="1">
      <alignment horizontal="left" vertical="center"/>
    </xf>
    <xf numFmtId="0" fontId="19" fillId="0" borderId="0" xfId="0" applyFont="1" applyAlignment="1">
      <alignment horizontal="left" wrapText="1"/>
    </xf>
    <xf numFmtId="0" fontId="19" fillId="0" borderId="0" xfId="4" applyFont="1" applyAlignment="1">
      <alignment horizontal="left" vertical="center" wrapText="1"/>
    </xf>
    <xf numFmtId="0" fontId="19" fillId="0" borderId="0" xfId="23" applyFont="1" applyAlignment="1">
      <alignment horizontal="left" vertical="center" wrapText="1"/>
    </xf>
    <xf numFmtId="0" fontId="28" fillId="0" borderId="8" xfId="8" applyFont="1" applyBorder="1" applyAlignment="1">
      <alignment horizontal="center" vertical="center"/>
    </xf>
    <xf numFmtId="0" fontId="28" fillId="0" borderId="15" xfId="8" applyFont="1" applyBorder="1" applyAlignment="1">
      <alignment horizontal="center" vertical="center"/>
    </xf>
    <xf numFmtId="0" fontId="19" fillId="0" borderId="0" xfId="0" applyFont="1" applyAlignment="1">
      <alignment horizontal="left"/>
    </xf>
    <xf numFmtId="0" fontId="26" fillId="0" borderId="10" xfId="4" applyFont="1" applyBorder="1" applyAlignment="1">
      <alignment horizontal="left" vertical="center" wrapText="1"/>
    </xf>
    <xf numFmtId="0" fontId="22" fillId="0" borderId="10" xfId="1" applyBorder="1" applyAlignment="1">
      <alignment horizontal="left" vertical="center" wrapText="1"/>
    </xf>
    <xf numFmtId="0" fontId="30" fillId="0" borderId="12" xfId="4" applyFont="1" applyBorder="1" applyAlignment="1">
      <alignment horizontal="center" vertical="center" wrapText="1"/>
    </xf>
    <xf numFmtId="0" fontId="19" fillId="0" borderId="12" xfId="4" applyFont="1" applyBorder="1" applyAlignment="1">
      <alignment horizontal="center" vertical="center" wrapText="1"/>
    </xf>
    <xf numFmtId="0" fontId="29" fillId="0" borderId="12" xfId="6" applyFont="1" applyBorder="1" applyAlignment="1">
      <alignment horizontal="center" vertical="center" wrapText="1"/>
    </xf>
    <xf numFmtId="0" fontId="29" fillId="0" borderId="1" xfId="6" applyFont="1" applyBorder="1" applyAlignment="1">
      <alignment horizontal="center" vertical="center" wrapText="1"/>
    </xf>
    <xf numFmtId="0" fontId="28" fillId="0" borderId="9" xfId="8" applyFont="1" applyBorder="1" applyAlignment="1">
      <alignment horizontal="center" vertical="center" wrapText="1"/>
    </xf>
    <xf numFmtId="0" fontId="28" fillId="0" borderId="10" xfId="8" applyFont="1" applyBorder="1" applyAlignment="1">
      <alignment horizontal="center" vertical="center" wrapText="1"/>
    </xf>
    <xf numFmtId="0" fontId="11" fillId="0" borderId="14" xfId="4" applyFont="1" applyBorder="1" applyAlignment="1">
      <alignment horizontal="center" vertical="center" wrapText="1"/>
    </xf>
    <xf numFmtId="0" fontId="11" fillId="0" borderId="15" xfId="4" applyFont="1" applyBorder="1" applyAlignment="1">
      <alignment horizontal="center" vertical="center" wrapText="1"/>
    </xf>
    <xf numFmtId="0" fontId="30" fillId="0" borderId="0" xfId="23" applyFont="1" applyAlignment="1">
      <alignment horizontal="left" wrapText="1"/>
    </xf>
    <xf numFmtId="0" fontId="19" fillId="0" borderId="6" xfId="4" applyFont="1" applyBorder="1" applyAlignment="1">
      <alignment horizontal="center" vertical="center"/>
    </xf>
    <xf numFmtId="0" fontId="19" fillId="0" borderId="11" xfId="4" applyFont="1" applyBorder="1" applyAlignment="1">
      <alignment horizontal="center" vertical="center"/>
    </xf>
    <xf numFmtId="0" fontId="19" fillId="0" borderId="14" xfId="4" applyFont="1" applyBorder="1" applyAlignment="1">
      <alignment horizontal="center" vertical="center"/>
    </xf>
    <xf numFmtId="0" fontId="19" fillId="0" borderId="13" xfId="4" applyFont="1" applyBorder="1" applyAlignment="1">
      <alignment horizontal="center" vertical="center"/>
    </xf>
    <xf numFmtId="0" fontId="29" fillId="0" borderId="4" xfId="6" applyFont="1" applyBorder="1" applyAlignment="1">
      <alignment horizontal="center" vertical="center" wrapText="1"/>
    </xf>
    <xf numFmtId="0" fontId="29" fillId="0" borderId="9" xfId="6" applyFont="1" applyBorder="1" applyAlignment="1">
      <alignment horizontal="center" vertical="center" wrapText="1"/>
    </xf>
    <xf numFmtId="0" fontId="22" fillId="0" borderId="14" xfId="1" applyBorder="1" applyAlignment="1">
      <alignment horizontal="center" vertical="center" wrapText="1"/>
    </xf>
    <xf numFmtId="0" fontId="22" fillId="0" borderId="13" xfId="1" applyBorder="1" applyAlignment="1">
      <alignment horizontal="center" vertical="center" wrapText="1"/>
    </xf>
    <xf numFmtId="0" fontId="19" fillId="0" borderId="4" xfId="4" applyFont="1" applyBorder="1" applyAlignment="1">
      <alignment horizontal="center" vertical="center"/>
    </xf>
    <xf numFmtId="0" fontId="19" fillId="0" borderId="9" xfId="4" applyFont="1" applyBorder="1" applyAlignment="1">
      <alignment horizontal="center" vertical="center"/>
    </xf>
    <xf numFmtId="0" fontId="60" fillId="0" borderId="0" xfId="4" applyFont="1" applyBorder="1" applyAlignment="1">
      <alignment horizontal="left" vertical="center" wrapText="1"/>
    </xf>
    <xf numFmtId="0" fontId="19" fillId="0" borderId="4" xfId="4" applyFont="1" applyBorder="1" applyAlignment="1">
      <alignment horizontal="center" vertical="center" wrapText="1"/>
    </xf>
    <xf numFmtId="0" fontId="19" fillId="0" borderId="6" xfId="4" applyFont="1" applyBorder="1" applyAlignment="1">
      <alignment horizontal="center" vertical="center" wrapText="1"/>
    </xf>
    <xf numFmtId="0" fontId="19" fillId="0" borderId="9" xfId="4" applyFont="1" applyBorder="1" applyAlignment="1">
      <alignment horizontal="center" vertical="center" wrapText="1"/>
    </xf>
    <xf numFmtId="0" fontId="19" fillId="0" borderId="11" xfId="4" applyFont="1" applyBorder="1" applyAlignment="1">
      <alignment horizontal="center" vertical="center" wrapText="1"/>
    </xf>
    <xf numFmtId="0" fontId="12" fillId="0" borderId="19" xfId="17" applyFont="1" applyBorder="1" applyAlignment="1">
      <alignment horizontal="left"/>
    </xf>
    <xf numFmtId="0" fontId="29" fillId="0" borderId="0" xfId="6" applyFont="1" applyAlignment="1">
      <alignment horizontal="left" vertical="center"/>
    </xf>
    <xf numFmtId="0" fontId="9" fillId="0" borderId="0" xfId="17" applyFont="1" applyAlignment="1">
      <alignment horizontal="right"/>
    </xf>
    <xf numFmtId="0" fontId="62" fillId="0" borderId="0" xfId="0" applyFont="1" applyAlignment="1">
      <alignment horizontal="right" vertical="center"/>
    </xf>
  </cellXfs>
  <cellStyles count="24">
    <cellStyle name="Comma" xfId="15" builtinId="3"/>
    <cellStyle name="Comma 2" xfId="19" xr:uid="{00000000-0005-0000-0000-000001000000}"/>
    <cellStyle name="Doc Code" xfId="14" xr:uid="{00000000-0005-0000-0000-000002000000}"/>
    <cellStyle name="Emission Totals" xfId="11" xr:uid="{00000000-0005-0000-0000-000003000000}"/>
    <cellStyle name="Enter Info" xfId="9" xr:uid="{00000000-0005-0000-0000-000004000000}"/>
    <cellStyle name="Explanatory Text" xfId="22" builtinId="53"/>
    <cellStyle name="Good" xfId="20" builtinId="26"/>
    <cellStyle name="Hyperlink" xfId="1" builtinId="8" customBuiltin="1"/>
    <cellStyle name="Key Info" xfId="13" xr:uid="{00000000-0005-0000-0000-000008000000}"/>
    <cellStyle name="Normal" xfId="0" builtinId="0"/>
    <cellStyle name="Normal 2" xfId="17" xr:uid="{00000000-0005-0000-0000-00000A000000}"/>
    <cellStyle name="Normal 2 2" xfId="21" xr:uid="{00000000-0005-0000-0000-00000B000000}"/>
    <cellStyle name="Normal 7" xfId="23" xr:uid="{00000000-0005-0000-0000-00000C000000}"/>
    <cellStyle name="PCA Body Text" xfId="4" xr:uid="{00000000-0005-0000-0000-00000D000000}"/>
    <cellStyle name="PCA Heading 1" xfId="5" xr:uid="{00000000-0005-0000-0000-00000E000000}"/>
    <cellStyle name="PCA Heading 2" xfId="7" xr:uid="{00000000-0005-0000-0000-00000F000000}"/>
    <cellStyle name="PCA Heading 3" xfId="8" xr:uid="{00000000-0005-0000-0000-000010000000}"/>
    <cellStyle name="PCA Hyperlink" xfId="6" xr:uid="{00000000-0005-0000-0000-000011000000}"/>
    <cellStyle name="PCA Subtitle" xfId="3" xr:uid="{00000000-0005-0000-0000-000012000000}"/>
    <cellStyle name="PCA Title" xfId="2" xr:uid="{00000000-0005-0000-0000-000013000000}"/>
    <cellStyle name="Permit Thresholds" xfId="16" xr:uid="{00000000-0005-0000-0000-000014000000}"/>
    <cellStyle name="Standard Value" xfId="18" xr:uid="{00000000-0005-0000-0000-000015000000}"/>
    <cellStyle name="Standard Values" xfId="10" xr:uid="{00000000-0005-0000-0000-000016000000}"/>
    <cellStyle name="Thresholds" xfId="12" xr:uid="{00000000-0005-0000-0000-000017000000}"/>
  </cellStyles>
  <dxfs count="43">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strike val="0"/>
        <condense val="0"/>
        <extend val="0"/>
        <outline val="0"/>
        <shadow val="0"/>
        <u val="none"/>
        <vertAlign val="baseline"/>
        <sz val="10"/>
        <color theme="1"/>
        <name val="Arial"/>
        <scheme val="none"/>
      </font>
    </dxf>
    <dxf>
      <font>
        <color theme="0"/>
      </font>
    </dxf>
    <dxf>
      <fill>
        <patternFill>
          <bgColor rgb="FFFFFFCC"/>
        </patternFill>
      </fill>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dxf>
    <dxf>
      <font>
        <b/>
        <i/>
        <color rgb="FF008EAA"/>
      </font>
    </dxf>
    <dxf>
      <font>
        <b/>
        <i/>
        <color rgb="FF008EAA"/>
      </font>
    </dxf>
    <dxf>
      <font>
        <b/>
        <i/>
        <color rgb="FF008EAA"/>
      </font>
    </dxf>
    <dxf>
      <font>
        <b/>
        <i/>
        <strike val="0"/>
        <color rgb="FF008EAA"/>
      </font>
    </dxf>
    <dxf>
      <font>
        <color theme="0"/>
      </font>
    </dxf>
    <dxf>
      <font>
        <b/>
        <i val="0"/>
        <color rgb="FF008EAA"/>
      </font>
    </dxf>
    <dxf>
      <font>
        <color rgb="FFEAF8D8"/>
      </font>
    </dxf>
    <dxf>
      <font>
        <color theme="0"/>
      </font>
    </dxf>
    <dxf>
      <font>
        <color theme="0"/>
      </font>
    </dxf>
    <dxf>
      <font>
        <b/>
        <i val="0"/>
        <color rgb="FF008EAA"/>
      </font>
    </dxf>
    <dxf>
      <font>
        <color rgb="FFEAF8D8"/>
      </font>
    </dxf>
    <dxf>
      <font>
        <color theme="0"/>
      </font>
    </dxf>
    <dxf>
      <font>
        <color theme="0"/>
      </font>
    </dxf>
    <dxf>
      <font>
        <color theme="0"/>
      </font>
    </dxf>
    <dxf>
      <font>
        <color theme="0"/>
      </font>
    </dxf>
    <dxf>
      <font>
        <b/>
        <i val="0"/>
        <color rgb="FF008EAA"/>
      </font>
    </dxf>
    <dxf>
      <fill>
        <patternFill patternType="none">
          <bgColor auto="1"/>
        </patternFill>
      </fill>
      <border>
        <vertical/>
        <horizontal/>
      </border>
    </dxf>
    <dxf>
      <font>
        <color rgb="FFFFEDC1"/>
      </font>
    </dxf>
    <dxf>
      <fill>
        <patternFill patternType="none">
          <bgColor auto="1"/>
        </patternFill>
      </fill>
      <border>
        <vertical/>
        <horizontal/>
      </border>
    </dxf>
    <dxf>
      <font>
        <color rgb="FFFFEDC1"/>
      </font>
    </dxf>
    <dxf>
      <fill>
        <patternFill patternType="none">
          <bgColor auto="1"/>
        </patternFill>
      </fill>
      <border>
        <vertical/>
        <horizontal/>
      </border>
    </dxf>
    <dxf>
      <font>
        <color rgb="FFFFEDC1"/>
      </font>
    </dxf>
    <dxf>
      <fill>
        <patternFill patternType="none">
          <bgColor auto="1"/>
        </patternFill>
      </fill>
      <border>
        <vertical/>
        <horizontal/>
      </border>
    </dxf>
    <dxf>
      <font>
        <color rgb="FFFFEDC1"/>
      </font>
    </dxf>
    <dxf>
      <fill>
        <patternFill patternType="none">
          <bgColor auto="1"/>
        </patternFill>
      </fill>
      <border>
        <vertical/>
        <horizontal/>
      </border>
    </dxf>
    <dxf>
      <font>
        <color rgb="FFFFEDC1"/>
      </font>
    </dxf>
    <dxf>
      <font>
        <color theme="0"/>
      </font>
    </dxf>
    <dxf>
      <font>
        <color theme="0"/>
      </font>
    </dxf>
    <dxf>
      <font>
        <color theme="0"/>
      </font>
    </dxf>
    <dxf>
      <font>
        <color theme="0"/>
      </font>
    </dxf>
  </dxfs>
  <tableStyles count="0" defaultTableStyle="TableStyleMedium2" defaultPivotStyle="PivotStyleLight16"/>
  <colors>
    <mruColors>
      <color rgb="FFFFEDC1"/>
      <color rgb="FFCC99FF"/>
      <color rgb="FF008EAA"/>
      <color rgb="FFD1EAFF"/>
      <color rgb="FFCC3300"/>
      <color rgb="FF0000FF"/>
      <color rgb="FFFFFFCC"/>
      <color rgb="FFEAF8D8"/>
      <color rgb="FFFDFEFC"/>
      <color rgb="FFF8F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4</xdr:col>
      <xdr:colOff>590550</xdr:colOff>
      <xdr:row>2</xdr:row>
      <xdr:rowOff>47625</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95250"/>
          <a:ext cx="2390775"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114300</xdr:rowOff>
    </xdr:from>
    <xdr:to>
      <xdr:col>15</xdr:col>
      <xdr:colOff>391842</xdr:colOff>
      <xdr:row>39</xdr:row>
      <xdr:rowOff>134336</xdr:rowOff>
    </xdr:to>
    <xdr:pic>
      <xdr:nvPicPr>
        <xdr:cNvPr id="2" name="Picture 1" descr="EPA/AIRS Emission Factors By Source Classification Cod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495300"/>
          <a:ext cx="9440592" cy="70685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5:B14" totalsRowShown="0" headerRowDxfId="6" dataDxfId="5" headerRowCellStyle="PCA Body Text" dataCellStyle="PCA Body Text">
  <autoFilter ref="A5:B14" xr:uid="{00000000-0009-0000-0100-000004000000}"/>
  <tableColumns count="2">
    <tableColumn id="1" xr3:uid="{00000000-0010-0000-0000-000001000000}" name="Engine and Fuel Type" dataDxfId="4" dataCellStyle="PCA Body Text"/>
    <tableColumn id="2" xr3:uid="{00000000-0010-0000-0000-000002000000}" name="Choose one to calculate actual emissions" dataDxfId="3" dataCellStyle="PCA Body Tex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6:A19" totalsRowShown="0" headerRowDxfId="2" dataDxfId="1" headerRowCellStyle="Normal 2" dataCellStyle="PCA Body Text">
  <autoFilter ref="A16:A19" xr:uid="{00000000-0009-0000-0100-000005000000}"/>
  <tableColumns count="1">
    <tableColumn id="1" xr3:uid="{00000000-0010-0000-0100-000001000000}" name="Engine Use" dataDxfId="0" dataCellStyle="PCA Body Tex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ca.state.mn.us/smallbizhelp" TargetMode="External"/><Relationship Id="rId1" Type="http://schemas.openxmlformats.org/officeDocument/2006/relationships/hyperlink" Target="mailto:smallbizhelp.pca@state.mn.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pca.state.mn.us/sites/default/files/aq-f1-ec03.doc" TargetMode="External"/><Relationship Id="rId3" Type="http://schemas.openxmlformats.org/officeDocument/2006/relationships/hyperlink" Target="https://www.pca.state.mn.us/air/air-permit-forms-and-online-submittals" TargetMode="External"/><Relationship Id="rId7" Type="http://schemas.openxmlformats.org/officeDocument/2006/relationships/hyperlink" Target="https://www.pca.state.mn.us/business-with-us/air-registration-permits" TargetMode="External"/><Relationship Id="rId2" Type="http://schemas.openxmlformats.org/officeDocument/2006/relationships/hyperlink" Target="https://www.pca.state.mn.us/air/engines" TargetMode="External"/><Relationship Id="rId1" Type="http://schemas.openxmlformats.org/officeDocument/2006/relationships/hyperlink" Target="https://www.epa.gov/scram/air-quality-dispersion-modeling-screening-models" TargetMode="External"/><Relationship Id="rId6" Type="http://schemas.openxmlformats.org/officeDocument/2006/relationships/hyperlink" Target="https://www.revisor.mn.gov/rules/7007.1300/" TargetMode="External"/><Relationship Id="rId5" Type="http://schemas.openxmlformats.org/officeDocument/2006/relationships/hyperlink" Target="https://www.revisor.mn.gov/rules/7007.0300/" TargetMode="External"/><Relationship Id="rId4" Type="http://schemas.openxmlformats.org/officeDocument/2006/relationships/hyperlink" Target="https://www.pca.state.mn.us/air/types-air-permits"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ecfr.gov/cgi-bin/text-idx?SID=1ee28bcbb978abf0765153e92d9256de&amp;mc=true&amp;node=ap40.23.98_138.1&amp;rgn=div9" TargetMode="External"/><Relationship Id="rId13" Type="http://schemas.openxmlformats.org/officeDocument/2006/relationships/hyperlink" Target="https://www3.epa.gov/ttn/chief/ap42/ch03/final/c03s02.pdf" TargetMode="External"/><Relationship Id="rId18" Type="http://schemas.openxmlformats.org/officeDocument/2006/relationships/vmlDrawing" Target="../drawings/vmlDrawing1.vml"/><Relationship Id="rId3" Type="http://schemas.openxmlformats.org/officeDocument/2006/relationships/hyperlink" Target="https://www3.epa.gov/ttn/chief/ap42/ch03/final/c03s01.pdf" TargetMode="External"/><Relationship Id="rId7" Type="http://schemas.openxmlformats.org/officeDocument/2006/relationships/hyperlink" Target="https://www3.epa.gov/ttn/chief/ap42/ch03/final/c03s02.pdf" TargetMode="External"/><Relationship Id="rId12" Type="http://schemas.openxmlformats.org/officeDocument/2006/relationships/hyperlink" Target="https://www3.epa.gov/ttn/chief/ap42/ch03/final/c03s04.pdf" TargetMode="External"/><Relationship Id="rId17" Type="http://schemas.openxmlformats.org/officeDocument/2006/relationships/printerSettings" Target="../printerSettings/printerSettings13.bin"/><Relationship Id="rId2" Type="http://schemas.openxmlformats.org/officeDocument/2006/relationships/hyperlink" Target="https://www3.epa.gov/ttn/chief/ap42/ch03/final/c03s02.pdf" TargetMode="External"/><Relationship Id="rId16" Type="http://schemas.openxmlformats.org/officeDocument/2006/relationships/hyperlink" Target="https://www3.epa.gov/ttnchie1/conference/ei12/area/haneke.pdf" TargetMode="External"/><Relationship Id="rId1" Type="http://schemas.openxmlformats.org/officeDocument/2006/relationships/hyperlink" Target="https://www3.epa.gov/ttn/chief/ap42/ch03/final/c03s02.pdf" TargetMode="External"/><Relationship Id="rId6" Type="http://schemas.openxmlformats.org/officeDocument/2006/relationships/hyperlink" Target="https://www3.epa.gov/ttn/chief/ap42/ch03/final/c03s04.pdf" TargetMode="External"/><Relationship Id="rId11" Type="http://schemas.openxmlformats.org/officeDocument/2006/relationships/hyperlink" Target="https://www3.epa.gov/ttn/chief/ap42/ch03/final/c03s03.pdf" TargetMode="External"/><Relationship Id="rId5" Type="http://schemas.openxmlformats.org/officeDocument/2006/relationships/hyperlink" Target="https://www3.epa.gov/ttn/chief/ap42/ch03/final/c03s03.pdf" TargetMode="External"/><Relationship Id="rId15" Type="http://schemas.openxmlformats.org/officeDocument/2006/relationships/hyperlink" Target="https://www3.epa.gov/ttn/chief/ap42/ch03/final/c03s02.pdf" TargetMode="External"/><Relationship Id="rId10" Type="http://schemas.openxmlformats.org/officeDocument/2006/relationships/hyperlink" Target="https://www3.epa.gov/ttn/chief/ap42/ch03/final/c03s01.pdf" TargetMode="External"/><Relationship Id="rId19" Type="http://schemas.openxmlformats.org/officeDocument/2006/relationships/comments" Target="../comments1.xml"/><Relationship Id="rId4" Type="http://schemas.openxmlformats.org/officeDocument/2006/relationships/hyperlink" Target="https://www3.epa.gov/ttn/chief/ap42/ch03/final/c03s03.pdf" TargetMode="External"/><Relationship Id="rId9" Type="http://schemas.openxmlformats.org/officeDocument/2006/relationships/hyperlink" Target="https://www.ecfr.gov/cgi-bin/retrieveECFR?gp=&amp;SID=413463dedd71f779cc0452b056c8741a&amp;mc=true&amp;n=sp40.23.98.c&amp;r=SUBPART&amp;ty=HTML" TargetMode="External"/><Relationship Id="rId14" Type="http://schemas.openxmlformats.org/officeDocument/2006/relationships/hyperlink" Target="https://www3.epa.gov/ttn/chief/ap42/ch03/final/c03s02.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ebapp.pca.state.mn.us/wimn/search" TargetMode="External"/><Relationship Id="rId1" Type="http://schemas.openxmlformats.org/officeDocument/2006/relationships/hyperlink" Target="mailto:bob.smith@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pca.state.mn.us/sites/default/files/aq-f1-gi09d.doc" TargetMode="External"/><Relationship Id="rId3" Type="http://schemas.openxmlformats.org/officeDocument/2006/relationships/hyperlink" Target="https://www.ecfr.gov/cgi-bin/text-idx?SID=0e74dadbf49821c0e5e5b49ef415456c&amp;mc=true&amp;node=se40.7.60_115&amp;rgn=div8" TargetMode="External"/><Relationship Id="rId7" Type="http://schemas.openxmlformats.org/officeDocument/2006/relationships/hyperlink" Target="https://www.ecfr.gov/cgi-bin/retrieveECFR?gp=&amp;SID=87f74a3ea24524bcc9d1bb68983d5d72&amp;mc=true&amp;r=SUBPART&amp;n=sp40.8.60.jjjj" TargetMode="External"/><Relationship Id="rId12" Type="http://schemas.openxmlformats.org/officeDocument/2006/relationships/printerSettings" Target="../printerSettings/printerSettings3.bin"/><Relationship Id="rId2" Type="http://schemas.openxmlformats.org/officeDocument/2006/relationships/hyperlink" Target="https://www.ecfr.gov/cgi-bin/text-idx?SID=26ce891695a330e9cd8a906e1c8a4bbd&amp;mc=true&amp;node=se40.7.60_12&amp;rgn=div8" TargetMode="External"/><Relationship Id="rId1" Type="http://schemas.openxmlformats.org/officeDocument/2006/relationships/hyperlink" Target="https://www.epa.gov/stationary-sources-air-pollution/national-emission-standards-hazardous-air-pollutants-neshap-8" TargetMode="External"/><Relationship Id="rId6" Type="http://schemas.openxmlformats.org/officeDocument/2006/relationships/hyperlink" Target="https://www.ecfr.gov/cgi-bin/text-idx?node=sp40.7.60.iiii" TargetMode="External"/><Relationship Id="rId11" Type="http://schemas.openxmlformats.org/officeDocument/2006/relationships/hyperlink" Target="https://www.pca.state.mn.us/sites/default/files/aq-f3-rp07.doc" TargetMode="External"/><Relationship Id="rId5" Type="http://schemas.openxmlformats.org/officeDocument/2006/relationships/hyperlink" Target="https://www.ecfr.gov/cgi-bin/text-idx?SID=4e15dfbee32ab71c4b44aecaaece2742&amp;mc=true&amp;node=sp40.15.63.zzzz&amp;rgn=div6" TargetMode="External"/><Relationship Id="rId10" Type="http://schemas.openxmlformats.org/officeDocument/2006/relationships/hyperlink" Target="https://www.pca.state.mn.us/air/engines" TargetMode="External"/><Relationship Id="rId4" Type="http://schemas.openxmlformats.org/officeDocument/2006/relationships/hyperlink" Target="https://www.revisor.mn.gov/rules/7007.0300/" TargetMode="External"/><Relationship Id="rId9" Type="http://schemas.openxmlformats.org/officeDocument/2006/relationships/hyperlink" Target="https://www.epa.gov/stationary-engines/implementation-tools-neshap-reciprocating-internal-combustion-engin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CC"/>
    <pageSetUpPr fitToPage="1"/>
  </sheetPr>
  <dimension ref="B1:O34"/>
  <sheetViews>
    <sheetView showGridLines="0" tabSelected="1" zoomScaleNormal="100" zoomScaleSheetLayoutView="100" workbookViewId="0">
      <selection activeCell="B5" sqref="B5:O5"/>
    </sheetView>
  </sheetViews>
  <sheetFormatPr defaultRowHeight="15" x14ac:dyDescent="0.25"/>
  <cols>
    <col min="1" max="1" width="4.28515625" customWidth="1"/>
    <col min="2" max="14" width="9.28515625" customWidth="1"/>
    <col min="15" max="15" width="11.5703125" customWidth="1"/>
  </cols>
  <sheetData>
    <row r="1" spans="2:15" ht="28.5" customHeight="1" x14ac:dyDescent="0.25">
      <c r="B1" s="406"/>
      <c r="C1" s="406"/>
      <c r="D1" s="406"/>
      <c r="E1" s="406"/>
      <c r="F1" s="406"/>
      <c r="G1" s="408" t="s">
        <v>541</v>
      </c>
      <c r="H1" s="408"/>
      <c r="I1" s="408"/>
      <c r="J1" s="408"/>
      <c r="K1" s="408"/>
      <c r="L1" s="408"/>
      <c r="M1" s="408"/>
      <c r="N1" s="408"/>
      <c r="O1" s="408"/>
    </row>
    <row r="2" spans="2:15" ht="29.25" customHeight="1" x14ac:dyDescent="0.25">
      <c r="B2" s="406"/>
      <c r="C2" s="406"/>
      <c r="D2" s="406"/>
      <c r="E2" s="406"/>
      <c r="F2" s="406"/>
      <c r="G2" s="408"/>
      <c r="H2" s="408"/>
      <c r="I2" s="408"/>
      <c r="J2" s="408"/>
      <c r="K2" s="408"/>
      <c r="L2" s="408"/>
      <c r="M2" s="408"/>
      <c r="N2" s="408"/>
      <c r="O2" s="408"/>
    </row>
    <row r="3" spans="2:15" s="4" customFormat="1" ht="15" customHeight="1" x14ac:dyDescent="0.2">
      <c r="B3" s="406"/>
      <c r="C3" s="406"/>
      <c r="D3" s="406"/>
      <c r="E3" s="406"/>
      <c r="F3" s="406"/>
      <c r="G3" s="230"/>
      <c r="H3" s="230"/>
      <c r="I3" s="230"/>
      <c r="J3" s="230"/>
      <c r="K3" s="230"/>
      <c r="L3" s="230"/>
      <c r="M3" s="230"/>
      <c r="N3" s="289"/>
      <c r="O3" s="528" t="s">
        <v>553</v>
      </c>
    </row>
    <row r="4" spans="2:15" ht="15" customHeight="1" x14ac:dyDescent="0.25">
      <c r="B4" s="406"/>
      <c r="C4" s="406"/>
      <c r="D4" s="406"/>
      <c r="E4" s="406"/>
      <c r="F4" s="406"/>
      <c r="G4" s="230"/>
      <c r="H4" s="230"/>
      <c r="I4" s="230"/>
      <c r="J4" s="230"/>
      <c r="K4" s="230"/>
      <c r="L4" s="230"/>
      <c r="M4" s="230"/>
      <c r="N4" s="230"/>
      <c r="O4" s="230"/>
    </row>
    <row r="5" spans="2:15" ht="15" customHeight="1" x14ac:dyDescent="0.25">
      <c r="B5" s="405" t="s">
        <v>0</v>
      </c>
      <c r="C5" s="405"/>
      <c r="D5" s="405"/>
      <c r="E5" s="405"/>
      <c r="F5" s="405"/>
      <c r="G5" s="405"/>
      <c r="H5" s="405"/>
      <c r="I5" s="405"/>
      <c r="J5" s="405"/>
      <c r="K5" s="405"/>
      <c r="L5" s="405"/>
      <c r="M5" s="405"/>
      <c r="N5" s="405"/>
      <c r="O5" s="405"/>
    </row>
    <row r="6" spans="2:15" ht="15" customHeight="1" x14ac:dyDescent="0.25">
      <c r="B6" s="398" t="s">
        <v>450</v>
      </c>
      <c r="C6" s="398"/>
      <c r="D6" s="398"/>
      <c r="E6" s="398"/>
      <c r="F6" s="398"/>
      <c r="G6" s="398"/>
      <c r="H6" s="398"/>
      <c r="I6" s="398"/>
      <c r="J6" s="398"/>
      <c r="K6" s="398"/>
      <c r="L6" s="398"/>
      <c r="M6" s="398"/>
      <c r="N6" s="398"/>
      <c r="O6" s="398"/>
    </row>
    <row r="7" spans="2:15" s="3" customFormat="1" ht="15" customHeight="1" x14ac:dyDescent="0.2">
      <c r="B7" s="398" t="s">
        <v>524</v>
      </c>
      <c r="C7" s="398"/>
      <c r="D7" s="398"/>
      <c r="E7" s="398"/>
      <c r="F7" s="398"/>
      <c r="G7" s="398"/>
      <c r="H7" s="398"/>
      <c r="I7" s="398"/>
      <c r="J7" s="398"/>
      <c r="K7" s="398"/>
      <c r="L7" s="398"/>
      <c r="M7" s="398"/>
      <c r="N7" s="398"/>
      <c r="O7" s="398"/>
    </row>
    <row r="8" spans="2:15" s="3" customFormat="1" ht="15" customHeight="1" x14ac:dyDescent="0.2">
      <c r="B8" s="349" t="s">
        <v>520</v>
      </c>
      <c r="C8" s="349"/>
      <c r="D8" s="349"/>
      <c r="E8" s="349"/>
      <c r="F8" s="349"/>
      <c r="G8" s="349"/>
      <c r="H8" s="349"/>
      <c r="I8" s="349"/>
      <c r="J8" s="349"/>
      <c r="K8" s="349"/>
      <c r="L8" s="349"/>
      <c r="M8" s="349"/>
      <c r="N8" s="349"/>
      <c r="O8" s="349"/>
    </row>
    <row r="9" spans="2:15" s="3" customFormat="1" ht="15" customHeight="1" x14ac:dyDescent="0.2">
      <c r="B9" s="398" t="s">
        <v>521</v>
      </c>
      <c r="C9" s="398"/>
      <c r="D9" s="398"/>
      <c r="E9" s="398"/>
      <c r="F9" s="398"/>
      <c r="G9" s="398"/>
      <c r="H9" s="398"/>
      <c r="I9" s="398"/>
      <c r="J9" s="398"/>
      <c r="K9" s="398"/>
      <c r="L9" s="398"/>
      <c r="M9" s="398"/>
      <c r="N9" s="398"/>
      <c r="O9" s="398"/>
    </row>
    <row r="10" spans="2:15" s="3" customFormat="1" ht="15" customHeight="1" x14ac:dyDescent="0.2">
      <c r="B10" s="407" t="s">
        <v>522</v>
      </c>
      <c r="C10" s="407"/>
      <c r="D10" s="407"/>
      <c r="E10" s="407"/>
      <c r="F10" s="407"/>
      <c r="G10" s="407"/>
      <c r="H10" s="407"/>
      <c r="I10" s="407"/>
      <c r="J10" s="407"/>
      <c r="K10" s="407"/>
      <c r="L10" s="407"/>
      <c r="M10" s="407"/>
      <c r="N10" s="407"/>
      <c r="O10" s="407"/>
    </row>
    <row r="11" spans="2:15" s="3" customFormat="1" ht="15" customHeight="1" x14ac:dyDescent="0.2">
      <c r="B11" s="407" t="s">
        <v>523</v>
      </c>
      <c r="C11" s="407"/>
      <c r="D11" s="407"/>
      <c r="E11" s="407"/>
      <c r="F11" s="407"/>
      <c r="G11" s="407"/>
      <c r="H11" s="407"/>
      <c r="I11" s="407"/>
      <c r="J11" s="407"/>
      <c r="K11" s="407"/>
      <c r="L11" s="407"/>
      <c r="M11" s="407"/>
      <c r="N11" s="407"/>
      <c r="O11" s="407"/>
    </row>
    <row r="12" spans="2:15" s="3" customFormat="1" ht="15" customHeight="1" x14ac:dyDescent="0.2"/>
    <row r="13" spans="2:15" ht="15" customHeight="1" x14ac:dyDescent="0.25"/>
    <row r="14" spans="2:15" ht="15" customHeight="1" x14ac:dyDescent="0.25">
      <c r="B14" s="405" t="s">
        <v>127</v>
      </c>
      <c r="C14" s="405"/>
      <c r="D14" s="405"/>
      <c r="E14" s="405"/>
      <c r="F14" s="405"/>
      <c r="G14" s="405"/>
      <c r="H14" s="405"/>
      <c r="I14" s="405"/>
      <c r="J14" s="405"/>
      <c r="K14" s="405"/>
      <c r="L14" s="405"/>
      <c r="M14" s="405"/>
      <c r="N14" s="405"/>
      <c r="O14" s="405"/>
    </row>
    <row r="15" spans="2:15" s="3" customFormat="1" ht="15" customHeight="1" x14ac:dyDescent="0.2">
      <c r="B15" s="136" t="s">
        <v>1</v>
      </c>
      <c r="C15" s="398" t="s">
        <v>2</v>
      </c>
      <c r="D15" s="398"/>
      <c r="E15" s="398"/>
      <c r="F15" s="398"/>
      <c r="G15" s="398"/>
      <c r="H15" s="398"/>
      <c r="I15" s="398"/>
      <c r="J15" s="398"/>
      <c r="K15" s="398"/>
      <c r="L15" s="398"/>
      <c r="M15" s="398"/>
      <c r="N15" s="398"/>
      <c r="O15" s="398"/>
    </row>
    <row r="16" spans="2:15" s="3" customFormat="1" ht="15" customHeight="1" x14ac:dyDescent="0.2">
      <c r="B16" s="137" t="s">
        <v>3</v>
      </c>
      <c r="C16" s="398" t="s">
        <v>134</v>
      </c>
      <c r="D16" s="398"/>
      <c r="E16" s="398"/>
      <c r="F16" s="398"/>
      <c r="G16" s="398"/>
      <c r="H16" s="398"/>
      <c r="I16" s="398"/>
      <c r="J16" s="398"/>
      <c r="K16" s="398"/>
      <c r="L16" s="398"/>
      <c r="M16" s="398"/>
      <c r="N16" s="398"/>
      <c r="O16" s="398"/>
    </row>
    <row r="17" spans="2:15" s="3" customFormat="1" ht="15" customHeight="1" x14ac:dyDescent="0.2">
      <c r="B17" s="9" t="s">
        <v>4</v>
      </c>
      <c r="C17" s="398" t="s">
        <v>135</v>
      </c>
      <c r="D17" s="398"/>
      <c r="E17" s="398"/>
      <c r="F17" s="398"/>
      <c r="G17" s="398"/>
      <c r="H17" s="398"/>
      <c r="I17" s="398"/>
      <c r="J17" s="398"/>
      <c r="K17" s="398"/>
      <c r="L17" s="398"/>
      <c r="M17" s="398"/>
      <c r="N17" s="398"/>
      <c r="O17" s="398"/>
    </row>
    <row r="18" spans="2:15" s="3" customFormat="1" ht="15" customHeight="1" x14ac:dyDescent="0.2">
      <c r="B18" s="138" t="s">
        <v>5</v>
      </c>
      <c r="C18" s="398" t="s">
        <v>126</v>
      </c>
      <c r="D18" s="398"/>
      <c r="E18" s="398"/>
      <c r="F18" s="398"/>
      <c r="G18" s="398"/>
      <c r="H18" s="398"/>
      <c r="I18" s="398"/>
      <c r="J18" s="398"/>
      <c r="K18" s="398"/>
      <c r="L18" s="398"/>
      <c r="M18" s="398"/>
      <c r="N18" s="398"/>
      <c r="O18" s="398"/>
    </row>
    <row r="19" spans="2:15" s="3" customFormat="1" ht="15" customHeight="1" x14ac:dyDescent="0.2">
      <c r="B19" s="139" t="s">
        <v>6</v>
      </c>
      <c r="C19" s="398" t="s">
        <v>516</v>
      </c>
      <c r="D19" s="398"/>
      <c r="E19" s="398"/>
      <c r="F19" s="398"/>
      <c r="G19" s="398"/>
      <c r="H19" s="398"/>
      <c r="I19" s="398"/>
      <c r="J19" s="398"/>
      <c r="K19" s="398"/>
      <c r="L19" s="398"/>
      <c r="M19" s="398"/>
      <c r="N19" s="398"/>
      <c r="O19" s="398"/>
    </row>
    <row r="20" spans="2:15" s="3" customFormat="1" ht="15" customHeight="1" x14ac:dyDescent="0.2">
      <c r="B20" s="140" t="s">
        <v>136</v>
      </c>
      <c r="C20" s="398" t="s">
        <v>228</v>
      </c>
      <c r="D20" s="398"/>
      <c r="E20" s="398"/>
      <c r="F20" s="398"/>
      <c r="G20" s="398"/>
      <c r="H20" s="398"/>
      <c r="I20" s="398"/>
      <c r="J20" s="398"/>
      <c r="K20" s="398"/>
      <c r="L20" s="398"/>
      <c r="M20" s="398"/>
      <c r="N20" s="398"/>
      <c r="O20" s="398"/>
    </row>
    <row r="21" spans="2:15" s="3" customFormat="1" ht="15" customHeight="1" x14ac:dyDescent="0.2"/>
    <row r="22" spans="2:15" ht="15" customHeight="1" x14ac:dyDescent="0.25"/>
    <row r="23" spans="2:15" ht="15" customHeight="1" x14ac:dyDescent="0.25">
      <c r="B23" s="399" t="s">
        <v>7</v>
      </c>
      <c r="C23" s="399"/>
      <c r="D23" s="399"/>
      <c r="E23" s="399"/>
      <c r="F23" s="399"/>
      <c r="G23" s="399"/>
      <c r="H23" s="399"/>
      <c r="I23" s="399"/>
      <c r="J23" s="399"/>
      <c r="K23" s="399"/>
      <c r="L23" s="399"/>
      <c r="M23" s="399"/>
      <c r="N23" s="399"/>
      <c r="O23" s="399"/>
    </row>
    <row r="24" spans="2:15" s="3" customFormat="1" ht="15" customHeight="1" x14ac:dyDescent="0.2">
      <c r="B24" s="398" t="s">
        <v>518</v>
      </c>
      <c r="C24" s="398"/>
      <c r="D24" s="398"/>
      <c r="E24" s="398"/>
      <c r="F24" s="398"/>
      <c r="G24" s="398"/>
      <c r="H24" s="398"/>
      <c r="I24" s="398"/>
      <c r="J24" s="398"/>
      <c r="K24" s="398"/>
      <c r="L24" s="398"/>
      <c r="M24" s="398"/>
      <c r="N24" s="398"/>
      <c r="O24" s="398"/>
    </row>
    <row r="25" spans="2:15" s="3" customFormat="1" ht="15" customHeight="1" x14ac:dyDescent="0.2">
      <c r="B25" s="398" t="s">
        <v>172</v>
      </c>
      <c r="C25" s="398"/>
      <c r="D25" s="398"/>
      <c r="E25" s="398"/>
      <c r="F25" s="398"/>
      <c r="G25" s="398"/>
      <c r="H25" s="398"/>
      <c r="I25" s="398"/>
      <c r="J25" s="398"/>
      <c r="K25" s="398"/>
      <c r="L25" s="398"/>
      <c r="M25" s="398"/>
      <c r="N25" s="398"/>
      <c r="O25" s="398"/>
    </row>
    <row r="26" spans="2:15" s="3" customFormat="1" ht="15" customHeight="1" x14ac:dyDescent="0.2">
      <c r="B26" s="5" t="s">
        <v>8</v>
      </c>
      <c r="C26" s="398" t="s">
        <v>9</v>
      </c>
      <c r="D26" s="398"/>
      <c r="E26" s="5" t="s">
        <v>10</v>
      </c>
      <c r="F26" s="400" t="s">
        <v>11</v>
      </c>
      <c r="G26" s="400"/>
      <c r="H26" s="400"/>
      <c r="I26" s="400"/>
      <c r="J26" s="5"/>
      <c r="K26" s="401"/>
      <c r="L26" s="402"/>
      <c r="M26" s="402"/>
      <c r="N26" s="402"/>
      <c r="O26" s="402"/>
    </row>
    <row r="27" spans="2:15" s="3" customFormat="1" ht="15" customHeight="1" x14ac:dyDescent="0.2">
      <c r="B27" s="134"/>
      <c r="C27" s="398" t="s">
        <v>12</v>
      </c>
      <c r="D27" s="398"/>
      <c r="E27" s="403"/>
      <c r="F27" s="398"/>
      <c r="G27" s="398"/>
      <c r="H27" s="398"/>
      <c r="I27" s="398"/>
      <c r="J27" s="398"/>
      <c r="K27" s="398"/>
      <c r="L27" s="398"/>
      <c r="M27" s="398"/>
      <c r="N27" s="398"/>
      <c r="O27" s="398"/>
    </row>
    <row r="28" spans="2:15" s="3" customFormat="1" ht="15" customHeight="1" x14ac:dyDescent="0.2">
      <c r="B28" s="134"/>
      <c r="C28" s="134"/>
      <c r="D28" s="134"/>
      <c r="E28" s="134"/>
      <c r="F28" s="134"/>
      <c r="G28" s="134"/>
      <c r="H28" s="134"/>
      <c r="I28" s="134"/>
      <c r="J28" s="134"/>
      <c r="K28" s="134"/>
      <c r="L28" s="134"/>
      <c r="M28" s="134"/>
      <c r="N28" s="134"/>
      <c r="O28" s="134"/>
    </row>
    <row r="29" spans="2:15" s="3" customFormat="1" ht="15" customHeight="1" x14ac:dyDescent="0.2">
      <c r="B29" s="134" t="s">
        <v>155</v>
      </c>
      <c r="C29" s="134"/>
      <c r="D29" s="134"/>
      <c r="E29" s="404" t="s">
        <v>173</v>
      </c>
      <c r="F29" s="404"/>
      <c r="G29" s="404"/>
      <c r="H29" s="404"/>
      <c r="I29" s="404"/>
      <c r="J29" s="404"/>
      <c r="K29" s="404"/>
      <c r="L29" s="404"/>
      <c r="M29" s="404"/>
      <c r="N29" s="404"/>
      <c r="O29" s="134"/>
    </row>
    <row r="30" spans="2:15" s="3" customFormat="1" ht="15" customHeight="1" x14ac:dyDescent="0.2">
      <c r="B30" s="134"/>
      <c r="C30" s="134"/>
      <c r="D30" s="134"/>
      <c r="E30" s="134"/>
      <c r="F30" s="134"/>
      <c r="G30" s="134"/>
      <c r="H30" s="134"/>
      <c r="I30" s="134"/>
      <c r="J30" s="134"/>
      <c r="K30" s="134"/>
      <c r="L30" s="134"/>
      <c r="M30" s="134"/>
      <c r="N30" s="134"/>
      <c r="O30" s="134"/>
    </row>
    <row r="31" spans="2:15" s="3" customFormat="1" ht="15" customHeight="1" x14ac:dyDescent="0.2">
      <c r="B31" s="398" t="s">
        <v>451</v>
      </c>
      <c r="C31" s="398"/>
      <c r="D31" s="398"/>
      <c r="E31" s="398"/>
      <c r="F31" s="305" t="s">
        <v>536</v>
      </c>
      <c r="G31" s="236"/>
      <c r="H31" s="236"/>
      <c r="I31" s="236"/>
      <c r="J31" s="349"/>
      <c r="K31" s="381"/>
      <c r="L31" s="381"/>
      <c r="M31" s="381"/>
      <c r="N31" s="381"/>
      <c r="O31" s="381"/>
    </row>
    <row r="32" spans="2:15" s="3" customFormat="1" ht="15" customHeight="1" x14ac:dyDescent="0.2"/>
    <row r="33" ht="15" customHeight="1" x14ac:dyDescent="0.25"/>
    <row r="34" ht="15" customHeight="1" x14ac:dyDescent="0.25"/>
  </sheetData>
  <mergeCells count="25">
    <mergeCell ref="B5:O5"/>
    <mergeCell ref="B14:O14"/>
    <mergeCell ref="B1:F4"/>
    <mergeCell ref="B7:O7"/>
    <mergeCell ref="B10:O10"/>
    <mergeCell ref="B11:O11"/>
    <mergeCell ref="B9:O9"/>
    <mergeCell ref="G1:O2"/>
    <mergeCell ref="B6:O6"/>
    <mergeCell ref="B31:E31"/>
    <mergeCell ref="C20:O20"/>
    <mergeCell ref="B23:O23"/>
    <mergeCell ref="C15:O15"/>
    <mergeCell ref="C16:O16"/>
    <mergeCell ref="C17:O17"/>
    <mergeCell ref="C18:O18"/>
    <mergeCell ref="B24:O24"/>
    <mergeCell ref="B25:O25"/>
    <mergeCell ref="C26:D26"/>
    <mergeCell ref="F26:I26"/>
    <mergeCell ref="K26:O26"/>
    <mergeCell ref="C27:D27"/>
    <mergeCell ref="E27:O27"/>
    <mergeCell ref="E29:N29"/>
    <mergeCell ref="C19:O19"/>
  </mergeCells>
  <conditionalFormatting sqref="F31">
    <cfRule type="expression" dxfId="42" priority="1">
      <formula>AND(OR(#REF!="Choose Y/N",#REF!="No"),OR(#REF!="Choose Y/N",#REF!="No"))</formula>
    </cfRule>
  </conditionalFormatting>
  <hyperlinks>
    <hyperlink ref="F26" r:id="rId1" xr:uid="{00000000-0004-0000-0000-000000000000}"/>
    <hyperlink ref="E29" r:id="rId2" xr:uid="{00000000-0004-0000-0000-000001000000}"/>
  </hyperlinks>
  <pageMargins left="0.25" right="0.25" top="0.5" bottom="0.5" header="0.3" footer="0.3"/>
  <pageSetup fitToHeight="0" orientation="landscape"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EAF8D8"/>
    <pageSetUpPr autoPageBreaks="0" fitToPage="1"/>
  </sheetPr>
  <dimension ref="B1:J47"/>
  <sheetViews>
    <sheetView showGridLines="0" zoomScaleNormal="100" zoomScaleSheetLayoutView="100" zoomScalePageLayoutView="85" workbookViewId="0">
      <selection activeCell="B2" sqref="B2:I2"/>
    </sheetView>
  </sheetViews>
  <sheetFormatPr defaultRowHeight="15" x14ac:dyDescent="0.25"/>
  <cols>
    <col min="1" max="1" width="5.140625" customWidth="1"/>
    <col min="2" max="2" width="21.7109375" customWidth="1"/>
    <col min="3" max="7" width="15.7109375" customWidth="1"/>
    <col min="8" max="8" width="16.140625" customWidth="1"/>
    <col min="9" max="9" width="17.140625" customWidth="1"/>
  </cols>
  <sheetData>
    <row r="1" spans="2:10" x14ac:dyDescent="0.25">
      <c r="B1" s="439" t="str">
        <f>Instructions!O3</f>
        <v>p-sbap5-25  •  12/13/23</v>
      </c>
      <c r="C1" s="439"/>
      <c r="D1" s="439"/>
      <c r="E1" s="439"/>
      <c r="F1" s="439"/>
      <c r="G1" s="439"/>
      <c r="H1" s="439"/>
      <c r="I1" s="439"/>
    </row>
    <row r="2" spans="2:10" ht="19.5" thickBot="1" x14ac:dyDescent="0.3">
      <c r="B2" s="488" t="s">
        <v>138</v>
      </c>
      <c r="C2" s="488"/>
      <c r="D2" s="488"/>
      <c r="E2" s="488"/>
      <c r="F2" s="488"/>
      <c r="G2" s="488"/>
      <c r="H2" s="488"/>
      <c r="I2" s="488"/>
    </row>
    <row r="3" spans="2:10" s="6" customFormat="1" thickBot="1" x14ac:dyDescent="0.25">
      <c r="B3" s="491" t="str">
        <f>IF('Data validation'!B28="yes","The flag next to a potential emission total means your potential emissions exceed the permitting threshold and a permit is required.","These pollutant totals represent the information you entered on the blue tabs.")</f>
        <v>These pollutant totals represent the information you entered on the blue tabs.</v>
      </c>
      <c r="C3" s="491"/>
      <c r="D3" s="491"/>
      <c r="E3" s="491"/>
      <c r="F3" s="491"/>
      <c r="G3" s="491"/>
      <c r="H3" s="491"/>
      <c r="I3" s="491"/>
    </row>
    <row r="4" spans="2:10" s="6" customFormat="1" ht="24" x14ac:dyDescent="0.2">
      <c r="B4" s="489" t="s">
        <v>21</v>
      </c>
      <c r="C4" s="77" t="str">
        <f>'Engine 1'!$C$5</f>
        <v>Engine 1</v>
      </c>
      <c r="D4" s="77" t="str">
        <f>'Engine 2'!$C$5</f>
        <v>Engine 2</v>
      </c>
      <c r="E4" s="77" t="str">
        <f>'Engine 3'!$C$5</f>
        <v>Engine 3</v>
      </c>
      <c r="F4" s="77" t="str">
        <f>'Engine 4'!$C$5</f>
        <v>Engine 4</v>
      </c>
      <c r="G4" s="77" t="str">
        <f>'Engine 5'!$C$5</f>
        <v>Engine 5</v>
      </c>
      <c r="H4" s="78" t="s">
        <v>23</v>
      </c>
      <c r="I4" s="79" t="s">
        <v>46</v>
      </c>
    </row>
    <row r="5" spans="2:10" s="7" customFormat="1" ht="12.75" thickBot="1" x14ac:dyDescent="0.25">
      <c r="B5" s="490"/>
      <c r="C5" s="80" t="s">
        <v>26</v>
      </c>
      <c r="D5" s="80" t="s">
        <v>26</v>
      </c>
      <c r="E5" s="80" t="s">
        <v>26</v>
      </c>
      <c r="F5" s="80" t="s">
        <v>26</v>
      </c>
      <c r="G5" s="80" t="s">
        <v>26</v>
      </c>
      <c r="H5" s="80" t="s">
        <v>26</v>
      </c>
      <c r="I5" s="81" t="s">
        <v>26</v>
      </c>
    </row>
    <row r="6" spans="2:10" s="6" customFormat="1" x14ac:dyDescent="0.2">
      <c r="B6" s="82" t="s">
        <v>44</v>
      </c>
      <c r="C6" s="83"/>
      <c r="D6" s="83"/>
      <c r="E6" s="83"/>
      <c r="F6" s="83"/>
      <c r="G6" s="83"/>
      <c r="H6" s="31"/>
      <c r="I6" s="84"/>
    </row>
    <row r="7" spans="2:10" s="6" customFormat="1" ht="14.25" x14ac:dyDescent="0.2">
      <c r="B7" s="71" t="s">
        <v>28</v>
      </c>
      <c r="C7" s="85">
        <f>'Engine 1'!$H34</f>
        <v>0</v>
      </c>
      <c r="D7" s="85">
        <f>'Engine 2'!$H34</f>
        <v>0</v>
      </c>
      <c r="E7" s="85">
        <f>'Engine 3'!$H34</f>
        <v>0</v>
      </c>
      <c r="F7" s="85">
        <f>'Engine 4'!$H34</f>
        <v>0</v>
      </c>
      <c r="G7" s="85">
        <f>'Engine 5'!$H34</f>
        <v>0</v>
      </c>
      <c r="H7" s="86">
        <f>SUM(C7:G7)</f>
        <v>0</v>
      </c>
      <c r="I7" s="87">
        <v>100</v>
      </c>
      <c r="J7" s="360">
        <f>IF(H7&gt;=I7,1,0)</f>
        <v>0</v>
      </c>
    </row>
    <row r="8" spans="2:10" s="6" customFormat="1" ht="14.25" x14ac:dyDescent="0.2">
      <c r="B8" s="71" t="s">
        <v>29</v>
      </c>
      <c r="C8" s="85">
        <f>'Engine 1'!$H35</f>
        <v>0</v>
      </c>
      <c r="D8" s="85">
        <f>'Engine 2'!$H35</f>
        <v>0</v>
      </c>
      <c r="E8" s="85">
        <f>'Engine 3'!$H35</f>
        <v>0</v>
      </c>
      <c r="F8" s="85">
        <f>'Engine 4'!$H35</f>
        <v>0</v>
      </c>
      <c r="G8" s="85">
        <f>'Engine 5'!$H35</f>
        <v>0</v>
      </c>
      <c r="H8" s="88">
        <f t="shared" ref="H8:H18" si="0">SUM(C8:G8)</f>
        <v>0</v>
      </c>
      <c r="I8" s="89">
        <v>25</v>
      </c>
      <c r="J8" s="360">
        <f t="shared" ref="J8:J19" si="1">IF(H8&gt;=I8,1,0)</f>
        <v>0</v>
      </c>
    </row>
    <row r="9" spans="2:10" s="6" customFormat="1" ht="14.25" x14ac:dyDescent="0.2">
      <c r="B9" s="71" t="s">
        <v>72</v>
      </c>
      <c r="C9" s="85">
        <f>'Engine 1'!$H36</f>
        <v>0</v>
      </c>
      <c r="D9" s="85">
        <f>'Engine 2'!$H36</f>
        <v>0</v>
      </c>
      <c r="E9" s="85">
        <f>'Engine 3'!$H36</f>
        <v>0</v>
      </c>
      <c r="F9" s="85">
        <f>'Engine 4'!$H36</f>
        <v>0</v>
      </c>
      <c r="G9" s="85">
        <f>'Engine 5'!$H36</f>
        <v>0</v>
      </c>
      <c r="H9" s="88">
        <f t="shared" si="0"/>
        <v>0</v>
      </c>
      <c r="I9" s="87">
        <v>100</v>
      </c>
      <c r="J9" s="360"/>
    </row>
    <row r="10" spans="2:10" s="6" customFormat="1" ht="14.25" x14ac:dyDescent="0.2">
      <c r="B10" s="71" t="s">
        <v>30</v>
      </c>
      <c r="C10" s="85">
        <f>'Engine 1'!$H37</f>
        <v>0</v>
      </c>
      <c r="D10" s="85">
        <f>'Engine 2'!$H37</f>
        <v>0</v>
      </c>
      <c r="E10" s="85">
        <f>'Engine 3'!$H37</f>
        <v>0</v>
      </c>
      <c r="F10" s="85">
        <f>'Engine 4'!$H37</f>
        <v>0</v>
      </c>
      <c r="G10" s="85">
        <f>'Engine 5'!$H37</f>
        <v>0</v>
      </c>
      <c r="H10" s="88">
        <f t="shared" si="0"/>
        <v>0</v>
      </c>
      <c r="I10" s="89">
        <v>50</v>
      </c>
      <c r="J10" s="360">
        <f t="shared" si="1"/>
        <v>0</v>
      </c>
    </row>
    <row r="11" spans="2:10" s="6" customFormat="1" ht="14.25" x14ac:dyDescent="0.2">
      <c r="B11" s="71" t="s">
        <v>31</v>
      </c>
      <c r="C11" s="85">
        <f>'Engine 1'!$H38</f>
        <v>0</v>
      </c>
      <c r="D11" s="85">
        <f>'Engine 2'!$H38</f>
        <v>0</v>
      </c>
      <c r="E11" s="85">
        <f>'Engine 3'!$H38</f>
        <v>0</v>
      </c>
      <c r="F11" s="85">
        <f>'Engine 4'!$H38</f>
        <v>0</v>
      </c>
      <c r="G11" s="85">
        <f>'Engine 5'!$H38</f>
        <v>0</v>
      </c>
      <c r="H11" s="88">
        <f t="shared" si="0"/>
        <v>0</v>
      </c>
      <c r="I11" s="89">
        <v>100</v>
      </c>
      <c r="J11" s="360">
        <f t="shared" si="1"/>
        <v>0</v>
      </c>
    </row>
    <row r="12" spans="2:10" s="6" customFormat="1" ht="14.25" x14ac:dyDescent="0.2">
      <c r="B12" s="71" t="s">
        <v>32</v>
      </c>
      <c r="C12" s="85">
        <f>'Engine 1'!$H39</f>
        <v>0</v>
      </c>
      <c r="D12" s="85">
        <f>'Engine 2'!$H39</f>
        <v>0</v>
      </c>
      <c r="E12" s="85">
        <f>'Engine 3'!$H39</f>
        <v>0</v>
      </c>
      <c r="F12" s="85">
        <f>'Engine 4'!$H39</f>
        <v>0</v>
      </c>
      <c r="G12" s="85">
        <f>'Engine 5'!$H39</f>
        <v>0</v>
      </c>
      <c r="H12" s="88">
        <f t="shared" si="0"/>
        <v>0</v>
      </c>
      <c r="I12" s="89">
        <v>100</v>
      </c>
      <c r="J12" s="360">
        <f t="shared" si="1"/>
        <v>0</v>
      </c>
    </row>
    <row r="13" spans="2:10" s="6" customFormat="1" ht="14.25" x14ac:dyDescent="0.2">
      <c r="B13" s="71" t="s">
        <v>33</v>
      </c>
      <c r="C13" s="85">
        <f>'Engine 1'!$H40</f>
        <v>0</v>
      </c>
      <c r="D13" s="85">
        <f>'Engine 2'!$H40</f>
        <v>0</v>
      </c>
      <c r="E13" s="85">
        <f>'Engine 3'!$H40</f>
        <v>0</v>
      </c>
      <c r="F13" s="85">
        <f>'Engine 4'!$H40</f>
        <v>0</v>
      </c>
      <c r="G13" s="85">
        <f>'Engine 5'!$H40</f>
        <v>0</v>
      </c>
      <c r="H13" s="88">
        <f t="shared" si="0"/>
        <v>0</v>
      </c>
      <c r="I13" s="89">
        <v>100</v>
      </c>
      <c r="J13" s="360">
        <f t="shared" si="1"/>
        <v>0</v>
      </c>
    </row>
    <row r="14" spans="2:10" s="6" customFormat="1" thickBot="1" x14ac:dyDescent="0.25">
      <c r="B14" s="90" t="s">
        <v>34</v>
      </c>
      <c r="C14" s="85">
        <f>'Engine 1'!$H41</f>
        <v>0</v>
      </c>
      <c r="D14" s="85">
        <f>'Engine 2'!$H41</f>
        <v>0</v>
      </c>
      <c r="E14" s="85">
        <f>'Engine 3'!$H41</f>
        <v>0</v>
      </c>
      <c r="F14" s="85">
        <f>'Engine 4'!$H41</f>
        <v>0</v>
      </c>
      <c r="G14" s="85">
        <f>'Engine 5'!$H41</f>
        <v>0</v>
      </c>
      <c r="H14" s="88">
        <f t="shared" si="0"/>
        <v>0</v>
      </c>
      <c r="I14" s="91">
        <v>0.5</v>
      </c>
      <c r="J14" s="360">
        <f t="shared" si="1"/>
        <v>0</v>
      </c>
    </row>
    <row r="15" spans="2:10" s="6" customFormat="1" x14ac:dyDescent="0.2">
      <c r="B15" s="82" t="s">
        <v>159</v>
      </c>
      <c r="C15" s="92"/>
      <c r="D15" s="93"/>
      <c r="E15" s="93"/>
      <c r="F15" s="93"/>
      <c r="G15" s="93"/>
      <c r="H15" s="94"/>
      <c r="I15" s="95"/>
      <c r="J15" s="360"/>
    </row>
    <row r="16" spans="2:10" s="6" customFormat="1" x14ac:dyDescent="0.25">
      <c r="B16" s="96" t="s">
        <v>160</v>
      </c>
      <c r="C16" s="85">
        <f>'Engine 1'!$H43</f>
        <v>0</v>
      </c>
      <c r="D16" s="85">
        <f>'Engine 2'!$H43</f>
        <v>0</v>
      </c>
      <c r="E16" s="85">
        <f>'Engine 3'!$H43</f>
        <v>0</v>
      </c>
      <c r="F16" s="85">
        <f>'Engine 4'!$H43</f>
        <v>0</v>
      </c>
      <c r="G16" s="85">
        <f>'Engine 5'!$H43</f>
        <v>0</v>
      </c>
      <c r="H16" s="86">
        <f t="shared" si="0"/>
        <v>0</v>
      </c>
      <c r="I16" s="97"/>
      <c r="J16" s="360"/>
    </row>
    <row r="17" spans="2:10" s="6" customFormat="1" x14ac:dyDescent="0.25">
      <c r="B17" s="96" t="s">
        <v>161</v>
      </c>
      <c r="C17" s="85">
        <f>'Engine 1'!$H44</f>
        <v>0</v>
      </c>
      <c r="D17" s="85">
        <f>'Engine 2'!$H44</f>
        <v>0</v>
      </c>
      <c r="E17" s="85">
        <f>'Engine 3'!$H44</f>
        <v>0</v>
      </c>
      <c r="F17" s="85">
        <f>'Engine 4'!$H44</f>
        <v>0</v>
      </c>
      <c r="G17" s="85">
        <f>'Engine 5'!$H44</f>
        <v>0</v>
      </c>
      <c r="H17" s="98">
        <f t="shared" si="0"/>
        <v>0</v>
      </c>
      <c r="I17" s="99"/>
      <c r="J17" s="360"/>
    </row>
    <row r="18" spans="2:10" s="6" customFormat="1" x14ac:dyDescent="0.25">
      <c r="B18" s="96" t="s">
        <v>162</v>
      </c>
      <c r="C18" s="85">
        <f>'Engine 1'!$H45</f>
        <v>0</v>
      </c>
      <c r="D18" s="85">
        <f>'Engine 2'!$H45</f>
        <v>0</v>
      </c>
      <c r="E18" s="85">
        <f>'Engine 3'!$H45</f>
        <v>0</v>
      </c>
      <c r="F18" s="85">
        <f>'Engine 4'!$H45</f>
        <v>0</v>
      </c>
      <c r="G18" s="85">
        <f>'Engine 5'!$H45</f>
        <v>0</v>
      </c>
      <c r="H18" s="98">
        <f t="shared" si="0"/>
        <v>0</v>
      </c>
      <c r="I18" s="100"/>
      <c r="J18" s="360"/>
    </row>
    <row r="19" spans="2:10" s="6" customFormat="1" ht="15.75" thickBot="1" x14ac:dyDescent="0.3">
      <c r="B19" s="101" t="s">
        <v>163</v>
      </c>
      <c r="C19" s="102"/>
      <c r="D19" s="102"/>
      <c r="E19" s="102"/>
      <c r="F19" s="102"/>
      <c r="G19" s="102"/>
      <c r="H19" s="88">
        <f>(H16*1)+(H17*25)+(H18*298)</f>
        <v>0</v>
      </c>
      <c r="I19" s="103">
        <v>100000</v>
      </c>
      <c r="J19" s="360">
        <f t="shared" si="1"/>
        <v>0</v>
      </c>
    </row>
    <row r="20" spans="2:10" s="6" customFormat="1" x14ac:dyDescent="0.2">
      <c r="B20" s="82" t="s">
        <v>42</v>
      </c>
      <c r="C20" s="92"/>
      <c r="D20" s="93"/>
      <c r="E20" s="104"/>
      <c r="F20" s="104"/>
      <c r="G20" s="104"/>
      <c r="H20" s="94"/>
      <c r="I20" s="95"/>
      <c r="J20" s="360"/>
    </row>
    <row r="21" spans="2:10" s="6" customFormat="1" ht="14.25" x14ac:dyDescent="0.2">
      <c r="B21" s="66" t="s">
        <v>98</v>
      </c>
      <c r="C21" s="146">
        <f>'Engine 1'!$H48</f>
        <v>0</v>
      </c>
      <c r="D21" s="217">
        <f>'Engine 2'!$H48</f>
        <v>0</v>
      </c>
      <c r="E21" s="217">
        <f>'Engine 3'!$H48</f>
        <v>0</v>
      </c>
      <c r="F21" s="217">
        <f>'Engine 4'!$H48</f>
        <v>0</v>
      </c>
      <c r="G21" s="218">
        <f>'Engine 5'!$H48</f>
        <v>0</v>
      </c>
      <c r="H21" s="105">
        <f>SUM(C21:G21)</f>
        <v>0</v>
      </c>
      <c r="I21" s="106"/>
      <c r="J21" s="360"/>
    </row>
    <row r="22" spans="2:10" s="6" customFormat="1" ht="14.25" x14ac:dyDescent="0.2">
      <c r="B22" s="70" t="s">
        <v>99</v>
      </c>
      <c r="C22" s="147">
        <f>'Engine 1'!$H49</f>
        <v>0</v>
      </c>
      <c r="D22" s="354">
        <f>'Engine 2'!$H49</f>
        <v>0</v>
      </c>
      <c r="E22" s="354">
        <f>'Engine 3'!$H49</f>
        <v>0</v>
      </c>
      <c r="F22" s="354">
        <f>'Engine 4'!$H49</f>
        <v>0</v>
      </c>
      <c r="G22" s="219">
        <f>'Engine 5'!$H49</f>
        <v>0</v>
      </c>
      <c r="H22" s="105">
        <f t="shared" ref="H22:H45" si="2">SUM(C22:G22)</f>
        <v>0</v>
      </c>
      <c r="I22" s="107"/>
      <c r="J22" s="360"/>
    </row>
    <row r="23" spans="2:10" s="6" customFormat="1" ht="14.25" x14ac:dyDescent="0.2">
      <c r="B23" s="70" t="s">
        <v>97</v>
      </c>
      <c r="C23" s="147">
        <f>'Engine 1'!$H50</f>
        <v>0</v>
      </c>
      <c r="D23" s="354">
        <f>'Engine 2'!$H50</f>
        <v>0</v>
      </c>
      <c r="E23" s="354">
        <f>'Engine 3'!$H50</f>
        <v>0</v>
      </c>
      <c r="F23" s="354">
        <f>'Engine 4'!$H50</f>
        <v>0</v>
      </c>
      <c r="G23" s="219">
        <f>'Engine 5'!$H50</f>
        <v>0</v>
      </c>
      <c r="H23" s="105">
        <f t="shared" si="2"/>
        <v>0</v>
      </c>
      <c r="I23" s="107"/>
      <c r="J23" s="360"/>
    </row>
    <row r="24" spans="2:10" s="6" customFormat="1" ht="14.25" x14ac:dyDescent="0.2">
      <c r="B24" s="70" t="s">
        <v>100</v>
      </c>
      <c r="C24" s="147">
        <f>'Engine 1'!$H51</f>
        <v>0</v>
      </c>
      <c r="D24" s="354">
        <f>'Engine 2'!$H51</f>
        <v>0</v>
      </c>
      <c r="E24" s="354">
        <f>'Engine 3'!$H51</f>
        <v>0</v>
      </c>
      <c r="F24" s="354">
        <f>'Engine 4'!$H51</f>
        <v>0</v>
      </c>
      <c r="G24" s="219">
        <f>'Engine 5'!$H51</f>
        <v>0</v>
      </c>
      <c r="H24" s="105">
        <f t="shared" si="2"/>
        <v>0</v>
      </c>
      <c r="I24" s="107"/>
      <c r="J24" s="360"/>
    </row>
    <row r="25" spans="2:10" s="6" customFormat="1" ht="14.25" x14ac:dyDescent="0.2">
      <c r="B25" s="108" t="s">
        <v>85</v>
      </c>
      <c r="C25" s="147">
        <f>'Engine 1'!$H52</f>
        <v>0</v>
      </c>
      <c r="D25" s="354">
        <f>'Engine 2'!$H52</f>
        <v>0</v>
      </c>
      <c r="E25" s="354">
        <f>'Engine 3'!$H52</f>
        <v>0</v>
      </c>
      <c r="F25" s="354">
        <f>'Engine 4'!$H52</f>
        <v>0</v>
      </c>
      <c r="G25" s="219">
        <f>'Engine 5'!$H52</f>
        <v>0</v>
      </c>
      <c r="H25" s="105">
        <f t="shared" si="2"/>
        <v>0</v>
      </c>
      <c r="I25" s="107"/>
      <c r="J25" s="360"/>
    </row>
    <row r="26" spans="2:10" s="6" customFormat="1" ht="14.25" x14ac:dyDescent="0.2">
      <c r="B26" s="71" t="s">
        <v>87</v>
      </c>
      <c r="C26" s="150">
        <f>'Engine 1'!$H53</f>
        <v>0</v>
      </c>
      <c r="D26" s="222">
        <f>'Engine 2'!$H53</f>
        <v>0</v>
      </c>
      <c r="E26" s="222">
        <f>'Engine 3'!$H53</f>
        <v>0</v>
      </c>
      <c r="F26" s="222">
        <f>'Engine 4'!$H53</f>
        <v>0</v>
      </c>
      <c r="G26" s="223">
        <f>'Engine 5'!$H53</f>
        <v>0</v>
      </c>
      <c r="H26" s="105">
        <f t="shared" si="2"/>
        <v>0</v>
      </c>
      <c r="I26" s="107"/>
      <c r="J26" s="360"/>
    </row>
    <row r="27" spans="2:10" s="6" customFormat="1" ht="14.25" x14ac:dyDescent="0.2">
      <c r="B27" s="71" t="s">
        <v>35</v>
      </c>
      <c r="C27" s="147">
        <f>'Engine 1'!$H54</f>
        <v>0</v>
      </c>
      <c r="D27" s="354">
        <f>'Engine 2'!$H54</f>
        <v>0</v>
      </c>
      <c r="E27" s="354">
        <f>'Engine 3'!$H54</f>
        <v>0</v>
      </c>
      <c r="F27" s="354">
        <f>'Engine 4'!$H54</f>
        <v>0</v>
      </c>
      <c r="G27" s="219">
        <f>'Engine 5'!$H54</f>
        <v>0</v>
      </c>
      <c r="H27" s="105">
        <f t="shared" si="2"/>
        <v>0</v>
      </c>
      <c r="I27" s="107"/>
      <c r="J27" s="360"/>
    </row>
    <row r="28" spans="2:10" s="6" customFormat="1" ht="14.25" x14ac:dyDescent="0.2">
      <c r="B28" s="70" t="s">
        <v>102</v>
      </c>
      <c r="C28" s="147">
        <f>'Engine 1'!$H55</f>
        <v>0</v>
      </c>
      <c r="D28" s="354">
        <f>'Engine 2'!$H55</f>
        <v>0</v>
      </c>
      <c r="E28" s="354">
        <f>'Engine 3'!$H55</f>
        <v>0</v>
      </c>
      <c r="F28" s="354">
        <f>'Engine 4'!$H55</f>
        <v>0</v>
      </c>
      <c r="G28" s="219">
        <f>'Engine 5'!$H55</f>
        <v>0</v>
      </c>
      <c r="H28" s="105">
        <f t="shared" si="2"/>
        <v>0</v>
      </c>
      <c r="I28" s="107"/>
      <c r="J28" s="360"/>
    </row>
    <row r="29" spans="2:10" s="6" customFormat="1" ht="14.25" x14ac:dyDescent="0.2">
      <c r="B29" s="70" t="s">
        <v>112</v>
      </c>
      <c r="C29" s="147">
        <f>'Engine 1'!$H56</f>
        <v>0</v>
      </c>
      <c r="D29" s="354">
        <f>'Engine 2'!$H56</f>
        <v>0</v>
      </c>
      <c r="E29" s="354">
        <f>'Engine 3'!$H56</f>
        <v>0</v>
      </c>
      <c r="F29" s="354">
        <f>'Engine 4'!$H56</f>
        <v>0</v>
      </c>
      <c r="G29" s="219">
        <f>'Engine 5'!$H56</f>
        <v>0</v>
      </c>
      <c r="H29" s="105">
        <f t="shared" si="2"/>
        <v>0</v>
      </c>
      <c r="I29" s="107"/>
      <c r="J29" s="360"/>
    </row>
    <row r="30" spans="2:10" s="6" customFormat="1" ht="14.25" x14ac:dyDescent="0.2">
      <c r="B30" s="108" t="s">
        <v>104</v>
      </c>
      <c r="C30" s="148">
        <f>'Engine 1'!$H57</f>
        <v>0</v>
      </c>
      <c r="D30" s="224">
        <f>'Engine 2'!$H57</f>
        <v>0</v>
      </c>
      <c r="E30" s="224">
        <f>'Engine 3'!$H57</f>
        <v>0</v>
      </c>
      <c r="F30" s="224">
        <f>'Engine 4'!$H57</f>
        <v>0</v>
      </c>
      <c r="G30" s="225">
        <f>'Engine 5'!$H57</f>
        <v>0</v>
      </c>
      <c r="H30" s="105">
        <f t="shared" si="2"/>
        <v>0</v>
      </c>
      <c r="I30" s="107"/>
      <c r="J30" s="360"/>
    </row>
    <row r="31" spans="2:10" s="6" customFormat="1" ht="14.25" x14ac:dyDescent="0.2">
      <c r="B31" s="71" t="s">
        <v>105</v>
      </c>
      <c r="C31" s="150">
        <f>'Engine 1'!$H58</f>
        <v>0</v>
      </c>
      <c r="D31" s="222">
        <f>'Engine 2'!$H58</f>
        <v>0</v>
      </c>
      <c r="E31" s="222">
        <f>'Engine 3'!$H58</f>
        <v>0</v>
      </c>
      <c r="F31" s="222">
        <f>'Engine 4'!$H58</f>
        <v>0</v>
      </c>
      <c r="G31" s="223">
        <f>'Engine 5'!$H58</f>
        <v>0</v>
      </c>
      <c r="H31" s="105">
        <f t="shared" si="2"/>
        <v>0</v>
      </c>
      <c r="I31" s="107"/>
      <c r="J31" s="360"/>
    </row>
    <row r="32" spans="2:10" s="6" customFormat="1" ht="14.25" x14ac:dyDescent="0.2">
      <c r="B32" s="71" t="s">
        <v>83</v>
      </c>
      <c r="C32" s="147">
        <f>'Engine 1'!$H59</f>
        <v>0</v>
      </c>
      <c r="D32" s="354">
        <f>'Engine 2'!$H59</f>
        <v>0</v>
      </c>
      <c r="E32" s="354">
        <f>'Engine 3'!$H59</f>
        <v>0</v>
      </c>
      <c r="F32" s="354">
        <f>'Engine 4'!$H59</f>
        <v>0</v>
      </c>
      <c r="G32" s="219">
        <f>'Engine 5'!$H59</f>
        <v>0</v>
      </c>
      <c r="H32" s="105">
        <f t="shared" si="2"/>
        <v>0</v>
      </c>
      <c r="I32" s="107"/>
      <c r="J32" s="360"/>
    </row>
    <row r="33" spans="2:10" s="6" customFormat="1" ht="14.25" x14ac:dyDescent="0.2">
      <c r="B33" s="70" t="s">
        <v>106</v>
      </c>
      <c r="C33" s="147">
        <f>'Engine 1'!$H60</f>
        <v>0</v>
      </c>
      <c r="D33" s="354">
        <f>'Engine 2'!$H60</f>
        <v>0</v>
      </c>
      <c r="E33" s="354">
        <f>'Engine 3'!$H60</f>
        <v>0</v>
      </c>
      <c r="F33" s="354">
        <f>'Engine 4'!$H60</f>
        <v>0</v>
      </c>
      <c r="G33" s="219">
        <f>'Engine 5'!$H60</f>
        <v>0</v>
      </c>
      <c r="H33" s="105">
        <f t="shared" si="2"/>
        <v>0</v>
      </c>
      <c r="I33" s="107"/>
      <c r="J33" s="360"/>
    </row>
    <row r="34" spans="2:10" s="6" customFormat="1" ht="14.25" x14ac:dyDescent="0.2">
      <c r="B34" s="70" t="s">
        <v>36</v>
      </c>
      <c r="C34" s="147">
        <f>'Engine 1'!$H61</f>
        <v>0</v>
      </c>
      <c r="D34" s="354">
        <f>'Engine 2'!$H61</f>
        <v>0</v>
      </c>
      <c r="E34" s="354">
        <f>'Engine 3'!$H61</f>
        <v>0</v>
      </c>
      <c r="F34" s="354">
        <f>'Engine 4'!$H61</f>
        <v>0</v>
      </c>
      <c r="G34" s="219">
        <f>'Engine 5'!$H61</f>
        <v>0</v>
      </c>
      <c r="H34" s="105">
        <f t="shared" si="2"/>
        <v>0</v>
      </c>
      <c r="I34" s="107"/>
      <c r="J34" s="360"/>
    </row>
    <row r="35" spans="2:10" s="6" customFormat="1" ht="14.25" x14ac:dyDescent="0.2">
      <c r="B35" s="108" t="s">
        <v>37</v>
      </c>
      <c r="C35" s="148">
        <f>'Engine 1'!$H62</f>
        <v>0</v>
      </c>
      <c r="D35" s="224">
        <f>'Engine 2'!$H62</f>
        <v>0</v>
      </c>
      <c r="E35" s="224">
        <f>'Engine 3'!$H62</f>
        <v>0</v>
      </c>
      <c r="F35" s="224">
        <f>'Engine 4'!$H62</f>
        <v>0</v>
      </c>
      <c r="G35" s="225">
        <f>'Engine 5'!$H62</f>
        <v>0</v>
      </c>
      <c r="H35" s="105">
        <f t="shared" si="2"/>
        <v>0</v>
      </c>
      <c r="I35" s="107"/>
      <c r="J35" s="360"/>
    </row>
    <row r="36" spans="2:10" s="6" customFormat="1" ht="14.25" x14ac:dyDescent="0.2">
      <c r="B36" s="71" t="s">
        <v>103</v>
      </c>
      <c r="C36" s="150">
        <f>'Engine 1'!$H63</f>
        <v>0</v>
      </c>
      <c r="D36" s="222">
        <f>'Engine 2'!$H63</f>
        <v>0</v>
      </c>
      <c r="E36" s="222">
        <f>'Engine 3'!$H63</f>
        <v>0</v>
      </c>
      <c r="F36" s="222">
        <f>'Engine 4'!$H63</f>
        <v>0</v>
      </c>
      <c r="G36" s="223">
        <f>'Engine 5'!$H63</f>
        <v>0</v>
      </c>
      <c r="H36" s="105">
        <f t="shared" si="2"/>
        <v>0</v>
      </c>
      <c r="I36" s="107"/>
      <c r="J36" s="360"/>
    </row>
    <row r="37" spans="2:10" s="6" customFormat="1" ht="14.25" x14ac:dyDescent="0.2">
      <c r="B37" s="71" t="s">
        <v>107</v>
      </c>
      <c r="C37" s="147">
        <f>'Engine 1'!$H64</f>
        <v>0</v>
      </c>
      <c r="D37" s="354">
        <f>'Engine 2'!$H64</f>
        <v>0</v>
      </c>
      <c r="E37" s="354">
        <f>'Engine 3'!$H64</f>
        <v>0</v>
      </c>
      <c r="F37" s="354">
        <f>'Engine 4'!$H64</f>
        <v>0</v>
      </c>
      <c r="G37" s="219">
        <f>'Engine 5'!$H64</f>
        <v>0</v>
      </c>
      <c r="H37" s="105">
        <f t="shared" si="2"/>
        <v>0</v>
      </c>
      <c r="I37" s="107"/>
      <c r="J37" s="360"/>
    </row>
    <row r="38" spans="2:10" s="6" customFormat="1" ht="14.25" x14ac:dyDescent="0.2">
      <c r="B38" s="70" t="s">
        <v>38</v>
      </c>
      <c r="C38" s="147">
        <f>'Engine 1'!$H65</f>
        <v>0</v>
      </c>
      <c r="D38" s="354">
        <f>'Engine 2'!$H65</f>
        <v>0</v>
      </c>
      <c r="E38" s="354">
        <f>'Engine 3'!$H65</f>
        <v>0</v>
      </c>
      <c r="F38" s="354">
        <f>'Engine 4'!$H65</f>
        <v>0</v>
      </c>
      <c r="G38" s="219">
        <f>'Engine 5'!$H65</f>
        <v>0</v>
      </c>
      <c r="H38" s="105">
        <f t="shared" si="2"/>
        <v>0</v>
      </c>
      <c r="I38" s="107"/>
      <c r="J38" s="360"/>
    </row>
    <row r="39" spans="2:10" s="6" customFormat="1" ht="14.25" x14ac:dyDescent="0.2">
      <c r="B39" s="70" t="s">
        <v>101</v>
      </c>
      <c r="C39" s="147">
        <f>'Engine 1'!$H66</f>
        <v>0</v>
      </c>
      <c r="D39" s="354">
        <f>'Engine 2'!$H66</f>
        <v>0</v>
      </c>
      <c r="E39" s="354">
        <f>'Engine 3'!$H66</f>
        <v>0</v>
      </c>
      <c r="F39" s="354">
        <f>'Engine 4'!$H66</f>
        <v>0</v>
      </c>
      <c r="G39" s="219">
        <f>'Engine 5'!$H66</f>
        <v>0</v>
      </c>
      <c r="H39" s="105">
        <f t="shared" si="2"/>
        <v>0</v>
      </c>
      <c r="I39" s="107"/>
      <c r="J39" s="360"/>
    </row>
    <row r="40" spans="2:10" s="6" customFormat="1" ht="14.25" x14ac:dyDescent="0.2">
      <c r="B40" s="108" t="s">
        <v>108</v>
      </c>
      <c r="C40" s="148">
        <f>'Engine 1'!$H67</f>
        <v>0</v>
      </c>
      <c r="D40" s="224">
        <f>'Engine 2'!$H67</f>
        <v>0</v>
      </c>
      <c r="E40" s="224">
        <f>'Engine 3'!$H67</f>
        <v>0</v>
      </c>
      <c r="F40" s="224">
        <f>'Engine 4'!$H67</f>
        <v>0</v>
      </c>
      <c r="G40" s="225">
        <f>'Engine 5'!$H67</f>
        <v>0</v>
      </c>
      <c r="H40" s="105">
        <f t="shared" si="2"/>
        <v>0</v>
      </c>
      <c r="I40" s="107"/>
      <c r="J40" s="360"/>
    </row>
    <row r="41" spans="2:10" s="6" customFormat="1" ht="14.25" x14ac:dyDescent="0.2">
      <c r="B41" s="70" t="s">
        <v>109</v>
      </c>
      <c r="C41" s="147">
        <f>'Engine 1'!$H68</f>
        <v>0</v>
      </c>
      <c r="D41" s="354">
        <f>'Engine 2'!$H68</f>
        <v>0</v>
      </c>
      <c r="E41" s="354">
        <f>'Engine 3'!$H68</f>
        <v>0</v>
      </c>
      <c r="F41" s="354">
        <f>'Engine 4'!$H68</f>
        <v>0</v>
      </c>
      <c r="G41" s="219">
        <f>'Engine 5'!$H68</f>
        <v>0</v>
      </c>
      <c r="H41" s="105">
        <f t="shared" si="2"/>
        <v>0</v>
      </c>
      <c r="I41" s="107"/>
      <c r="J41" s="360"/>
    </row>
    <row r="42" spans="2:10" s="6" customFormat="1" ht="14.25" x14ac:dyDescent="0.2">
      <c r="B42" s="70" t="s">
        <v>110</v>
      </c>
      <c r="C42" s="147">
        <f>'Engine 1'!$H69</f>
        <v>0</v>
      </c>
      <c r="D42" s="354">
        <f>'Engine 2'!$H69</f>
        <v>0</v>
      </c>
      <c r="E42" s="354">
        <f>'Engine 3'!$H69</f>
        <v>0</v>
      </c>
      <c r="F42" s="354">
        <f>'Engine 4'!$H69</f>
        <v>0</v>
      </c>
      <c r="G42" s="219">
        <f>'Engine 5'!$H69</f>
        <v>0</v>
      </c>
      <c r="H42" s="105">
        <f t="shared" si="2"/>
        <v>0</v>
      </c>
      <c r="I42" s="107"/>
      <c r="J42" s="360"/>
    </row>
    <row r="43" spans="2:10" s="6" customFormat="1" ht="14.25" x14ac:dyDescent="0.2">
      <c r="B43" s="71" t="s">
        <v>39</v>
      </c>
      <c r="C43" s="147">
        <f>'Engine 1'!$H70</f>
        <v>0</v>
      </c>
      <c r="D43" s="354">
        <f>'Engine 2'!$H70</f>
        <v>0</v>
      </c>
      <c r="E43" s="354">
        <f>'Engine 3'!$H70</f>
        <v>0</v>
      </c>
      <c r="F43" s="354">
        <f>'Engine 4'!$H70</f>
        <v>0</v>
      </c>
      <c r="G43" s="219">
        <f>'Engine 5'!$H70</f>
        <v>0</v>
      </c>
      <c r="H43" s="105">
        <f t="shared" si="2"/>
        <v>0</v>
      </c>
      <c r="I43" s="107"/>
      <c r="J43" s="360"/>
    </row>
    <row r="44" spans="2:10" s="6" customFormat="1" ht="14.25" x14ac:dyDescent="0.2">
      <c r="B44" s="70" t="s">
        <v>111</v>
      </c>
      <c r="C44" s="147">
        <f>'Engine 1'!$H71</f>
        <v>0</v>
      </c>
      <c r="D44" s="354">
        <f>'Engine 2'!$H71</f>
        <v>0</v>
      </c>
      <c r="E44" s="354">
        <f>'Engine 3'!$H71</f>
        <v>0</v>
      </c>
      <c r="F44" s="354">
        <f>'Engine 4'!$H71</f>
        <v>0</v>
      </c>
      <c r="G44" s="219">
        <f>'Engine 5'!$H71</f>
        <v>0</v>
      </c>
      <c r="H44" s="105">
        <f t="shared" si="2"/>
        <v>0</v>
      </c>
      <c r="I44" s="107"/>
      <c r="J44" s="360"/>
    </row>
    <row r="45" spans="2:10" s="6" customFormat="1" ht="14.25" x14ac:dyDescent="0.2">
      <c r="B45" s="109" t="s">
        <v>84</v>
      </c>
      <c r="C45" s="149">
        <f>'Engine 1'!$H72</f>
        <v>0</v>
      </c>
      <c r="D45" s="220">
        <f>'Engine 2'!$H72</f>
        <v>0</v>
      </c>
      <c r="E45" s="220">
        <f>'Engine 3'!$H72</f>
        <v>0</v>
      </c>
      <c r="F45" s="220">
        <f>'Engine 4'!$H72</f>
        <v>0</v>
      </c>
      <c r="G45" s="221">
        <f>'Engine 5'!$H72</f>
        <v>0</v>
      </c>
      <c r="H45" s="105">
        <f t="shared" si="2"/>
        <v>0</v>
      </c>
      <c r="I45" s="107"/>
      <c r="J45" s="360"/>
    </row>
    <row r="46" spans="2:10" s="6" customFormat="1" ht="14.25" x14ac:dyDescent="0.2">
      <c r="B46" s="110" t="s">
        <v>47</v>
      </c>
      <c r="C46" s="111" t="str">
        <f>IF(H46=H21,B21,IF(H46=H22,B22,IF(H46=H23,B23,IF(H46=H24,B24,IF(H46=H25,B25,IF(H46=H26,B26,IF(H46=H27,B27,IF(H46=H28,B28,IF(H46=H29,B29,IF(H46=H30,B30,IF(H46=H31,B31,IF(H46=H32,B32,IF(H46=H33,B33,IF(H46=H34,B34,IF(H46=H35,B35,IF(H46=H36,B36,IF(H46=H37,B37,IF(H46=H38,B38,IF(H46=H39,B39,IF(H46=H40,B40,IF(H46=H41,B41,IF(H46=H42,B42,IF(H46=H43,B43,IF(H46=H44,B44,IF(H46=H45,B45)))))))))))))))))))))))))</f>
        <v>1,1,2,2-tetrachloroethane</v>
      </c>
      <c r="D46" s="112"/>
      <c r="E46" s="113"/>
      <c r="F46" s="112"/>
      <c r="G46" s="113"/>
      <c r="H46" s="105">
        <f>MAX(H21:H45)</f>
        <v>0</v>
      </c>
      <c r="I46" s="89">
        <v>10</v>
      </c>
      <c r="J46" s="360">
        <f t="shared" ref="J46:J47" si="3">IF(H46&gt;=I46,1,0)</f>
        <v>0</v>
      </c>
    </row>
    <row r="47" spans="2:10" s="6" customFormat="1" thickBot="1" x14ac:dyDescent="0.25">
      <c r="B47" s="101" t="s">
        <v>40</v>
      </c>
      <c r="C47" s="102"/>
      <c r="D47" s="102"/>
      <c r="E47" s="102"/>
      <c r="F47" s="102"/>
      <c r="G47" s="102"/>
      <c r="H47" s="114">
        <f>SUM(H21:H45)</f>
        <v>0</v>
      </c>
      <c r="I47" s="115">
        <v>25</v>
      </c>
      <c r="J47" s="360">
        <f t="shared" si="3"/>
        <v>0</v>
      </c>
    </row>
  </sheetData>
  <mergeCells count="4">
    <mergeCell ref="B2:I2"/>
    <mergeCell ref="B4:B5"/>
    <mergeCell ref="B3:I3"/>
    <mergeCell ref="B1:I1"/>
  </mergeCells>
  <conditionalFormatting sqref="C6:G6">
    <cfRule type="containsText" dxfId="28" priority="42" operator="containsText" text="Insignificant">
      <formula>NOT(ISERROR(SEARCH("Insignificant",C6)))</formula>
    </cfRule>
  </conditionalFormatting>
  <conditionalFormatting sqref="D6">
    <cfRule type="expression" dxfId="27" priority="40">
      <formula>SUM(D7:D14)=0</formula>
    </cfRule>
  </conditionalFormatting>
  <conditionalFormatting sqref="E6">
    <cfRule type="expression" dxfId="26" priority="39">
      <formula>SUM(E7:E14)=0</formula>
    </cfRule>
  </conditionalFormatting>
  <conditionalFormatting sqref="F6:G6">
    <cfRule type="expression" dxfId="25" priority="38">
      <formula>SUM(F7:F14)=0</formula>
    </cfRule>
  </conditionalFormatting>
  <conditionalFormatting sqref="C7:G45">
    <cfRule type="cellIs" dxfId="24" priority="36" operator="equal">
      <formula>0</formula>
    </cfRule>
  </conditionalFormatting>
  <conditionalFormatting sqref="H21:H45">
    <cfRule type="cellIs" dxfId="23" priority="35" operator="equal">
      <formula>0</formula>
    </cfRule>
  </conditionalFormatting>
  <conditionalFormatting sqref="B3:I3">
    <cfRule type="containsText" dxfId="22" priority="8" operator="containsText" text="permit is required">
      <formula>NOT(ISERROR(SEARCH("permit is required",B3)))</formula>
    </cfRule>
  </conditionalFormatting>
  <conditionalFormatting sqref="C6">
    <cfRule type="expression" dxfId="21" priority="1">
      <formula>SUM(C7:C14)=0</formula>
    </cfRule>
  </conditionalFormatting>
  <pageMargins left="0.25" right="0.25" top="0.5" bottom="0.5" header="0.3" footer="0.3"/>
  <pageSetup scale="76" fitToHeight="0" orientation="portrait" r:id="rId1"/>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3" min="1" max="8" man="1"/>
  </rowBreaks>
  <extLst>
    <ext xmlns:x14="http://schemas.microsoft.com/office/spreadsheetml/2009/9/main" uri="{78C0D931-6437-407d-A8EE-F0AAD7539E65}">
      <x14:conditionalFormattings>
        <x14:conditionalFormatting xmlns:xm="http://schemas.microsoft.com/office/excel/2006/main">
          <x14:cfRule type="iconSet" priority="30" id="{7558E676-7AF7-460A-88F6-E8F317D288E5}">
            <x14:iconSet iconSet="3Flags" custom="1">
              <x14:cfvo type="percent">
                <xm:f>0</xm:f>
              </x14:cfvo>
              <x14:cfvo type="num">
                <xm:f>0</xm:f>
              </x14:cfvo>
              <x14:cfvo type="num">
                <xm:f>100</xm:f>
              </x14:cfvo>
              <x14:cfIcon iconSet="NoIcons" iconId="0"/>
              <x14:cfIcon iconSet="NoIcons" iconId="0"/>
              <x14:cfIcon iconSet="3Flags" iconId="1"/>
            </x14:iconSet>
          </x14:cfRule>
          <xm:sqref>H7 H9 H11:H13</xm:sqref>
        </x14:conditionalFormatting>
        <x14:conditionalFormatting xmlns:xm="http://schemas.microsoft.com/office/excel/2006/main">
          <x14:cfRule type="iconSet" priority="29" id="{18F252C8-2693-47E2-A185-FFF49DBA7C47}">
            <x14:iconSet iconSet="3Flags" custom="1">
              <x14:cfvo type="percent">
                <xm:f>0</xm:f>
              </x14:cfvo>
              <x14:cfvo type="num">
                <xm:f>0</xm:f>
              </x14:cfvo>
              <x14:cfvo type="num">
                <xm:f>25</xm:f>
              </x14:cfvo>
              <x14:cfIcon iconSet="NoIcons" iconId="0"/>
              <x14:cfIcon iconSet="NoIcons" iconId="0"/>
              <x14:cfIcon iconSet="3Flags" iconId="1"/>
            </x14:iconSet>
          </x14:cfRule>
          <xm:sqref>H8 H47</xm:sqref>
        </x14:conditionalFormatting>
        <x14:conditionalFormatting xmlns:xm="http://schemas.microsoft.com/office/excel/2006/main">
          <x14:cfRule type="iconSet" priority="28" id="{EF4B99D8-87BA-45E4-920E-F8948000BC34}">
            <x14:iconSet iconSet="3Flags" custom="1">
              <x14:cfvo type="percent">
                <xm:f>0</xm:f>
              </x14:cfvo>
              <x14:cfvo type="num">
                <xm:f>0</xm:f>
              </x14:cfvo>
              <x14:cfvo type="num">
                <xm:f>10</xm:f>
              </x14:cfvo>
              <x14:cfIcon iconSet="NoIcons" iconId="0"/>
              <x14:cfIcon iconSet="NoIcons" iconId="0"/>
              <x14:cfIcon iconSet="3Flags" iconId="1"/>
            </x14:iconSet>
          </x14:cfRule>
          <xm:sqref>H46</xm:sqref>
        </x14:conditionalFormatting>
        <x14:conditionalFormatting xmlns:xm="http://schemas.microsoft.com/office/excel/2006/main">
          <x14:cfRule type="iconSet" priority="26" id="{E27B284F-5043-4ABA-8277-D08092BA4CBC}">
            <x14:iconSet iconSet="3Flags" custom="1">
              <x14:cfvo type="percent">
                <xm:f>0</xm:f>
              </x14:cfvo>
              <x14:cfvo type="num">
                <xm:f>0</xm:f>
              </x14:cfvo>
              <x14:cfvo type="num">
                <xm:f>50</xm:f>
              </x14:cfvo>
              <x14:cfIcon iconSet="NoIcons" iconId="0"/>
              <x14:cfIcon iconSet="NoIcons" iconId="0"/>
              <x14:cfIcon iconSet="3Flags" iconId="1"/>
            </x14:iconSet>
          </x14:cfRule>
          <xm:sqref>H10</xm:sqref>
        </x14:conditionalFormatting>
        <x14:conditionalFormatting xmlns:xm="http://schemas.microsoft.com/office/excel/2006/main">
          <x14:cfRule type="iconSet" priority="25" id="{EE85087D-0D6F-4BBE-BE64-EFDA5403EACD}">
            <x14:iconSet iconSet="3Flags" custom="1">
              <x14:cfvo type="percent">
                <xm:f>0</xm:f>
              </x14:cfvo>
              <x14:cfvo type="num">
                <xm:f>0</xm:f>
              </x14:cfvo>
              <x14:cfvo type="num">
                <xm:f>0.5</xm:f>
              </x14:cfvo>
              <x14:cfIcon iconSet="NoIcons" iconId="0"/>
              <x14:cfIcon iconSet="NoIcons" iconId="0"/>
              <x14:cfIcon iconSet="3Flags" iconId="1"/>
            </x14:iconSet>
          </x14:cfRule>
          <xm:sqref>H14</xm:sqref>
        </x14:conditionalFormatting>
        <x14:conditionalFormatting xmlns:xm="http://schemas.microsoft.com/office/excel/2006/main">
          <x14:cfRule type="iconSet" priority="24" id="{8A30517C-2A5F-4C70-9EFF-8CE1784AC98A}">
            <x14:iconSet iconSet="3Flags" custom="1">
              <x14:cfvo type="percent">
                <xm:f>0</xm:f>
              </x14:cfvo>
              <x14:cfvo type="num">
                <xm:f>0</xm:f>
              </x14:cfvo>
              <x14:cfvo type="num">
                <xm:f>10000</xm:f>
              </x14:cfvo>
              <x14:cfIcon iconSet="NoIcons" iconId="0"/>
              <x14:cfIcon iconSet="NoIcons" iconId="0"/>
              <x14:cfIcon iconSet="3Flags" iconId="1"/>
            </x14:iconSet>
          </x14:cfRule>
          <xm:sqref>H19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EAF8D8"/>
    <pageSetUpPr autoPageBreaks="0" fitToPage="1"/>
  </sheetPr>
  <dimension ref="B1:J47"/>
  <sheetViews>
    <sheetView showGridLines="0" zoomScaleNormal="100" zoomScaleSheetLayoutView="100" zoomScalePageLayoutView="85" workbookViewId="0">
      <selection activeCell="B2" sqref="B2:I2"/>
    </sheetView>
  </sheetViews>
  <sheetFormatPr defaultRowHeight="15" x14ac:dyDescent="0.25"/>
  <cols>
    <col min="1" max="1" width="5.140625" customWidth="1"/>
    <col min="2" max="2" width="24.28515625" customWidth="1"/>
    <col min="3" max="7" width="15.7109375" customWidth="1"/>
    <col min="8" max="8" width="16.140625" customWidth="1"/>
    <col min="9" max="9" width="17.140625" customWidth="1"/>
    <col min="10" max="10" width="9.140625" style="353"/>
  </cols>
  <sheetData>
    <row r="1" spans="2:10" x14ac:dyDescent="0.25">
      <c r="B1" s="439" t="str">
        <f>Instructions!O3</f>
        <v>p-sbap5-25  •  12/13/23</v>
      </c>
      <c r="C1" s="439"/>
      <c r="D1" s="439"/>
      <c r="E1" s="439"/>
      <c r="F1" s="439"/>
      <c r="G1" s="439"/>
      <c r="H1" s="439"/>
      <c r="I1" s="439"/>
    </row>
    <row r="2" spans="2:10" ht="19.5" thickBot="1" x14ac:dyDescent="0.3">
      <c r="B2" s="488" t="s">
        <v>137</v>
      </c>
      <c r="C2" s="488"/>
      <c r="D2" s="488"/>
      <c r="E2" s="488"/>
      <c r="F2" s="488"/>
      <c r="G2" s="488"/>
      <c r="H2" s="488"/>
      <c r="I2" s="488"/>
    </row>
    <row r="3" spans="2:10" s="6" customFormat="1" thickBot="1" x14ac:dyDescent="0.25">
      <c r="B3" s="492" t="str">
        <f>IF('Data validation'!B31="yes","The flag next to your actual emissions total indicates that your business exceeds the Option D limit and an individual permit is required.","These pollutant totals represent the information you entered on the blue tabs.")</f>
        <v>These pollutant totals represent the information you entered on the blue tabs.</v>
      </c>
      <c r="C3" s="492"/>
      <c r="D3" s="492"/>
      <c r="E3" s="492"/>
      <c r="F3" s="492"/>
      <c r="G3" s="492"/>
      <c r="H3" s="492"/>
      <c r="I3" s="492"/>
      <c r="J3" s="360"/>
    </row>
    <row r="4" spans="2:10" s="6" customFormat="1" ht="24" customHeight="1" x14ac:dyDescent="0.2">
      <c r="B4" s="489" t="s">
        <v>21</v>
      </c>
      <c r="C4" s="77" t="str">
        <f>'Potential emissions'!C4</f>
        <v>Engine 1</v>
      </c>
      <c r="D4" s="77" t="str">
        <f>'Potential emissions'!D4</f>
        <v>Engine 2</v>
      </c>
      <c r="E4" s="77" t="str">
        <f>'Potential emissions'!E4</f>
        <v>Engine 3</v>
      </c>
      <c r="F4" s="77" t="str">
        <f>'Potential emissions'!F4</f>
        <v>Engine 4</v>
      </c>
      <c r="G4" s="77" t="str">
        <f>'Potential emissions'!G4</f>
        <v>Engine 5</v>
      </c>
      <c r="H4" s="78" t="s">
        <v>24</v>
      </c>
      <c r="I4" s="79" t="s">
        <v>48</v>
      </c>
      <c r="J4" s="360"/>
    </row>
    <row r="5" spans="2:10" s="6" customFormat="1" ht="12.75" customHeight="1" thickBot="1" x14ac:dyDescent="0.25">
      <c r="B5" s="490"/>
      <c r="C5" s="20" t="s">
        <v>26</v>
      </c>
      <c r="D5" s="20" t="s">
        <v>26</v>
      </c>
      <c r="E5" s="20" t="s">
        <v>26</v>
      </c>
      <c r="F5" s="20" t="s">
        <v>26</v>
      </c>
      <c r="G5" s="20" t="s">
        <v>26</v>
      </c>
      <c r="H5" s="20" t="s">
        <v>26</v>
      </c>
      <c r="I5" s="116" t="s">
        <v>26</v>
      </c>
      <c r="J5" s="360"/>
    </row>
    <row r="6" spans="2:10" s="6" customFormat="1" x14ac:dyDescent="0.2">
      <c r="B6" s="75" t="s">
        <v>44</v>
      </c>
      <c r="C6" s="117"/>
      <c r="D6" s="27"/>
      <c r="E6" s="83"/>
      <c r="F6" s="118"/>
      <c r="G6" s="30"/>
      <c r="H6" s="31"/>
      <c r="I6" s="84"/>
      <c r="J6" s="360"/>
    </row>
    <row r="7" spans="2:10" s="6" customFormat="1" ht="14.25" x14ac:dyDescent="0.2">
      <c r="B7" s="71" t="s">
        <v>28</v>
      </c>
      <c r="C7" s="85">
        <f>'Engine 1'!$I34</f>
        <v>0</v>
      </c>
      <c r="D7" s="85">
        <f>'Engine 2'!$I34</f>
        <v>0</v>
      </c>
      <c r="E7" s="85">
        <f>'Engine 3'!$I34</f>
        <v>0</v>
      </c>
      <c r="F7" s="85">
        <f>'Engine 4'!$I34</f>
        <v>0</v>
      </c>
      <c r="G7" s="85">
        <f>'Engine 5'!$I34</f>
        <v>0</v>
      </c>
      <c r="H7" s="86">
        <f>SUM(C7:G7)</f>
        <v>0</v>
      </c>
      <c r="I7" s="87">
        <v>50</v>
      </c>
      <c r="J7" s="360">
        <f>IF(H7&gt;=I7,1,0)</f>
        <v>0</v>
      </c>
    </row>
    <row r="8" spans="2:10" s="6" customFormat="1" ht="14.25" x14ac:dyDescent="0.2">
      <c r="B8" s="71" t="s">
        <v>29</v>
      </c>
      <c r="C8" s="85">
        <f>'Engine 1'!$I35</f>
        <v>0</v>
      </c>
      <c r="D8" s="85">
        <f>'Engine 2'!$I35</f>
        <v>0</v>
      </c>
      <c r="E8" s="85">
        <f>'Engine 3'!$I35</f>
        <v>0</v>
      </c>
      <c r="F8" s="85">
        <f>'Engine 4'!$I35</f>
        <v>0</v>
      </c>
      <c r="G8" s="85">
        <f>'Engine 5'!$I35</f>
        <v>0</v>
      </c>
      <c r="H8" s="88">
        <f t="shared" ref="H8:H14" si="0">SUM(C8:G8)</f>
        <v>0</v>
      </c>
      <c r="I8" s="89">
        <v>50</v>
      </c>
      <c r="J8" s="360">
        <f t="shared" ref="J8:J19" si="1">IF(H8&gt;=I8,1,0)</f>
        <v>0</v>
      </c>
    </row>
    <row r="9" spans="2:10" s="6" customFormat="1" ht="14.25" x14ac:dyDescent="0.2">
      <c r="B9" s="71" t="s">
        <v>72</v>
      </c>
      <c r="C9" s="85">
        <f>'Engine 1'!$I36</f>
        <v>0</v>
      </c>
      <c r="D9" s="85">
        <f>'Engine 2'!$I36</f>
        <v>0</v>
      </c>
      <c r="E9" s="85">
        <f>'Engine 3'!$I36</f>
        <v>0</v>
      </c>
      <c r="F9" s="85">
        <f>'Engine 4'!$I36</f>
        <v>0</v>
      </c>
      <c r="G9" s="85">
        <f>'Engine 5'!$I36</f>
        <v>0</v>
      </c>
      <c r="H9" s="88">
        <f t="shared" si="0"/>
        <v>0</v>
      </c>
      <c r="I9" s="235"/>
      <c r="J9" s="360"/>
    </row>
    <row r="10" spans="2:10" s="6" customFormat="1" ht="14.25" x14ac:dyDescent="0.2">
      <c r="B10" s="71" t="s">
        <v>30</v>
      </c>
      <c r="C10" s="85">
        <f>'Engine 1'!$I37</f>
        <v>0</v>
      </c>
      <c r="D10" s="85">
        <f>'Engine 2'!$I37</f>
        <v>0</v>
      </c>
      <c r="E10" s="85">
        <f>'Engine 3'!$I37</f>
        <v>0</v>
      </c>
      <c r="F10" s="85">
        <f>'Engine 4'!$I37</f>
        <v>0</v>
      </c>
      <c r="G10" s="85">
        <f>'Engine 5'!$I37</f>
        <v>0</v>
      </c>
      <c r="H10" s="88">
        <f t="shared" si="0"/>
        <v>0</v>
      </c>
      <c r="I10" s="89">
        <v>50</v>
      </c>
      <c r="J10" s="360">
        <f t="shared" si="1"/>
        <v>0</v>
      </c>
    </row>
    <row r="11" spans="2:10" s="6" customFormat="1" ht="14.25" x14ac:dyDescent="0.2">
      <c r="B11" s="71" t="s">
        <v>31</v>
      </c>
      <c r="C11" s="85">
        <f>'Engine 1'!$I38</f>
        <v>0</v>
      </c>
      <c r="D11" s="85">
        <f>'Engine 2'!$I38</f>
        <v>0</v>
      </c>
      <c r="E11" s="85">
        <f>'Engine 3'!$I38</f>
        <v>0</v>
      </c>
      <c r="F11" s="85">
        <f>'Engine 4'!$I38</f>
        <v>0</v>
      </c>
      <c r="G11" s="85">
        <f>'Engine 5'!$I38</f>
        <v>0</v>
      </c>
      <c r="H11" s="88">
        <f t="shared" si="0"/>
        <v>0</v>
      </c>
      <c r="I11" s="89">
        <v>50</v>
      </c>
      <c r="J11" s="360">
        <f t="shared" si="1"/>
        <v>0</v>
      </c>
    </row>
    <row r="12" spans="2:10" s="6" customFormat="1" ht="14.25" x14ac:dyDescent="0.2">
      <c r="B12" s="71" t="s">
        <v>32</v>
      </c>
      <c r="C12" s="85">
        <f>'Engine 1'!$I39</f>
        <v>0</v>
      </c>
      <c r="D12" s="85">
        <f>'Engine 2'!$I39</f>
        <v>0</v>
      </c>
      <c r="E12" s="85">
        <f>'Engine 3'!$I39</f>
        <v>0</v>
      </c>
      <c r="F12" s="85">
        <f>'Engine 4'!$I39</f>
        <v>0</v>
      </c>
      <c r="G12" s="85">
        <f>'Engine 5'!$I39</f>
        <v>0</v>
      </c>
      <c r="H12" s="88">
        <f t="shared" si="0"/>
        <v>0</v>
      </c>
      <c r="I12" s="89">
        <v>50</v>
      </c>
      <c r="J12" s="360">
        <f t="shared" si="1"/>
        <v>0</v>
      </c>
    </row>
    <row r="13" spans="2:10" s="6" customFormat="1" ht="14.25" x14ac:dyDescent="0.2">
      <c r="B13" s="71" t="s">
        <v>33</v>
      </c>
      <c r="C13" s="85">
        <f>'Engine 1'!$I40</f>
        <v>0</v>
      </c>
      <c r="D13" s="85">
        <f>'Engine 2'!$I40</f>
        <v>0</v>
      </c>
      <c r="E13" s="85">
        <f>'Engine 3'!$I40</f>
        <v>0</v>
      </c>
      <c r="F13" s="85">
        <f>'Engine 4'!$I40</f>
        <v>0</v>
      </c>
      <c r="G13" s="85">
        <f>'Engine 5'!$I40</f>
        <v>0</v>
      </c>
      <c r="H13" s="88">
        <f t="shared" si="0"/>
        <v>0</v>
      </c>
      <c r="I13" s="89">
        <v>50</v>
      </c>
      <c r="J13" s="360">
        <f t="shared" si="1"/>
        <v>0</v>
      </c>
    </row>
    <row r="14" spans="2:10" s="6" customFormat="1" thickBot="1" x14ac:dyDescent="0.25">
      <c r="B14" s="90" t="s">
        <v>34</v>
      </c>
      <c r="C14" s="85">
        <f>'Engine 1'!$I41</f>
        <v>0</v>
      </c>
      <c r="D14" s="85">
        <f>'Engine 2'!$I41</f>
        <v>0</v>
      </c>
      <c r="E14" s="85">
        <f>'Engine 3'!$I41</f>
        <v>0</v>
      </c>
      <c r="F14" s="85">
        <f>'Engine 4'!$I41</f>
        <v>0</v>
      </c>
      <c r="G14" s="85">
        <f>'Engine 5'!$I41</f>
        <v>0</v>
      </c>
      <c r="H14" s="88">
        <f t="shared" si="0"/>
        <v>0</v>
      </c>
      <c r="I14" s="91">
        <v>0.5</v>
      </c>
      <c r="J14" s="360">
        <f t="shared" si="1"/>
        <v>0</v>
      </c>
    </row>
    <row r="15" spans="2:10" s="6" customFormat="1" x14ac:dyDescent="0.2">
      <c r="B15" s="75" t="s">
        <v>164</v>
      </c>
      <c r="C15" s="92"/>
      <c r="D15" s="93"/>
      <c r="E15" s="93"/>
      <c r="F15" s="93"/>
      <c r="G15" s="93"/>
      <c r="H15" s="94"/>
      <c r="I15" s="95"/>
      <c r="J15" s="360"/>
    </row>
    <row r="16" spans="2:10" s="6" customFormat="1" ht="15.75" x14ac:dyDescent="0.3">
      <c r="B16" s="96" t="s">
        <v>165</v>
      </c>
      <c r="C16" s="85">
        <f>'Engine 1'!$I43</f>
        <v>0</v>
      </c>
      <c r="D16" s="85">
        <f>'Engine 2'!$I43</f>
        <v>0</v>
      </c>
      <c r="E16" s="85">
        <f>'Engine 3'!$I43</f>
        <v>0</v>
      </c>
      <c r="F16" s="85">
        <f>'Engine 4'!$I43</f>
        <v>0</v>
      </c>
      <c r="G16" s="85">
        <f>'Engine 5'!$I43</f>
        <v>0</v>
      </c>
      <c r="H16" s="86">
        <f t="shared" ref="H16:H19" si="2">SUM(C16:G16)</f>
        <v>0</v>
      </c>
      <c r="I16" s="97"/>
      <c r="J16" s="360"/>
    </row>
    <row r="17" spans="2:10" s="6" customFormat="1" ht="15.75" x14ac:dyDescent="0.3">
      <c r="B17" s="96" t="s">
        <v>166</v>
      </c>
      <c r="C17" s="85">
        <f>'Engine 1'!$I44</f>
        <v>0</v>
      </c>
      <c r="D17" s="85">
        <f>'Engine 2'!$I44</f>
        <v>0</v>
      </c>
      <c r="E17" s="85">
        <f>'Engine 3'!$I44</f>
        <v>0</v>
      </c>
      <c r="F17" s="85">
        <f>'Engine 4'!$I44</f>
        <v>0</v>
      </c>
      <c r="G17" s="85">
        <f>'Engine 5'!$I44</f>
        <v>0</v>
      </c>
      <c r="H17" s="88">
        <f t="shared" si="2"/>
        <v>0</v>
      </c>
      <c r="I17" s="99"/>
      <c r="J17" s="360"/>
    </row>
    <row r="18" spans="2:10" s="6" customFormat="1" ht="15.75" x14ac:dyDescent="0.3">
      <c r="B18" s="96" t="s">
        <v>167</v>
      </c>
      <c r="C18" s="85">
        <f>'Engine 1'!$I45</f>
        <v>0</v>
      </c>
      <c r="D18" s="85">
        <f>'Engine 2'!$I45</f>
        <v>0</v>
      </c>
      <c r="E18" s="85">
        <f>'Engine 3'!$I45</f>
        <v>0</v>
      </c>
      <c r="F18" s="85">
        <f>'Engine 4'!$I45</f>
        <v>0</v>
      </c>
      <c r="G18" s="85">
        <f>'Engine 5'!$I45</f>
        <v>0</v>
      </c>
      <c r="H18" s="88">
        <f t="shared" si="2"/>
        <v>0</v>
      </c>
      <c r="I18" s="100"/>
      <c r="J18" s="360"/>
    </row>
    <row r="19" spans="2:10" s="6" customFormat="1" ht="16.5" thickBot="1" x14ac:dyDescent="0.35">
      <c r="B19" s="101" t="s">
        <v>168</v>
      </c>
      <c r="C19" s="102"/>
      <c r="D19" s="102"/>
      <c r="E19" s="102"/>
      <c r="F19" s="102"/>
      <c r="G19" s="102"/>
      <c r="H19" s="88">
        <f t="shared" si="2"/>
        <v>0</v>
      </c>
      <c r="I19" s="103">
        <v>50000</v>
      </c>
      <c r="J19" s="360">
        <f t="shared" si="1"/>
        <v>0</v>
      </c>
    </row>
    <row r="20" spans="2:10" s="6" customFormat="1" x14ac:dyDescent="0.2">
      <c r="B20" s="75" t="s">
        <v>42</v>
      </c>
      <c r="C20" s="92"/>
      <c r="D20" s="93"/>
      <c r="E20" s="104"/>
      <c r="F20" s="104"/>
      <c r="G20" s="104"/>
      <c r="H20" s="94"/>
      <c r="I20" s="95"/>
      <c r="J20" s="360"/>
    </row>
    <row r="21" spans="2:10" s="6" customFormat="1" ht="14.25" x14ac:dyDescent="0.2">
      <c r="B21" s="66" t="s">
        <v>98</v>
      </c>
      <c r="C21" s="146">
        <f>'Engine 1'!$I48</f>
        <v>0</v>
      </c>
      <c r="D21" s="217">
        <f>'Engine 2'!$I48</f>
        <v>0</v>
      </c>
      <c r="E21" s="217">
        <f>'Engine 3'!$I48</f>
        <v>0</v>
      </c>
      <c r="F21" s="217">
        <f>'Engine 4'!$I48</f>
        <v>0</v>
      </c>
      <c r="G21" s="218">
        <f>'Engine 5'!$I48</f>
        <v>0</v>
      </c>
      <c r="H21" s="119">
        <f>SUM(C21:G21)</f>
        <v>0</v>
      </c>
      <c r="I21" s="120"/>
      <c r="J21" s="360"/>
    </row>
    <row r="22" spans="2:10" s="6" customFormat="1" ht="14.25" x14ac:dyDescent="0.2">
      <c r="B22" s="70" t="s">
        <v>99</v>
      </c>
      <c r="C22" s="147">
        <f>'Engine 1'!$I49</f>
        <v>0</v>
      </c>
      <c r="D22" s="354">
        <f>'Engine 2'!$I49</f>
        <v>0</v>
      </c>
      <c r="E22" s="354">
        <f>'Engine 3'!$I49</f>
        <v>0</v>
      </c>
      <c r="F22" s="354">
        <f>'Engine 4'!$I49</f>
        <v>0</v>
      </c>
      <c r="G22" s="219">
        <f>'Engine 5'!$I49</f>
        <v>0</v>
      </c>
      <c r="H22" s="121">
        <f t="shared" ref="H22:H45" si="3">SUM(C22:G22)</f>
        <v>0</v>
      </c>
      <c r="I22" s="122"/>
      <c r="J22" s="360"/>
    </row>
    <row r="23" spans="2:10" s="6" customFormat="1" ht="14.25" x14ac:dyDescent="0.2">
      <c r="B23" s="70" t="s">
        <v>97</v>
      </c>
      <c r="C23" s="147">
        <f>'Engine 1'!$I50</f>
        <v>0</v>
      </c>
      <c r="D23" s="354">
        <f>'Engine 2'!$I50</f>
        <v>0</v>
      </c>
      <c r="E23" s="354">
        <f>'Engine 3'!$I50</f>
        <v>0</v>
      </c>
      <c r="F23" s="354">
        <f>'Engine 4'!$I50</f>
        <v>0</v>
      </c>
      <c r="G23" s="219">
        <f>'Engine 5'!$I50</f>
        <v>0</v>
      </c>
      <c r="H23" s="121">
        <f t="shared" si="3"/>
        <v>0</v>
      </c>
      <c r="I23" s="122"/>
      <c r="J23" s="360"/>
    </row>
    <row r="24" spans="2:10" s="6" customFormat="1" ht="14.25" x14ac:dyDescent="0.2">
      <c r="B24" s="70" t="s">
        <v>100</v>
      </c>
      <c r="C24" s="147">
        <f>'Engine 1'!$I51</f>
        <v>0</v>
      </c>
      <c r="D24" s="354">
        <f>'Engine 2'!$I51</f>
        <v>0</v>
      </c>
      <c r="E24" s="354">
        <f>'Engine 3'!$I51</f>
        <v>0</v>
      </c>
      <c r="F24" s="354">
        <f>'Engine 4'!$I51</f>
        <v>0</v>
      </c>
      <c r="G24" s="219">
        <f>'Engine 5'!$I51</f>
        <v>0</v>
      </c>
      <c r="H24" s="121">
        <f t="shared" si="3"/>
        <v>0</v>
      </c>
      <c r="I24" s="122"/>
      <c r="J24" s="360"/>
    </row>
    <row r="25" spans="2:10" s="6" customFormat="1" ht="14.25" x14ac:dyDescent="0.2">
      <c r="B25" s="108" t="s">
        <v>85</v>
      </c>
      <c r="C25" s="147">
        <f>'Engine 1'!$I52</f>
        <v>0</v>
      </c>
      <c r="D25" s="354">
        <f>'Engine 2'!$I52</f>
        <v>0</v>
      </c>
      <c r="E25" s="354">
        <f>'Engine 3'!$I52</f>
        <v>0</v>
      </c>
      <c r="F25" s="354">
        <f>'Engine 4'!$I52</f>
        <v>0</v>
      </c>
      <c r="G25" s="219">
        <f>'Engine 5'!$I52</f>
        <v>0</v>
      </c>
      <c r="H25" s="121">
        <f t="shared" si="3"/>
        <v>0</v>
      </c>
      <c r="I25" s="122"/>
      <c r="J25" s="360"/>
    </row>
    <row r="26" spans="2:10" s="6" customFormat="1" ht="14.25" x14ac:dyDescent="0.2">
      <c r="B26" s="71" t="s">
        <v>87</v>
      </c>
      <c r="C26" s="150">
        <f>'Engine 1'!$I53</f>
        <v>0</v>
      </c>
      <c r="D26" s="222">
        <f>'Engine 2'!$I53</f>
        <v>0</v>
      </c>
      <c r="E26" s="222">
        <f>'Engine 3'!$I53</f>
        <v>0</v>
      </c>
      <c r="F26" s="222">
        <f>'Engine 4'!$I53</f>
        <v>0</v>
      </c>
      <c r="G26" s="223">
        <f>'Engine 5'!$I53</f>
        <v>0</v>
      </c>
      <c r="H26" s="121">
        <f t="shared" si="3"/>
        <v>0</v>
      </c>
      <c r="I26" s="122"/>
      <c r="J26" s="360"/>
    </row>
    <row r="27" spans="2:10" s="6" customFormat="1" ht="14.25" x14ac:dyDescent="0.2">
      <c r="B27" s="71" t="s">
        <v>35</v>
      </c>
      <c r="C27" s="147">
        <f>'Engine 1'!$I54</f>
        <v>0</v>
      </c>
      <c r="D27" s="354">
        <f>'Engine 2'!$I54</f>
        <v>0</v>
      </c>
      <c r="E27" s="354">
        <f>'Engine 3'!$I54</f>
        <v>0</v>
      </c>
      <c r="F27" s="354">
        <f>'Engine 4'!$I54</f>
        <v>0</v>
      </c>
      <c r="G27" s="219">
        <f>'Engine 5'!$I54</f>
        <v>0</v>
      </c>
      <c r="H27" s="121">
        <f t="shared" si="3"/>
        <v>0</v>
      </c>
      <c r="I27" s="122"/>
      <c r="J27" s="360"/>
    </row>
    <row r="28" spans="2:10" s="6" customFormat="1" ht="14.25" x14ac:dyDescent="0.2">
      <c r="B28" s="70" t="s">
        <v>102</v>
      </c>
      <c r="C28" s="147">
        <f>'Engine 1'!$I55</f>
        <v>0</v>
      </c>
      <c r="D28" s="354">
        <f>'Engine 2'!$I55</f>
        <v>0</v>
      </c>
      <c r="E28" s="354">
        <f>'Engine 3'!$I55</f>
        <v>0</v>
      </c>
      <c r="F28" s="354">
        <f>'Engine 4'!$I55</f>
        <v>0</v>
      </c>
      <c r="G28" s="219">
        <f>'Engine 5'!$I55</f>
        <v>0</v>
      </c>
      <c r="H28" s="121">
        <f t="shared" si="3"/>
        <v>0</v>
      </c>
      <c r="I28" s="122"/>
      <c r="J28" s="360"/>
    </row>
    <row r="29" spans="2:10" s="6" customFormat="1" ht="14.25" x14ac:dyDescent="0.2">
      <c r="B29" s="70" t="s">
        <v>112</v>
      </c>
      <c r="C29" s="147">
        <f>'Engine 1'!$I56</f>
        <v>0</v>
      </c>
      <c r="D29" s="354">
        <f>'Engine 2'!$I56</f>
        <v>0</v>
      </c>
      <c r="E29" s="354">
        <f>'Engine 3'!$I56</f>
        <v>0</v>
      </c>
      <c r="F29" s="354">
        <f>'Engine 4'!$I56</f>
        <v>0</v>
      </c>
      <c r="G29" s="219">
        <f>'Engine 5'!$I56</f>
        <v>0</v>
      </c>
      <c r="H29" s="121">
        <f t="shared" si="3"/>
        <v>0</v>
      </c>
      <c r="I29" s="122"/>
      <c r="J29" s="360"/>
    </row>
    <row r="30" spans="2:10" s="6" customFormat="1" ht="14.25" x14ac:dyDescent="0.2">
      <c r="B30" s="108" t="s">
        <v>104</v>
      </c>
      <c r="C30" s="148">
        <f>'Engine 1'!$I57</f>
        <v>0</v>
      </c>
      <c r="D30" s="224">
        <f>'Engine 2'!$I57</f>
        <v>0</v>
      </c>
      <c r="E30" s="224">
        <f>'Engine 3'!$I57</f>
        <v>0</v>
      </c>
      <c r="F30" s="224">
        <f>'Engine 4'!$I57</f>
        <v>0</v>
      </c>
      <c r="G30" s="225">
        <f>'Engine 5'!$I57</f>
        <v>0</v>
      </c>
      <c r="H30" s="121">
        <f t="shared" si="3"/>
        <v>0</v>
      </c>
      <c r="I30" s="122"/>
      <c r="J30" s="360"/>
    </row>
    <row r="31" spans="2:10" s="6" customFormat="1" ht="14.25" x14ac:dyDescent="0.2">
      <c r="B31" s="71" t="s">
        <v>105</v>
      </c>
      <c r="C31" s="150">
        <f>'Engine 1'!$I58</f>
        <v>0</v>
      </c>
      <c r="D31" s="222">
        <f>'Engine 2'!$I58</f>
        <v>0</v>
      </c>
      <c r="E31" s="222">
        <f>'Engine 3'!$I58</f>
        <v>0</v>
      </c>
      <c r="F31" s="222">
        <f>'Engine 4'!$I58</f>
        <v>0</v>
      </c>
      <c r="G31" s="223">
        <f>'Engine 5'!$I58</f>
        <v>0</v>
      </c>
      <c r="H31" s="121">
        <f t="shared" si="3"/>
        <v>0</v>
      </c>
      <c r="I31" s="122"/>
      <c r="J31" s="360"/>
    </row>
    <row r="32" spans="2:10" s="6" customFormat="1" ht="14.25" x14ac:dyDescent="0.2">
      <c r="B32" s="71" t="s">
        <v>83</v>
      </c>
      <c r="C32" s="147">
        <f>'Engine 1'!$I59</f>
        <v>0</v>
      </c>
      <c r="D32" s="354">
        <f>'Engine 2'!$I59</f>
        <v>0</v>
      </c>
      <c r="E32" s="354">
        <f>'Engine 3'!$I59</f>
        <v>0</v>
      </c>
      <c r="F32" s="354">
        <f>'Engine 4'!$I59</f>
        <v>0</v>
      </c>
      <c r="G32" s="219">
        <f>'Engine 5'!$I59</f>
        <v>0</v>
      </c>
      <c r="H32" s="121">
        <f t="shared" si="3"/>
        <v>0</v>
      </c>
      <c r="I32" s="122"/>
      <c r="J32" s="360"/>
    </row>
    <row r="33" spans="2:10" s="6" customFormat="1" ht="14.25" x14ac:dyDescent="0.2">
      <c r="B33" s="70" t="s">
        <v>106</v>
      </c>
      <c r="C33" s="147">
        <f>'Engine 1'!$I60</f>
        <v>0</v>
      </c>
      <c r="D33" s="354">
        <f>'Engine 2'!$I60</f>
        <v>0</v>
      </c>
      <c r="E33" s="354">
        <f>'Engine 3'!$I60</f>
        <v>0</v>
      </c>
      <c r="F33" s="354">
        <f>'Engine 4'!$I60</f>
        <v>0</v>
      </c>
      <c r="G33" s="219">
        <f>'Engine 5'!$I60</f>
        <v>0</v>
      </c>
      <c r="H33" s="121">
        <f t="shared" si="3"/>
        <v>0</v>
      </c>
      <c r="I33" s="122"/>
      <c r="J33" s="360"/>
    </row>
    <row r="34" spans="2:10" s="6" customFormat="1" ht="14.25" x14ac:dyDescent="0.2">
      <c r="B34" s="70" t="s">
        <v>36</v>
      </c>
      <c r="C34" s="147">
        <f>'Engine 1'!$I61</f>
        <v>0</v>
      </c>
      <c r="D34" s="354">
        <f>'Engine 2'!$I61</f>
        <v>0</v>
      </c>
      <c r="E34" s="354">
        <f>'Engine 3'!$I61</f>
        <v>0</v>
      </c>
      <c r="F34" s="354">
        <f>'Engine 4'!$I61</f>
        <v>0</v>
      </c>
      <c r="G34" s="219">
        <f>'Engine 5'!$I61</f>
        <v>0</v>
      </c>
      <c r="H34" s="121">
        <f t="shared" si="3"/>
        <v>0</v>
      </c>
      <c r="I34" s="122"/>
      <c r="J34" s="360"/>
    </row>
    <row r="35" spans="2:10" s="6" customFormat="1" ht="14.25" x14ac:dyDescent="0.2">
      <c r="B35" s="108" t="s">
        <v>37</v>
      </c>
      <c r="C35" s="148">
        <f>'Engine 1'!$I62</f>
        <v>0</v>
      </c>
      <c r="D35" s="224">
        <f>'Engine 2'!$I62</f>
        <v>0</v>
      </c>
      <c r="E35" s="224">
        <f>'Engine 3'!$I62</f>
        <v>0</v>
      </c>
      <c r="F35" s="224">
        <f>'Engine 4'!$I62</f>
        <v>0</v>
      </c>
      <c r="G35" s="225">
        <f>'Engine 5'!$I62</f>
        <v>0</v>
      </c>
      <c r="H35" s="121">
        <f t="shared" si="3"/>
        <v>0</v>
      </c>
      <c r="I35" s="122"/>
      <c r="J35" s="360"/>
    </row>
    <row r="36" spans="2:10" s="6" customFormat="1" ht="14.25" x14ac:dyDescent="0.2">
      <c r="B36" s="71" t="s">
        <v>103</v>
      </c>
      <c r="C36" s="150">
        <f>'Engine 1'!$I63</f>
        <v>0</v>
      </c>
      <c r="D36" s="222">
        <f>'Engine 2'!$I63</f>
        <v>0</v>
      </c>
      <c r="E36" s="222">
        <f>'Engine 3'!$I63</f>
        <v>0</v>
      </c>
      <c r="F36" s="222">
        <f>'Engine 4'!$I63</f>
        <v>0</v>
      </c>
      <c r="G36" s="223">
        <f>'Engine 5'!$I63</f>
        <v>0</v>
      </c>
      <c r="H36" s="121">
        <f t="shared" si="3"/>
        <v>0</v>
      </c>
      <c r="I36" s="122"/>
      <c r="J36" s="360"/>
    </row>
    <row r="37" spans="2:10" s="6" customFormat="1" ht="14.25" x14ac:dyDescent="0.2">
      <c r="B37" s="71" t="s">
        <v>107</v>
      </c>
      <c r="C37" s="147">
        <f>'Engine 1'!$I64</f>
        <v>0</v>
      </c>
      <c r="D37" s="354">
        <f>'Engine 2'!$I64</f>
        <v>0</v>
      </c>
      <c r="E37" s="354">
        <f>'Engine 3'!$I64</f>
        <v>0</v>
      </c>
      <c r="F37" s="354">
        <f>'Engine 4'!$I64</f>
        <v>0</v>
      </c>
      <c r="G37" s="219">
        <f>'Engine 5'!$I64</f>
        <v>0</v>
      </c>
      <c r="H37" s="121">
        <f t="shared" si="3"/>
        <v>0</v>
      </c>
      <c r="I37" s="122"/>
      <c r="J37" s="360"/>
    </row>
    <row r="38" spans="2:10" s="6" customFormat="1" ht="14.25" x14ac:dyDescent="0.2">
      <c r="B38" s="70" t="s">
        <v>38</v>
      </c>
      <c r="C38" s="147">
        <f>'Engine 1'!$I65</f>
        <v>0</v>
      </c>
      <c r="D38" s="354">
        <f>'Engine 2'!$I65</f>
        <v>0</v>
      </c>
      <c r="E38" s="354">
        <f>'Engine 3'!$I65</f>
        <v>0</v>
      </c>
      <c r="F38" s="354">
        <f>'Engine 4'!$I65</f>
        <v>0</v>
      </c>
      <c r="G38" s="219">
        <f>'Engine 5'!$I65</f>
        <v>0</v>
      </c>
      <c r="H38" s="121">
        <f t="shared" si="3"/>
        <v>0</v>
      </c>
      <c r="I38" s="122"/>
      <c r="J38" s="360"/>
    </row>
    <row r="39" spans="2:10" s="6" customFormat="1" ht="14.25" x14ac:dyDescent="0.2">
      <c r="B39" s="70" t="s">
        <v>101</v>
      </c>
      <c r="C39" s="147">
        <f>'Engine 1'!$I66</f>
        <v>0</v>
      </c>
      <c r="D39" s="354">
        <f>'Engine 2'!$I66</f>
        <v>0</v>
      </c>
      <c r="E39" s="354">
        <f>'Engine 3'!$I66</f>
        <v>0</v>
      </c>
      <c r="F39" s="354">
        <f>'Engine 4'!$I66</f>
        <v>0</v>
      </c>
      <c r="G39" s="219">
        <f>'Engine 5'!$I66</f>
        <v>0</v>
      </c>
      <c r="H39" s="121">
        <f t="shared" si="3"/>
        <v>0</v>
      </c>
      <c r="I39" s="122"/>
      <c r="J39" s="360"/>
    </row>
    <row r="40" spans="2:10" s="6" customFormat="1" ht="14.25" x14ac:dyDescent="0.2">
      <c r="B40" s="108" t="s">
        <v>108</v>
      </c>
      <c r="C40" s="148">
        <f>'Engine 1'!$I67</f>
        <v>0</v>
      </c>
      <c r="D40" s="224">
        <f>'Engine 2'!$I67</f>
        <v>0</v>
      </c>
      <c r="E40" s="224">
        <f>'Engine 3'!$I67</f>
        <v>0</v>
      </c>
      <c r="F40" s="224">
        <f>'Engine 4'!$I67</f>
        <v>0</v>
      </c>
      <c r="G40" s="225">
        <f>'Engine 5'!$I67</f>
        <v>0</v>
      </c>
      <c r="H40" s="121">
        <f t="shared" si="3"/>
        <v>0</v>
      </c>
      <c r="I40" s="122"/>
      <c r="J40" s="360"/>
    </row>
    <row r="41" spans="2:10" s="6" customFormat="1" ht="14.25" x14ac:dyDescent="0.2">
      <c r="B41" s="70" t="s">
        <v>109</v>
      </c>
      <c r="C41" s="147">
        <f>'Engine 1'!$I68</f>
        <v>0</v>
      </c>
      <c r="D41" s="354">
        <f>'Engine 2'!$I68</f>
        <v>0</v>
      </c>
      <c r="E41" s="354">
        <f>'Engine 3'!$I68</f>
        <v>0</v>
      </c>
      <c r="F41" s="354">
        <f>'Engine 4'!$I68</f>
        <v>0</v>
      </c>
      <c r="G41" s="219">
        <f>'Engine 5'!$I68</f>
        <v>0</v>
      </c>
      <c r="H41" s="121">
        <f t="shared" si="3"/>
        <v>0</v>
      </c>
      <c r="I41" s="122"/>
      <c r="J41" s="360"/>
    </row>
    <row r="42" spans="2:10" s="6" customFormat="1" ht="14.25" x14ac:dyDescent="0.2">
      <c r="B42" s="70" t="s">
        <v>110</v>
      </c>
      <c r="C42" s="147">
        <f>'Engine 1'!$I69</f>
        <v>0</v>
      </c>
      <c r="D42" s="354">
        <f>'Engine 2'!$I69</f>
        <v>0</v>
      </c>
      <c r="E42" s="354">
        <f>'Engine 3'!$I69</f>
        <v>0</v>
      </c>
      <c r="F42" s="354">
        <f>'Engine 4'!$I69</f>
        <v>0</v>
      </c>
      <c r="G42" s="219">
        <f>'Engine 5'!$I69</f>
        <v>0</v>
      </c>
      <c r="H42" s="121">
        <f t="shared" si="3"/>
        <v>0</v>
      </c>
      <c r="I42" s="122"/>
      <c r="J42" s="360"/>
    </row>
    <row r="43" spans="2:10" s="6" customFormat="1" ht="14.25" x14ac:dyDescent="0.2">
      <c r="B43" s="71" t="s">
        <v>39</v>
      </c>
      <c r="C43" s="147">
        <f>'Engine 1'!$I70</f>
        <v>0</v>
      </c>
      <c r="D43" s="354">
        <f>'Engine 2'!$I70</f>
        <v>0</v>
      </c>
      <c r="E43" s="354">
        <f>'Engine 3'!$I70</f>
        <v>0</v>
      </c>
      <c r="F43" s="354">
        <f>'Engine 4'!$I70</f>
        <v>0</v>
      </c>
      <c r="G43" s="219">
        <f>'Engine 5'!$I70</f>
        <v>0</v>
      </c>
      <c r="H43" s="121">
        <f t="shared" si="3"/>
        <v>0</v>
      </c>
      <c r="I43" s="122"/>
      <c r="J43" s="360"/>
    </row>
    <row r="44" spans="2:10" s="6" customFormat="1" ht="14.25" x14ac:dyDescent="0.2">
      <c r="B44" s="70" t="s">
        <v>111</v>
      </c>
      <c r="C44" s="147">
        <f>'Engine 1'!$I71</f>
        <v>0</v>
      </c>
      <c r="D44" s="354">
        <f>'Engine 2'!$I71</f>
        <v>0</v>
      </c>
      <c r="E44" s="354">
        <f>'Engine 3'!$I71</f>
        <v>0</v>
      </c>
      <c r="F44" s="354">
        <f>'Engine 4'!$I71</f>
        <v>0</v>
      </c>
      <c r="G44" s="219">
        <f>'Engine 5'!$I71</f>
        <v>0</v>
      </c>
      <c r="H44" s="121">
        <f t="shared" si="3"/>
        <v>0</v>
      </c>
      <c r="I44" s="122"/>
      <c r="J44" s="360"/>
    </row>
    <row r="45" spans="2:10" s="6" customFormat="1" ht="14.25" x14ac:dyDescent="0.2">
      <c r="B45" s="109" t="s">
        <v>84</v>
      </c>
      <c r="C45" s="149">
        <f>'Engine 1'!$I72</f>
        <v>0</v>
      </c>
      <c r="D45" s="220">
        <f>'Engine 2'!$I72</f>
        <v>0</v>
      </c>
      <c r="E45" s="220">
        <f>'Engine 3'!$I72</f>
        <v>0</v>
      </c>
      <c r="F45" s="220">
        <f>'Engine 4'!$I72</f>
        <v>0</v>
      </c>
      <c r="G45" s="221">
        <f>'Engine 5'!$I72</f>
        <v>0</v>
      </c>
      <c r="H45" s="121">
        <f t="shared" si="3"/>
        <v>0</v>
      </c>
      <c r="I45" s="122"/>
      <c r="J45" s="360"/>
    </row>
    <row r="46" spans="2:10" s="6" customFormat="1" ht="14.25" x14ac:dyDescent="0.2">
      <c r="B46" s="110" t="s">
        <v>47</v>
      </c>
      <c r="C46" s="111" t="str">
        <f>IF(H46=H21,B21,IF(H46=H22,B22,IF(H46=H23,B23,IF(H46=H24,B24,IF(H46=H25,B25,IF(H46=H26,B26,IF(H46=H27,B27,IF(H46=H28,B28,IF(H46=H29,B29,IF(H46=H30,B30,IF(H46=H31,B31,IF(H46=H32,B32,IF(H46=H33,B33,IF(H46=H34,B34,IF(H46=H35,B35,IF(H46=H36,B36,IF(H46=H37,B37,IF(H46=H38,B38,IF(H46=H39,B39,IF(H46=H40,B40,IF(H46=H41,B41,IF(H46=H42,B42,IF(H46=H43,B43,IF(H46=H44,B44,IF(H46=H45,B45)))))))))))))))))))))))))</f>
        <v>1,1,2,2-tetrachloroethane</v>
      </c>
      <c r="D46" s="123"/>
      <c r="E46" s="124"/>
      <c r="F46" s="123"/>
      <c r="G46" s="124"/>
      <c r="H46" s="105">
        <f>MAX(H21:H45)</f>
        <v>0</v>
      </c>
      <c r="I46" s="89">
        <v>5</v>
      </c>
      <c r="J46" s="360">
        <f t="shared" ref="J46:J47" si="4">IF(H46&gt;=I46,1,0)</f>
        <v>0</v>
      </c>
    </row>
    <row r="47" spans="2:10" s="6" customFormat="1" thickBot="1" x14ac:dyDescent="0.25">
      <c r="B47" s="125" t="s">
        <v>40</v>
      </c>
      <c r="C47" s="126"/>
      <c r="D47" s="126"/>
      <c r="E47" s="126"/>
      <c r="F47" s="126"/>
      <c r="G47" s="126"/>
      <c r="H47" s="114">
        <f>SUM(H21:H45)</f>
        <v>0</v>
      </c>
      <c r="I47" s="91">
        <v>12.5</v>
      </c>
      <c r="J47" s="360">
        <f t="shared" si="4"/>
        <v>0</v>
      </c>
    </row>
  </sheetData>
  <mergeCells count="4">
    <mergeCell ref="B2:I2"/>
    <mergeCell ref="B4:B5"/>
    <mergeCell ref="B1:I1"/>
    <mergeCell ref="B3:I3"/>
  </mergeCells>
  <conditionalFormatting sqref="C7:G20">
    <cfRule type="cellIs" dxfId="20" priority="21" operator="equal">
      <formula>0</formula>
    </cfRule>
  </conditionalFormatting>
  <conditionalFormatting sqref="H21:H45">
    <cfRule type="cellIs" dxfId="19" priority="20" operator="equal">
      <formula>0</formula>
    </cfRule>
  </conditionalFormatting>
  <conditionalFormatting sqref="B3:I3">
    <cfRule type="containsText" dxfId="18" priority="14" operator="containsText" text="permit is required">
      <formula>NOT(ISERROR(SEARCH("permit is required",B3)))</formula>
    </cfRule>
  </conditionalFormatting>
  <conditionalFormatting sqref="C21:G45">
    <cfRule type="cellIs" dxfId="17" priority="1" operator="equal">
      <formula>0</formula>
    </cfRule>
  </conditionalFormatting>
  <pageMargins left="0.25" right="0.25" top="0.5" bottom="0.5" header="0.3" footer="0.3"/>
  <pageSetup scale="74" fitToHeight="0" orientation="portrait" r:id="rId1"/>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extLst>
    <ext xmlns:x14="http://schemas.microsoft.com/office/spreadsheetml/2009/9/main" uri="{78C0D931-6437-407d-A8EE-F0AAD7539E65}">
      <x14:conditionalFormattings>
        <x14:conditionalFormatting xmlns:xm="http://schemas.microsoft.com/office/excel/2006/main">
          <x14:cfRule type="iconSet" priority="13" id="{49A3D23A-4120-400F-806E-1D701C9EFCF1}">
            <x14:iconSet iconSet="3Flags" custom="1">
              <x14:cfvo type="percent">
                <xm:f>0</xm:f>
              </x14:cfvo>
              <x14:cfvo type="num">
                <xm:f>0</xm:f>
              </x14:cfvo>
              <x14:cfvo type="num">
                <xm:f>100</xm:f>
              </x14:cfvo>
              <x14:cfIcon iconSet="NoIcons" iconId="0"/>
              <x14:cfIcon iconSet="NoIcons" iconId="0"/>
              <x14:cfIcon iconSet="3Flags" iconId="1"/>
            </x14:iconSet>
          </x14:cfRule>
          <xm:sqref>H7 H9 H11:H13</xm:sqref>
        </x14:conditionalFormatting>
        <x14:conditionalFormatting xmlns:xm="http://schemas.microsoft.com/office/excel/2006/main">
          <x14:cfRule type="iconSet" priority="12" id="{B4A20417-BCD0-44BF-9EBA-953D4C783A3B}">
            <x14:iconSet iconSet="3Flags" custom="1">
              <x14:cfvo type="percent">
                <xm:f>0</xm:f>
              </x14:cfvo>
              <x14:cfvo type="num">
                <xm:f>0</xm:f>
              </x14:cfvo>
              <x14:cfvo type="num">
                <xm:f>25</xm:f>
              </x14:cfvo>
              <x14:cfIcon iconSet="NoIcons" iconId="0"/>
              <x14:cfIcon iconSet="NoIcons" iconId="0"/>
              <x14:cfIcon iconSet="3Flags" iconId="1"/>
            </x14:iconSet>
          </x14:cfRule>
          <xm:sqref>H8</xm:sqref>
        </x14:conditionalFormatting>
        <x14:conditionalFormatting xmlns:xm="http://schemas.microsoft.com/office/excel/2006/main">
          <x14:cfRule type="iconSet" priority="11" id="{255A4579-8719-4B0D-B18B-0DA34AF5B7E9}">
            <x14:iconSet iconSet="3Flags" custom="1">
              <x14:cfvo type="percent">
                <xm:f>0</xm:f>
              </x14:cfvo>
              <x14:cfvo type="num">
                <xm:f>0</xm:f>
              </x14:cfvo>
              <x14:cfvo type="num">
                <xm:f>50</xm:f>
              </x14:cfvo>
              <x14:cfIcon iconSet="NoIcons" iconId="0"/>
              <x14:cfIcon iconSet="NoIcons" iconId="0"/>
              <x14:cfIcon iconSet="3Flags" iconId="1"/>
            </x14:iconSet>
          </x14:cfRule>
          <xm:sqref>H10</xm:sqref>
        </x14:conditionalFormatting>
        <x14:conditionalFormatting xmlns:xm="http://schemas.microsoft.com/office/excel/2006/main">
          <x14:cfRule type="iconSet" priority="10" id="{955F0E49-C9F5-4C52-9129-A225094BFACA}">
            <x14:iconSet iconSet="3Flags" custom="1">
              <x14:cfvo type="percent">
                <xm:f>0</xm:f>
              </x14:cfvo>
              <x14:cfvo type="num">
                <xm:f>0</xm:f>
              </x14:cfvo>
              <x14:cfvo type="num">
                <xm:f>0.5</xm:f>
              </x14:cfvo>
              <x14:cfIcon iconSet="NoIcons" iconId="0"/>
              <x14:cfIcon iconSet="NoIcons" iconId="0"/>
              <x14:cfIcon iconSet="3Flags" iconId="1"/>
            </x14:iconSet>
          </x14:cfRule>
          <xm:sqref>H14</xm:sqref>
        </x14:conditionalFormatting>
        <x14:conditionalFormatting xmlns:xm="http://schemas.microsoft.com/office/excel/2006/main">
          <x14:cfRule type="iconSet" priority="9" id="{270DFB5F-3735-4874-911D-60F98FAF67AC}">
            <x14:iconSet iconSet="3Flags" custom="1">
              <x14:cfvo type="percent">
                <xm:f>0</xm:f>
              </x14:cfvo>
              <x14:cfvo type="num">
                <xm:f>0</xm:f>
              </x14:cfvo>
              <x14:cfvo type="num">
                <xm:f>50000</xm:f>
              </x14:cfvo>
              <x14:cfIcon iconSet="NoIcons" iconId="0"/>
              <x14:cfIcon iconSet="NoIcons" iconId="0"/>
              <x14:cfIcon iconSet="3Flags" iconId="1"/>
            </x14:iconSet>
          </x14:cfRule>
          <xm:sqref>H19</xm:sqref>
        </x14:conditionalFormatting>
        <x14:conditionalFormatting xmlns:xm="http://schemas.microsoft.com/office/excel/2006/main">
          <x14:cfRule type="iconSet" priority="8" id="{B84438D7-95D6-45C1-9F61-EA152EE7C7D8}">
            <x14:iconSet iconSet="3Flags" custom="1">
              <x14:cfvo type="percent">
                <xm:f>0</xm:f>
              </x14:cfvo>
              <x14:cfvo type="num">
                <xm:f>0</xm:f>
              </x14:cfvo>
              <x14:cfvo type="num">
                <xm:f>12.5</xm:f>
              </x14:cfvo>
              <x14:cfIcon iconSet="NoIcons" iconId="0"/>
              <x14:cfIcon iconSet="NoIcons" iconId="0"/>
              <x14:cfIcon iconSet="3Flags" iconId="1"/>
            </x14:iconSet>
          </x14:cfRule>
          <xm:sqref>H47</xm:sqref>
        </x14:conditionalFormatting>
        <x14:conditionalFormatting xmlns:xm="http://schemas.microsoft.com/office/excel/2006/main">
          <x14:cfRule type="iconSet" priority="7" id="{70ABA5E2-0757-406B-AF5D-9B4012F29EC8}">
            <x14:iconSet iconSet="3Flags" custom="1">
              <x14:cfvo type="percent">
                <xm:f>0</xm:f>
              </x14:cfvo>
              <x14:cfvo type="num">
                <xm:f>0</xm:f>
              </x14:cfvo>
              <x14:cfvo type="num">
                <xm:f>5</xm:f>
              </x14:cfvo>
              <x14:cfIcon iconSet="NoIcons" iconId="0"/>
              <x14:cfIcon iconSet="NoIcons" iconId="0"/>
              <x14:cfIcon iconSet="3Flags" iconId="1"/>
            </x14:iconSet>
          </x14:cfRule>
          <xm:sqref>H46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CC"/>
    <pageSetUpPr autoPageBreaks="0" fitToPage="1"/>
  </sheetPr>
  <dimension ref="A1:K42"/>
  <sheetViews>
    <sheetView showGridLines="0" zoomScaleNormal="100" zoomScaleSheetLayoutView="100" zoomScalePageLayoutView="85" workbookViewId="0">
      <selection activeCell="B2" sqref="B2:I2"/>
    </sheetView>
  </sheetViews>
  <sheetFormatPr defaultRowHeight="15" x14ac:dyDescent="0.25"/>
  <cols>
    <col min="1" max="1" width="4.42578125" customWidth="1"/>
    <col min="2" max="5" width="21.85546875" customWidth="1"/>
    <col min="6" max="7" width="14" customWidth="1"/>
    <col min="8" max="9" width="17.5703125" customWidth="1"/>
    <col min="10" max="11" width="12" customWidth="1"/>
  </cols>
  <sheetData>
    <row r="1" spans="2:10" x14ac:dyDescent="0.25">
      <c r="B1" s="439" t="str">
        <f>Instructions!O3</f>
        <v>p-sbap5-25  •  12/13/23</v>
      </c>
      <c r="C1" s="439"/>
      <c r="D1" s="439"/>
      <c r="E1" s="439"/>
      <c r="F1" s="439"/>
      <c r="G1" s="439"/>
      <c r="H1" s="439"/>
      <c r="I1" s="439"/>
    </row>
    <row r="2" spans="2:10" ht="19.5" thickBot="1" x14ac:dyDescent="0.3">
      <c r="B2" s="488" t="s">
        <v>169</v>
      </c>
      <c r="C2" s="488"/>
      <c r="D2" s="488"/>
      <c r="E2" s="488"/>
      <c r="F2" s="488"/>
      <c r="G2" s="488"/>
      <c r="H2" s="488"/>
      <c r="I2" s="488"/>
      <c r="J2" s="1"/>
    </row>
    <row r="3" spans="2:10" s="6" customFormat="1" ht="18.75" customHeight="1" x14ac:dyDescent="0.2">
      <c r="B3" s="495" t="s">
        <v>202</v>
      </c>
      <c r="C3" s="495"/>
      <c r="D3" s="495"/>
      <c r="E3" s="495"/>
      <c r="F3" s="495"/>
      <c r="G3" s="495"/>
      <c r="H3" s="495"/>
      <c r="I3" s="495"/>
      <c r="J3" s="129"/>
    </row>
    <row r="4" spans="2:10" s="6" customFormat="1" ht="16.5" customHeight="1" x14ac:dyDescent="0.2">
      <c r="B4" s="495"/>
      <c r="C4" s="495"/>
      <c r="D4" s="495"/>
      <c r="E4" s="495"/>
      <c r="F4" s="495"/>
      <c r="G4" s="495"/>
      <c r="H4" s="495"/>
      <c r="I4" s="495"/>
      <c r="J4" s="129"/>
    </row>
    <row r="5" spans="2:10" s="6" customFormat="1" ht="15" customHeight="1" x14ac:dyDescent="0.2">
      <c r="B5" s="495"/>
      <c r="C5" s="495"/>
      <c r="D5" s="495"/>
      <c r="E5" s="495"/>
      <c r="F5" s="495"/>
      <c r="G5" s="495"/>
      <c r="H5" s="495"/>
      <c r="I5" s="495"/>
      <c r="J5" s="129"/>
    </row>
    <row r="6" spans="2:10" s="6" customFormat="1" ht="15" customHeight="1" x14ac:dyDescent="0.2">
      <c r="B6" s="509" t="s">
        <v>448</v>
      </c>
      <c r="C6" s="509"/>
      <c r="D6" s="509"/>
      <c r="E6" s="509"/>
      <c r="F6" s="509"/>
      <c r="G6" s="509"/>
      <c r="H6" s="509"/>
      <c r="I6" s="509"/>
      <c r="J6" s="129"/>
    </row>
    <row r="7" spans="2:10" s="6" customFormat="1" ht="15" customHeight="1" x14ac:dyDescent="0.2">
      <c r="B7" s="509"/>
      <c r="C7" s="509"/>
      <c r="D7" s="509"/>
      <c r="E7" s="509"/>
      <c r="F7" s="509"/>
      <c r="G7" s="509"/>
      <c r="H7" s="509"/>
      <c r="I7" s="509"/>
    </row>
    <row r="8" spans="2:10" s="6" customFormat="1" ht="15" customHeight="1" x14ac:dyDescent="0.2">
      <c r="B8" s="127"/>
      <c r="C8" s="127"/>
      <c r="D8" s="127"/>
      <c r="E8" s="127"/>
      <c r="F8" s="127"/>
      <c r="G8" s="127"/>
      <c r="H8" s="127"/>
      <c r="I8" s="127"/>
      <c r="J8" s="9"/>
    </row>
    <row r="9" spans="2:10" s="6" customFormat="1" ht="15" customHeight="1" x14ac:dyDescent="0.2">
      <c r="B9" s="496" t="s">
        <v>143</v>
      </c>
      <c r="C9" s="497"/>
      <c r="D9" s="497"/>
      <c r="E9" s="497"/>
      <c r="F9" s="505" t="s">
        <v>449</v>
      </c>
      <c r="G9" s="506"/>
      <c r="H9" s="506"/>
      <c r="I9" s="506"/>
      <c r="J9" s="9"/>
    </row>
    <row r="10" spans="2:10" s="6" customFormat="1" ht="51" x14ac:dyDescent="0.2">
      <c r="B10" s="316" t="s">
        <v>446</v>
      </c>
      <c r="C10" s="316" t="s">
        <v>447</v>
      </c>
      <c r="D10" s="316" t="s">
        <v>444</v>
      </c>
      <c r="E10" s="316" t="s">
        <v>445</v>
      </c>
      <c r="F10" s="501" t="s">
        <v>201</v>
      </c>
      <c r="G10" s="501"/>
      <c r="H10" s="242" t="s">
        <v>52</v>
      </c>
      <c r="I10" s="206" t="s">
        <v>53</v>
      </c>
      <c r="J10" s="9"/>
    </row>
    <row r="11" spans="2:10" s="6" customFormat="1" ht="15" customHeight="1" x14ac:dyDescent="0.2">
      <c r="B11" s="510" t="s">
        <v>49</v>
      </c>
      <c r="C11" s="512" t="s">
        <v>45</v>
      </c>
      <c r="D11" s="507" t="s">
        <v>220</v>
      </c>
      <c r="E11" s="502" t="s">
        <v>96</v>
      </c>
      <c r="F11" s="518" t="s">
        <v>200</v>
      </c>
      <c r="G11" s="510"/>
      <c r="H11" s="512" t="s">
        <v>45</v>
      </c>
      <c r="I11" s="518" t="s">
        <v>45</v>
      </c>
      <c r="J11" s="9"/>
    </row>
    <row r="12" spans="2:10" s="6" customFormat="1" ht="15" customHeight="1" x14ac:dyDescent="0.2">
      <c r="B12" s="511"/>
      <c r="C12" s="513"/>
      <c r="D12" s="508"/>
      <c r="E12" s="502"/>
      <c r="F12" s="519"/>
      <c r="G12" s="511"/>
      <c r="H12" s="513"/>
      <c r="I12" s="519"/>
      <c r="J12" s="9"/>
    </row>
    <row r="13" spans="2:10" s="6" customFormat="1" ht="20.100000000000001" customHeight="1" x14ac:dyDescent="0.2">
      <c r="B13" s="510" t="s">
        <v>50</v>
      </c>
      <c r="C13" s="512" t="s">
        <v>49</v>
      </c>
      <c r="D13" s="508"/>
      <c r="E13" s="502"/>
      <c r="F13" s="521" t="s">
        <v>525</v>
      </c>
      <c r="G13" s="522"/>
      <c r="H13" s="516" t="s">
        <v>51</v>
      </c>
      <c r="I13" s="514" t="s">
        <v>539</v>
      </c>
      <c r="J13" s="9"/>
    </row>
    <row r="14" spans="2:10" s="6" customFormat="1" ht="14.25" x14ac:dyDescent="0.2">
      <c r="B14" s="511"/>
      <c r="C14" s="513"/>
      <c r="D14" s="508"/>
      <c r="E14" s="502"/>
      <c r="F14" s="523"/>
      <c r="G14" s="524"/>
      <c r="H14" s="517"/>
      <c r="I14" s="515"/>
      <c r="J14" s="9"/>
    </row>
    <row r="15" spans="2:10" s="6" customFormat="1" ht="15" customHeight="1" x14ac:dyDescent="0.2">
      <c r="B15" s="510" t="s">
        <v>50</v>
      </c>
      <c r="C15" s="512" t="s">
        <v>50</v>
      </c>
      <c r="D15" s="508"/>
      <c r="E15" s="502"/>
      <c r="F15" s="518" t="s">
        <v>199</v>
      </c>
      <c r="G15" s="510"/>
      <c r="H15" s="503" t="s">
        <v>203</v>
      </c>
      <c r="I15" s="504" t="s">
        <v>540</v>
      </c>
    </row>
    <row r="16" spans="2:10" s="6" customFormat="1" ht="15" customHeight="1" x14ac:dyDescent="0.2">
      <c r="B16" s="511"/>
      <c r="C16" s="513"/>
      <c r="D16" s="228" t="s">
        <v>218</v>
      </c>
      <c r="E16" s="502"/>
      <c r="F16" s="519"/>
      <c r="G16" s="511"/>
      <c r="H16" s="503"/>
      <c r="I16" s="504"/>
    </row>
    <row r="17" spans="1:10" s="6" customFormat="1" ht="15" customHeight="1" x14ac:dyDescent="0.2">
      <c r="B17" s="241" t="s">
        <v>221</v>
      </c>
      <c r="C17" s="241"/>
      <c r="D17" s="241"/>
      <c r="E17" s="241"/>
      <c r="F17" s="241"/>
      <c r="G17" s="241"/>
      <c r="H17" s="241"/>
      <c r="I17" s="241"/>
      <c r="J17" s="9"/>
    </row>
    <row r="18" spans="1:10" s="6" customFormat="1" ht="15.75" customHeight="1" x14ac:dyDescent="0.2">
      <c r="B18" s="520" t="s">
        <v>532</v>
      </c>
      <c r="C18" s="520"/>
      <c r="D18" s="520"/>
      <c r="E18" s="520"/>
      <c r="F18" s="520"/>
      <c r="G18" s="520"/>
      <c r="H18" s="520"/>
      <c r="I18" s="520"/>
      <c r="J18" s="9"/>
    </row>
    <row r="19" spans="1:10" s="6" customFormat="1" ht="15" customHeight="1" x14ac:dyDescent="0.2">
      <c r="B19" s="520"/>
      <c r="C19" s="520"/>
      <c r="D19" s="520"/>
      <c r="E19" s="520"/>
      <c r="F19" s="520"/>
      <c r="G19" s="520"/>
      <c r="H19" s="520"/>
      <c r="I19" s="520"/>
      <c r="J19" s="9"/>
    </row>
    <row r="20" spans="1:10" s="6" customFormat="1" ht="15" customHeight="1" x14ac:dyDescent="0.2">
      <c r="B20" s="371"/>
      <c r="C20" s="371"/>
      <c r="D20" s="371"/>
      <c r="E20" s="371"/>
      <c r="F20" s="371"/>
      <c r="G20" s="371"/>
      <c r="H20" s="371"/>
      <c r="I20" s="371"/>
      <c r="J20" s="9"/>
    </row>
    <row r="22" spans="1:10" ht="15.75" x14ac:dyDescent="0.25">
      <c r="A22" s="6"/>
      <c r="B22" s="317" t="s">
        <v>117</v>
      </c>
      <c r="C22" s="245"/>
      <c r="D22" s="245"/>
      <c r="E22" s="245"/>
      <c r="F22" s="245"/>
      <c r="G22" s="245"/>
      <c r="H22" s="245"/>
      <c r="I22" s="245"/>
    </row>
    <row r="23" spans="1:10" ht="15" customHeight="1" x14ac:dyDescent="0.25">
      <c r="A23" s="6"/>
      <c r="B23" s="141" t="s">
        <v>118</v>
      </c>
      <c r="C23" s="239" t="s">
        <v>176</v>
      </c>
      <c r="D23" s="239"/>
      <c r="E23" s="239"/>
      <c r="F23" s="239"/>
      <c r="G23" s="239"/>
      <c r="H23" s="239"/>
      <c r="I23" s="239"/>
    </row>
    <row r="24" spans="1:10" x14ac:dyDescent="0.25">
      <c r="A24" s="6"/>
      <c r="B24" s="142"/>
      <c r="C24" s="244" t="s">
        <v>174</v>
      </c>
      <c r="D24" s="244"/>
      <c r="E24" s="244"/>
      <c r="F24" s="244"/>
      <c r="G24" s="244"/>
      <c r="H24" s="244"/>
      <c r="I24" s="244"/>
    </row>
    <row r="25" spans="1:10" s="6" customFormat="1" ht="15" customHeight="1" x14ac:dyDescent="0.2">
      <c r="B25" s="142"/>
      <c r="C25" s="244" t="s">
        <v>119</v>
      </c>
      <c r="D25" s="244"/>
      <c r="E25" s="244"/>
      <c r="F25" s="244"/>
      <c r="G25" s="244"/>
      <c r="H25" s="244"/>
      <c r="I25" s="244"/>
    </row>
    <row r="26" spans="1:10" s="6" customFormat="1" ht="15" customHeight="1" x14ac:dyDescent="0.2">
      <c r="B26" s="141" t="s">
        <v>120</v>
      </c>
      <c r="C26" s="244" t="s">
        <v>170</v>
      </c>
      <c r="D26" s="244"/>
      <c r="E26" s="244"/>
      <c r="F26" s="244"/>
      <c r="G26" s="244"/>
      <c r="H26" s="244"/>
      <c r="I26" s="244"/>
    </row>
    <row r="27" spans="1:10" s="128" customFormat="1" ht="15" customHeight="1" x14ac:dyDescent="0.2">
      <c r="B27" s="141"/>
      <c r="C27" s="243" t="s">
        <v>122</v>
      </c>
      <c r="D27" s="243"/>
      <c r="E27" s="243"/>
      <c r="F27" s="243"/>
      <c r="G27" s="243"/>
      <c r="H27" s="143"/>
      <c r="I27" s="3"/>
    </row>
    <row r="28" spans="1:10" s="6" customFormat="1" ht="15" customHeight="1" x14ac:dyDescent="0.2">
      <c r="B28" s="141"/>
      <c r="C28" s="244" t="s">
        <v>124</v>
      </c>
      <c r="D28" s="244"/>
      <c r="E28" s="244"/>
      <c r="F28" s="244"/>
      <c r="G28" s="244"/>
      <c r="H28" s="244"/>
      <c r="I28" s="244"/>
    </row>
    <row r="29" spans="1:10" s="6" customFormat="1" ht="15" customHeight="1" x14ac:dyDescent="0.2">
      <c r="B29" s="141"/>
      <c r="C29" s="355" t="s">
        <v>121</v>
      </c>
      <c r="D29" s="243"/>
      <c r="E29" s="243"/>
      <c r="F29" s="243"/>
      <c r="G29" s="243"/>
      <c r="H29" s="143"/>
      <c r="I29" s="143"/>
    </row>
    <row r="30" spans="1:10" s="6" customFormat="1" ht="15" customHeight="1" x14ac:dyDescent="0.2">
      <c r="B30" s="135" t="s">
        <v>125</v>
      </c>
      <c r="C30" s="498" t="s">
        <v>175</v>
      </c>
      <c r="D30" s="498"/>
      <c r="E30" s="243" t="s">
        <v>123</v>
      </c>
      <c r="F30" s="243"/>
      <c r="G30" s="243"/>
      <c r="H30" s="3"/>
      <c r="I30" s="3"/>
    </row>
    <row r="31" spans="1:10" s="6" customFormat="1" ht="15" customHeight="1" x14ac:dyDescent="0.2">
      <c r="B31" s="128"/>
      <c r="C31" s="128"/>
      <c r="D31" s="128"/>
      <c r="E31" s="128"/>
      <c r="F31" s="128"/>
      <c r="G31" s="128"/>
      <c r="H31" s="128"/>
      <c r="I31" s="128"/>
    </row>
    <row r="32" spans="1:10" s="6" customFormat="1" ht="15" customHeight="1" x14ac:dyDescent="0.25">
      <c r="B32"/>
      <c r="C32"/>
      <c r="D32"/>
      <c r="E32"/>
      <c r="F32"/>
      <c r="G32"/>
      <c r="H32"/>
      <c r="I32"/>
    </row>
    <row r="33" spans="1:11" s="6" customFormat="1" ht="15" customHeight="1" x14ac:dyDescent="0.25">
      <c r="B33" s="318"/>
      <c r="C33" s="318"/>
      <c r="D33" s="318"/>
      <c r="E33" s="318"/>
      <c r="F33" s="318"/>
      <c r="G33" s="318"/>
      <c r="H33" s="318"/>
      <c r="I33" s="318"/>
    </row>
    <row r="34" spans="1:11" s="6" customFormat="1" ht="15" customHeight="1" x14ac:dyDescent="0.25">
      <c r="B34" s="499" t="s">
        <v>189</v>
      </c>
      <c r="C34" s="499"/>
      <c r="D34" s="500" t="s">
        <v>190</v>
      </c>
      <c r="E34" s="500"/>
      <c r="F34" s="319"/>
      <c r="G34" s="319"/>
      <c r="H34" s="319"/>
      <c r="I34" s="319"/>
      <c r="J34" s="205"/>
    </row>
    <row r="35" spans="1:11" s="6" customFormat="1" ht="15" customHeight="1" x14ac:dyDescent="0.2">
      <c r="B35" s="213" t="s">
        <v>191</v>
      </c>
      <c r="C35" s="239" t="s">
        <v>192</v>
      </c>
      <c r="D35" s="239"/>
      <c r="E35" s="239"/>
      <c r="F35" s="239"/>
      <c r="G35" s="239"/>
      <c r="H35" s="239"/>
      <c r="I35" s="239"/>
      <c r="J35" s="9"/>
    </row>
    <row r="36" spans="1:11" s="6" customFormat="1" ht="15" customHeight="1" x14ac:dyDescent="0.2">
      <c r="B36" s="213" t="s">
        <v>193</v>
      </c>
      <c r="C36" s="239" t="s">
        <v>194</v>
      </c>
      <c r="D36" s="239"/>
      <c r="E36" s="239"/>
      <c r="F36" s="239"/>
      <c r="G36" s="239"/>
      <c r="H36" s="239"/>
      <c r="I36" s="239"/>
      <c r="J36" s="9"/>
    </row>
    <row r="37" spans="1:11" s="6" customFormat="1" ht="15" customHeight="1" x14ac:dyDescent="0.2">
      <c r="B37" s="213" t="s">
        <v>195</v>
      </c>
      <c r="C37" s="493" t="s">
        <v>196</v>
      </c>
      <c r="D37" s="493"/>
      <c r="E37" s="493"/>
      <c r="F37" s="493"/>
      <c r="G37" s="493"/>
      <c r="H37" s="493"/>
      <c r="I37" s="493"/>
      <c r="J37" s="9"/>
    </row>
    <row r="38" spans="1:11" s="6" customFormat="1" ht="15" customHeight="1" x14ac:dyDescent="0.2">
      <c r="B38" s="213"/>
      <c r="C38" s="493"/>
      <c r="D38" s="493"/>
      <c r="E38" s="493"/>
      <c r="F38" s="493"/>
      <c r="G38" s="493"/>
      <c r="H38" s="493"/>
      <c r="I38" s="493"/>
    </row>
    <row r="39" spans="1:11" s="6" customFormat="1" ht="15" customHeight="1" x14ac:dyDescent="0.25">
      <c r="B39" s="493" t="s">
        <v>197</v>
      </c>
      <c r="C39" s="493"/>
      <c r="D39" s="493"/>
      <c r="E39" s="493"/>
      <c r="F39" s="493"/>
      <c r="G39" s="493"/>
      <c r="H39" s="493"/>
      <c r="I39" s="493"/>
      <c r="K39" s="214"/>
    </row>
    <row r="40" spans="1:11" s="6" customFormat="1" ht="15" customHeight="1" x14ac:dyDescent="0.2">
      <c r="B40" s="493"/>
      <c r="C40" s="493"/>
      <c r="D40" s="493"/>
      <c r="E40" s="493"/>
      <c r="F40" s="493"/>
      <c r="G40" s="493"/>
      <c r="H40" s="493"/>
      <c r="I40" s="493"/>
    </row>
    <row r="41" spans="1:11" ht="15" customHeight="1" x14ac:dyDescent="0.25">
      <c r="A41" s="6"/>
      <c r="B41" s="493"/>
      <c r="C41" s="493"/>
      <c r="D41" s="493"/>
      <c r="E41" s="493"/>
      <c r="F41" s="493"/>
      <c r="G41" s="493"/>
      <c r="H41" s="493"/>
      <c r="I41" s="493"/>
    </row>
    <row r="42" spans="1:11" x14ac:dyDescent="0.25">
      <c r="A42" s="6"/>
      <c r="B42" s="494" t="s">
        <v>198</v>
      </c>
      <c r="C42" s="494"/>
      <c r="D42" s="494"/>
      <c r="E42" s="494"/>
      <c r="F42" s="494"/>
      <c r="G42" s="494"/>
      <c r="H42" s="494"/>
      <c r="I42" s="494"/>
    </row>
  </sheetData>
  <protectedRanges>
    <protectedRange sqref="J34" name="Range2_1"/>
  </protectedRanges>
  <mergeCells count="31">
    <mergeCell ref="B18:I19"/>
    <mergeCell ref="B15:B16"/>
    <mergeCell ref="C15:C16"/>
    <mergeCell ref="F11:G12"/>
    <mergeCell ref="F13:G14"/>
    <mergeCell ref="F15:G16"/>
    <mergeCell ref="B6:I7"/>
    <mergeCell ref="B11:B12"/>
    <mergeCell ref="C11:C12"/>
    <mergeCell ref="I13:I14"/>
    <mergeCell ref="H13:H14"/>
    <mergeCell ref="B13:B14"/>
    <mergeCell ref="C13:C14"/>
    <mergeCell ref="H11:H12"/>
    <mergeCell ref="I11:I12"/>
    <mergeCell ref="C37:I38"/>
    <mergeCell ref="B39:I41"/>
    <mergeCell ref="B42:I42"/>
    <mergeCell ref="B1:I1"/>
    <mergeCell ref="B3:I5"/>
    <mergeCell ref="B9:E9"/>
    <mergeCell ref="C30:D30"/>
    <mergeCell ref="B34:C34"/>
    <mergeCell ref="D34:E34"/>
    <mergeCell ref="B2:I2"/>
    <mergeCell ref="F10:G10"/>
    <mergeCell ref="E11:E16"/>
    <mergeCell ref="H15:H16"/>
    <mergeCell ref="I15:I16"/>
    <mergeCell ref="F9:I9"/>
    <mergeCell ref="D11:D15"/>
  </mergeCells>
  <conditionalFormatting sqref="B13 B15">
    <cfRule type="expression" dxfId="16" priority="15">
      <formula>#REF!="does"</formula>
    </cfRule>
  </conditionalFormatting>
  <conditionalFormatting sqref="B11">
    <cfRule type="expression" dxfId="15" priority="16">
      <formula>#REF!="does not"</formula>
    </cfRule>
  </conditionalFormatting>
  <conditionalFormatting sqref="C11 C13">
    <cfRule type="expression" dxfId="14" priority="17">
      <formula>#REF!="does not"</formula>
    </cfRule>
  </conditionalFormatting>
  <conditionalFormatting sqref="C15">
    <cfRule type="expression" dxfId="13" priority="18">
      <formula>#REF!="does"</formula>
    </cfRule>
  </conditionalFormatting>
  <conditionalFormatting sqref="D11:D12">
    <cfRule type="expression" dxfId="12" priority="19">
      <formula>#REF!="does not"</formula>
    </cfRule>
  </conditionalFormatting>
  <conditionalFormatting sqref="F11">
    <cfRule type="expression" dxfId="11" priority="102">
      <formula>#REF!="does not"</formula>
    </cfRule>
  </conditionalFormatting>
  <conditionalFormatting sqref="F13">
    <cfRule type="expression" dxfId="10" priority="103">
      <formula>AND(#REF!="does not",#REF!="does")</formula>
    </cfRule>
  </conditionalFormatting>
  <conditionalFormatting sqref="F15">
    <cfRule type="expression" dxfId="9" priority="104">
      <formula>AND(#REF!="does",#REF!="does")</formula>
    </cfRule>
  </conditionalFormatting>
  <conditionalFormatting sqref="E11:E12">
    <cfRule type="expression" dxfId="8" priority="105" stopIfTrue="1">
      <formula>AND(#REF!=#REF!,#REF!=#REF!,$D11=$N$48)</formula>
    </cfRule>
  </conditionalFormatting>
  <hyperlinks>
    <hyperlink ref="C27" r:id="rId1" location="screen3" xr:uid="{00000000-0004-0000-0B00-000000000000}"/>
    <hyperlink ref="E30" r:id="rId2" xr:uid="{00000000-0004-0000-0B00-000001000000}"/>
    <hyperlink ref="I15:I16" r:id="rId3" display="Application Forms, scroll to Section 1" xr:uid="{00000000-0004-0000-0B00-000002000000}"/>
    <hyperlink ref="H15:H16" r:id="rId4" display="Info about Individual Air Permits" xr:uid="{00000000-0004-0000-0B00-000003000000}"/>
    <hyperlink ref="D16" r:id="rId5" xr:uid="{00000000-0004-0000-0B00-000004000000}"/>
    <hyperlink ref="D34:E34" r:id="rId6" display="Minn. R. 7007.1300 subp. 3" xr:uid="{00000000-0004-0000-0B00-000005000000}"/>
    <hyperlink ref="H13:H14" r:id="rId7" display="Info about Air Registration Permits" xr:uid="{BCAB908B-99E6-4AFB-831D-270C245C1116}"/>
    <hyperlink ref="C29" r:id="rId8" xr:uid="{4C15919D-2D7E-4266-B623-3B1ECDD0932E}"/>
  </hyperlinks>
  <pageMargins left="0.25" right="0.25" top="0.5" bottom="0.5" header="0.3" footer="0.3"/>
  <pageSetup scale="67" fitToHeight="0" orientation="portrait" r:id="rId9"/>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21" min="1"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0" tint="-0.249977111117893"/>
    <pageSetUpPr fitToPage="1"/>
  </sheetPr>
  <dimension ref="A1:K64"/>
  <sheetViews>
    <sheetView showGridLines="0" zoomScaleNormal="100" workbookViewId="0">
      <selection activeCell="A2" sqref="A2:H2"/>
    </sheetView>
  </sheetViews>
  <sheetFormatPr defaultRowHeight="12.75" x14ac:dyDescent="0.2"/>
  <cols>
    <col min="1" max="1" width="23.5703125" style="2" customWidth="1"/>
    <col min="2" max="3" width="20.85546875" style="2" customWidth="1"/>
    <col min="4" max="4" width="26" style="2" customWidth="1"/>
    <col min="5" max="5" width="21.28515625" style="2" customWidth="1"/>
    <col min="6" max="6" width="20.140625" style="2" customWidth="1"/>
    <col min="7" max="7" width="22.42578125" style="2" customWidth="1"/>
    <col min="8" max="8" width="23.140625" style="2" customWidth="1"/>
    <col min="9" max="9" width="20.5703125" style="2" customWidth="1"/>
    <col min="10" max="10" width="20.5703125" style="252" customWidth="1"/>
    <col min="11" max="252" width="9.140625" style="2"/>
    <col min="253" max="253" width="17.42578125" style="2" customWidth="1"/>
    <col min="254" max="255" width="20.85546875" style="2" customWidth="1"/>
    <col min="256" max="256" width="26" style="2" bestFit="1" customWidth="1"/>
    <col min="257" max="257" width="21.28515625" style="2" bestFit="1" customWidth="1"/>
    <col min="258" max="258" width="20.140625" style="2" bestFit="1" customWidth="1"/>
    <col min="259" max="259" width="22.42578125" style="2" bestFit="1" customWidth="1"/>
    <col min="260" max="260" width="25.42578125" style="2" customWidth="1"/>
    <col min="261" max="261" width="14.5703125" style="2" customWidth="1"/>
    <col min="262" max="262" width="11.7109375" style="2" customWidth="1"/>
    <col min="263" max="263" width="12.5703125" style="2" customWidth="1"/>
    <col min="264" max="264" width="13" style="2" customWidth="1"/>
    <col min="265" max="508" width="9.140625" style="2"/>
    <col min="509" max="509" width="17.42578125" style="2" customWidth="1"/>
    <col min="510" max="511" width="20.85546875" style="2" customWidth="1"/>
    <col min="512" max="512" width="26" style="2" bestFit="1" customWidth="1"/>
    <col min="513" max="513" width="21.28515625" style="2" bestFit="1" customWidth="1"/>
    <col min="514" max="514" width="20.140625" style="2" bestFit="1" customWidth="1"/>
    <col min="515" max="515" width="22.42578125" style="2" bestFit="1" customWidth="1"/>
    <col min="516" max="516" width="25.42578125" style="2" customWidth="1"/>
    <col min="517" max="517" width="14.5703125" style="2" customWidth="1"/>
    <col min="518" max="518" width="11.7109375" style="2" customWidth="1"/>
    <col min="519" max="519" width="12.5703125" style="2" customWidth="1"/>
    <col min="520" max="520" width="13" style="2" customWidth="1"/>
    <col min="521" max="764" width="9.140625" style="2"/>
    <col min="765" max="765" width="17.42578125" style="2" customWidth="1"/>
    <col min="766" max="767" width="20.85546875" style="2" customWidth="1"/>
    <col min="768" max="768" width="26" style="2" bestFit="1" customWidth="1"/>
    <col min="769" max="769" width="21.28515625" style="2" bestFit="1" customWidth="1"/>
    <col min="770" max="770" width="20.140625" style="2" bestFit="1" customWidth="1"/>
    <col min="771" max="771" width="22.42578125" style="2" bestFit="1" customWidth="1"/>
    <col min="772" max="772" width="25.42578125" style="2" customWidth="1"/>
    <col min="773" max="773" width="14.5703125" style="2" customWidth="1"/>
    <col min="774" max="774" width="11.7109375" style="2" customWidth="1"/>
    <col min="775" max="775" width="12.5703125" style="2" customWidth="1"/>
    <col min="776" max="776" width="13" style="2" customWidth="1"/>
    <col min="777" max="1020" width="9.140625" style="2"/>
    <col min="1021" max="1021" width="17.42578125" style="2" customWidth="1"/>
    <col min="1022" max="1023" width="20.85546875" style="2" customWidth="1"/>
    <col min="1024" max="1024" width="26" style="2" bestFit="1" customWidth="1"/>
    <col min="1025" max="1025" width="21.28515625" style="2" bestFit="1" customWidth="1"/>
    <col min="1026" max="1026" width="20.140625" style="2" bestFit="1" customWidth="1"/>
    <col min="1027" max="1027" width="22.42578125" style="2" bestFit="1" customWidth="1"/>
    <col min="1028" max="1028" width="25.42578125" style="2" customWidth="1"/>
    <col min="1029" max="1029" width="14.5703125" style="2" customWidth="1"/>
    <col min="1030" max="1030" width="11.7109375" style="2" customWidth="1"/>
    <col min="1031" max="1031" width="12.5703125" style="2" customWidth="1"/>
    <col min="1032" max="1032" width="13" style="2" customWidth="1"/>
    <col min="1033" max="1276" width="9.140625" style="2"/>
    <col min="1277" max="1277" width="17.42578125" style="2" customWidth="1"/>
    <col min="1278" max="1279" width="20.85546875" style="2" customWidth="1"/>
    <col min="1280" max="1280" width="26" style="2" bestFit="1" customWidth="1"/>
    <col min="1281" max="1281" width="21.28515625" style="2" bestFit="1" customWidth="1"/>
    <col min="1282" max="1282" width="20.140625" style="2" bestFit="1" customWidth="1"/>
    <col min="1283" max="1283" width="22.42578125" style="2" bestFit="1" customWidth="1"/>
    <col min="1284" max="1284" width="25.42578125" style="2" customWidth="1"/>
    <col min="1285" max="1285" width="14.5703125" style="2" customWidth="1"/>
    <col min="1286" max="1286" width="11.7109375" style="2" customWidth="1"/>
    <col min="1287" max="1287" width="12.5703125" style="2" customWidth="1"/>
    <col min="1288" max="1288" width="13" style="2" customWidth="1"/>
    <col min="1289" max="1532" width="9.140625" style="2"/>
    <col min="1533" max="1533" width="17.42578125" style="2" customWidth="1"/>
    <col min="1534" max="1535" width="20.85546875" style="2" customWidth="1"/>
    <col min="1536" max="1536" width="26" style="2" bestFit="1" customWidth="1"/>
    <col min="1537" max="1537" width="21.28515625" style="2" bestFit="1" customWidth="1"/>
    <col min="1538" max="1538" width="20.140625" style="2" bestFit="1" customWidth="1"/>
    <col min="1539" max="1539" width="22.42578125" style="2" bestFit="1" customWidth="1"/>
    <col min="1540" max="1540" width="25.42578125" style="2" customWidth="1"/>
    <col min="1541" max="1541" width="14.5703125" style="2" customWidth="1"/>
    <col min="1542" max="1542" width="11.7109375" style="2" customWidth="1"/>
    <col min="1543" max="1543" width="12.5703125" style="2" customWidth="1"/>
    <col min="1544" max="1544" width="13" style="2" customWidth="1"/>
    <col min="1545" max="1788" width="9.140625" style="2"/>
    <col min="1789" max="1789" width="17.42578125" style="2" customWidth="1"/>
    <col min="1790" max="1791" width="20.85546875" style="2" customWidth="1"/>
    <col min="1792" max="1792" width="26" style="2" bestFit="1" customWidth="1"/>
    <col min="1793" max="1793" width="21.28515625" style="2" bestFit="1" customWidth="1"/>
    <col min="1794" max="1794" width="20.140625" style="2" bestFit="1" customWidth="1"/>
    <col min="1795" max="1795" width="22.42578125" style="2" bestFit="1" customWidth="1"/>
    <col min="1796" max="1796" width="25.42578125" style="2" customWidth="1"/>
    <col min="1797" max="1797" width="14.5703125" style="2" customWidth="1"/>
    <col min="1798" max="1798" width="11.7109375" style="2" customWidth="1"/>
    <col min="1799" max="1799" width="12.5703125" style="2" customWidth="1"/>
    <col min="1800" max="1800" width="13" style="2" customWidth="1"/>
    <col min="1801" max="2044" width="9.140625" style="2"/>
    <col min="2045" max="2045" width="17.42578125" style="2" customWidth="1"/>
    <col min="2046" max="2047" width="20.85546875" style="2" customWidth="1"/>
    <col min="2048" max="2048" width="26" style="2" bestFit="1" customWidth="1"/>
    <col min="2049" max="2049" width="21.28515625" style="2" bestFit="1" customWidth="1"/>
    <col min="2050" max="2050" width="20.140625" style="2" bestFit="1" customWidth="1"/>
    <col min="2051" max="2051" width="22.42578125" style="2" bestFit="1" customWidth="1"/>
    <col min="2052" max="2052" width="25.42578125" style="2" customWidth="1"/>
    <col min="2053" max="2053" width="14.5703125" style="2" customWidth="1"/>
    <col min="2054" max="2054" width="11.7109375" style="2" customWidth="1"/>
    <col min="2055" max="2055" width="12.5703125" style="2" customWidth="1"/>
    <col min="2056" max="2056" width="13" style="2" customWidth="1"/>
    <col min="2057" max="2300" width="9.140625" style="2"/>
    <col min="2301" max="2301" width="17.42578125" style="2" customWidth="1"/>
    <col min="2302" max="2303" width="20.85546875" style="2" customWidth="1"/>
    <col min="2304" max="2304" width="26" style="2" bestFit="1" customWidth="1"/>
    <col min="2305" max="2305" width="21.28515625" style="2" bestFit="1" customWidth="1"/>
    <col min="2306" max="2306" width="20.140625" style="2" bestFit="1" customWidth="1"/>
    <col min="2307" max="2307" width="22.42578125" style="2" bestFit="1" customWidth="1"/>
    <col min="2308" max="2308" width="25.42578125" style="2" customWidth="1"/>
    <col min="2309" max="2309" width="14.5703125" style="2" customWidth="1"/>
    <col min="2310" max="2310" width="11.7109375" style="2" customWidth="1"/>
    <col min="2311" max="2311" width="12.5703125" style="2" customWidth="1"/>
    <col min="2312" max="2312" width="13" style="2" customWidth="1"/>
    <col min="2313" max="2556" width="9.140625" style="2"/>
    <col min="2557" max="2557" width="17.42578125" style="2" customWidth="1"/>
    <col min="2558" max="2559" width="20.85546875" style="2" customWidth="1"/>
    <col min="2560" max="2560" width="26" style="2" bestFit="1" customWidth="1"/>
    <col min="2561" max="2561" width="21.28515625" style="2" bestFit="1" customWidth="1"/>
    <col min="2562" max="2562" width="20.140625" style="2" bestFit="1" customWidth="1"/>
    <col min="2563" max="2563" width="22.42578125" style="2" bestFit="1" customWidth="1"/>
    <col min="2564" max="2564" width="25.42578125" style="2" customWidth="1"/>
    <col min="2565" max="2565" width="14.5703125" style="2" customWidth="1"/>
    <col min="2566" max="2566" width="11.7109375" style="2" customWidth="1"/>
    <col min="2567" max="2567" width="12.5703125" style="2" customWidth="1"/>
    <col min="2568" max="2568" width="13" style="2" customWidth="1"/>
    <col min="2569" max="2812" width="9.140625" style="2"/>
    <col min="2813" max="2813" width="17.42578125" style="2" customWidth="1"/>
    <col min="2814" max="2815" width="20.85546875" style="2" customWidth="1"/>
    <col min="2816" max="2816" width="26" style="2" bestFit="1" customWidth="1"/>
    <col min="2817" max="2817" width="21.28515625" style="2" bestFit="1" customWidth="1"/>
    <col min="2818" max="2818" width="20.140625" style="2" bestFit="1" customWidth="1"/>
    <col min="2819" max="2819" width="22.42578125" style="2" bestFit="1" customWidth="1"/>
    <col min="2820" max="2820" width="25.42578125" style="2" customWidth="1"/>
    <col min="2821" max="2821" width="14.5703125" style="2" customWidth="1"/>
    <col min="2822" max="2822" width="11.7109375" style="2" customWidth="1"/>
    <col min="2823" max="2823" width="12.5703125" style="2" customWidth="1"/>
    <col min="2824" max="2824" width="13" style="2" customWidth="1"/>
    <col min="2825" max="3068" width="9.140625" style="2"/>
    <col min="3069" max="3069" width="17.42578125" style="2" customWidth="1"/>
    <col min="3070" max="3071" width="20.85546875" style="2" customWidth="1"/>
    <col min="3072" max="3072" width="26" style="2" bestFit="1" customWidth="1"/>
    <col min="3073" max="3073" width="21.28515625" style="2" bestFit="1" customWidth="1"/>
    <col min="3074" max="3074" width="20.140625" style="2" bestFit="1" customWidth="1"/>
    <col min="3075" max="3075" width="22.42578125" style="2" bestFit="1" customWidth="1"/>
    <col min="3076" max="3076" width="25.42578125" style="2" customWidth="1"/>
    <col min="3077" max="3077" width="14.5703125" style="2" customWidth="1"/>
    <col min="3078" max="3078" width="11.7109375" style="2" customWidth="1"/>
    <col min="3079" max="3079" width="12.5703125" style="2" customWidth="1"/>
    <col min="3080" max="3080" width="13" style="2" customWidth="1"/>
    <col min="3081" max="3324" width="9.140625" style="2"/>
    <col min="3325" max="3325" width="17.42578125" style="2" customWidth="1"/>
    <col min="3326" max="3327" width="20.85546875" style="2" customWidth="1"/>
    <col min="3328" max="3328" width="26" style="2" bestFit="1" customWidth="1"/>
    <col min="3329" max="3329" width="21.28515625" style="2" bestFit="1" customWidth="1"/>
    <col min="3330" max="3330" width="20.140625" style="2" bestFit="1" customWidth="1"/>
    <col min="3331" max="3331" width="22.42578125" style="2" bestFit="1" customWidth="1"/>
    <col min="3332" max="3332" width="25.42578125" style="2" customWidth="1"/>
    <col min="3333" max="3333" width="14.5703125" style="2" customWidth="1"/>
    <col min="3334" max="3334" width="11.7109375" style="2" customWidth="1"/>
    <col min="3335" max="3335" width="12.5703125" style="2" customWidth="1"/>
    <col min="3336" max="3336" width="13" style="2" customWidth="1"/>
    <col min="3337" max="3580" width="9.140625" style="2"/>
    <col min="3581" max="3581" width="17.42578125" style="2" customWidth="1"/>
    <col min="3582" max="3583" width="20.85546875" style="2" customWidth="1"/>
    <col min="3584" max="3584" width="26" style="2" bestFit="1" customWidth="1"/>
    <col min="3585" max="3585" width="21.28515625" style="2" bestFit="1" customWidth="1"/>
    <col min="3586" max="3586" width="20.140625" style="2" bestFit="1" customWidth="1"/>
    <col min="3587" max="3587" width="22.42578125" style="2" bestFit="1" customWidth="1"/>
    <col min="3588" max="3588" width="25.42578125" style="2" customWidth="1"/>
    <col min="3589" max="3589" width="14.5703125" style="2" customWidth="1"/>
    <col min="3590" max="3590" width="11.7109375" style="2" customWidth="1"/>
    <col min="3591" max="3591" width="12.5703125" style="2" customWidth="1"/>
    <col min="3592" max="3592" width="13" style="2" customWidth="1"/>
    <col min="3593" max="3836" width="9.140625" style="2"/>
    <col min="3837" max="3837" width="17.42578125" style="2" customWidth="1"/>
    <col min="3838" max="3839" width="20.85546875" style="2" customWidth="1"/>
    <col min="3840" max="3840" width="26" style="2" bestFit="1" customWidth="1"/>
    <col min="3841" max="3841" width="21.28515625" style="2" bestFit="1" customWidth="1"/>
    <col min="3842" max="3842" width="20.140625" style="2" bestFit="1" customWidth="1"/>
    <col min="3843" max="3843" width="22.42578125" style="2" bestFit="1" customWidth="1"/>
    <col min="3844" max="3844" width="25.42578125" style="2" customWidth="1"/>
    <col min="3845" max="3845" width="14.5703125" style="2" customWidth="1"/>
    <col min="3846" max="3846" width="11.7109375" style="2" customWidth="1"/>
    <col min="3847" max="3847" width="12.5703125" style="2" customWidth="1"/>
    <col min="3848" max="3848" width="13" style="2" customWidth="1"/>
    <col min="3849" max="4092" width="9.140625" style="2"/>
    <col min="4093" max="4093" width="17.42578125" style="2" customWidth="1"/>
    <col min="4094" max="4095" width="20.85546875" style="2" customWidth="1"/>
    <col min="4096" max="4096" width="26" style="2" bestFit="1" customWidth="1"/>
    <col min="4097" max="4097" width="21.28515625" style="2" bestFit="1" customWidth="1"/>
    <col min="4098" max="4098" width="20.140625" style="2" bestFit="1" customWidth="1"/>
    <col min="4099" max="4099" width="22.42578125" style="2" bestFit="1" customWidth="1"/>
    <col min="4100" max="4100" width="25.42578125" style="2" customWidth="1"/>
    <col min="4101" max="4101" width="14.5703125" style="2" customWidth="1"/>
    <col min="4102" max="4102" width="11.7109375" style="2" customWidth="1"/>
    <col min="4103" max="4103" width="12.5703125" style="2" customWidth="1"/>
    <col min="4104" max="4104" width="13" style="2" customWidth="1"/>
    <col min="4105" max="4348" width="9.140625" style="2"/>
    <col min="4349" max="4349" width="17.42578125" style="2" customWidth="1"/>
    <col min="4350" max="4351" width="20.85546875" style="2" customWidth="1"/>
    <col min="4352" max="4352" width="26" style="2" bestFit="1" customWidth="1"/>
    <col min="4353" max="4353" width="21.28515625" style="2" bestFit="1" customWidth="1"/>
    <col min="4354" max="4354" width="20.140625" style="2" bestFit="1" customWidth="1"/>
    <col min="4355" max="4355" width="22.42578125" style="2" bestFit="1" customWidth="1"/>
    <col min="4356" max="4356" width="25.42578125" style="2" customWidth="1"/>
    <col min="4357" max="4357" width="14.5703125" style="2" customWidth="1"/>
    <col min="4358" max="4358" width="11.7109375" style="2" customWidth="1"/>
    <col min="4359" max="4359" width="12.5703125" style="2" customWidth="1"/>
    <col min="4360" max="4360" width="13" style="2" customWidth="1"/>
    <col min="4361" max="4604" width="9.140625" style="2"/>
    <col min="4605" max="4605" width="17.42578125" style="2" customWidth="1"/>
    <col min="4606" max="4607" width="20.85546875" style="2" customWidth="1"/>
    <col min="4608" max="4608" width="26" style="2" bestFit="1" customWidth="1"/>
    <col min="4609" max="4609" width="21.28515625" style="2" bestFit="1" customWidth="1"/>
    <col min="4610" max="4610" width="20.140625" style="2" bestFit="1" customWidth="1"/>
    <col min="4611" max="4611" width="22.42578125" style="2" bestFit="1" customWidth="1"/>
    <col min="4612" max="4612" width="25.42578125" style="2" customWidth="1"/>
    <col min="4613" max="4613" width="14.5703125" style="2" customWidth="1"/>
    <col min="4614" max="4614" width="11.7109375" style="2" customWidth="1"/>
    <col min="4615" max="4615" width="12.5703125" style="2" customWidth="1"/>
    <col min="4616" max="4616" width="13" style="2" customWidth="1"/>
    <col min="4617" max="4860" width="9.140625" style="2"/>
    <col min="4861" max="4861" width="17.42578125" style="2" customWidth="1"/>
    <col min="4862" max="4863" width="20.85546875" style="2" customWidth="1"/>
    <col min="4864" max="4864" width="26" style="2" bestFit="1" customWidth="1"/>
    <col min="4865" max="4865" width="21.28515625" style="2" bestFit="1" customWidth="1"/>
    <col min="4866" max="4866" width="20.140625" style="2" bestFit="1" customWidth="1"/>
    <col min="4867" max="4867" width="22.42578125" style="2" bestFit="1" customWidth="1"/>
    <col min="4868" max="4868" width="25.42578125" style="2" customWidth="1"/>
    <col min="4869" max="4869" width="14.5703125" style="2" customWidth="1"/>
    <col min="4870" max="4870" width="11.7109375" style="2" customWidth="1"/>
    <col min="4871" max="4871" width="12.5703125" style="2" customWidth="1"/>
    <col min="4872" max="4872" width="13" style="2" customWidth="1"/>
    <col min="4873" max="5116" width="9.140625" style="2"/>
    <col min="5117" max="5117" width="17.42578125" style="2" customWidth="1"/>
    <col min="5118" max="5119" width="20.85546875" style="2" customWidth="1"/>
    <col min="5120" max="5120" width="26" style="2" bestFit="1" customWidth="1"/>
    <col min="5121" max="5121" width="21.28515625" style="2" bestFit="1" customWidth="1"/>
    <col min="5122" max="5122" width="20.140625" style="2" bestFit="1" customWidth="1"/>
    <col min="5123" max="5123" width="22.42578125" style="2" bestFit="1" customWidth="1"/>
    <col min="5124" max="5124" width="25.42578125" style="2" customWidth="1"/>
    <col min="5125" max="5125" width="14.5703125" style="2" customWidth="1"/>
    <col min="5126" max="5126" width="11.7109375" style="2" customWidth="1"/>
    <col min="5127" max="5127" width="12.5703125" style="2" customWidth="1"/>
    <col min="5128" max="5128" width="13" style="2" customWidth="1"/>
    <col min="5129" max="5372" width="9.140625" style="2"/>
    <col min="5373" max="5373" width="17.42578125" style="2" customWidth="1"/>
    <col min="5374" max="5375" width="20.85546875" style="2" customWidth="1"/>
    <col min="5376" max="5376" width="26" style="2" bestFit="1" customWidth="1"/>
    <col min="5377" max="5377" width="21.28515625" style="2" bestFit="1" customWidth="1"/>
    <col min="5378" max="5378" width="20.140625" style="2" bestFit="1" customWidth="1"/>
    <col min="5379" max="5379" width="22.42578125" style="2" bestFit="1" customWidth="1"/>
    <col min="5380" max="5380" width="25.42578125" style="2" customWidth="1"/>
    <col min="5381" max="5381" width="14.5703125" style="2" customWidth="1"/>
    <col min="5382" max="5382" width="11.7109375" style="2" customWidth="1"/>
    <col min="5383" max="5383" width="12.5703125" style="2" customWidth="1"/>
    <col min="5384" max="5384" width="13" style="2" customWidth="1"/>
    <col min="5385" max="5628" width="9.140625" style="2"/>
    <col min="5629" max="5629" width="17.42578125" style="2" customWidth="1"/>
    <col min="5630" max="5631" width="20.85546875" style="2" customWidth="1"/>
    <col min="5632" max="5632" width="26" style="2" bestFit="1" customWidth="1"/>
    <col min="5633" max="5633" width="21.28515625" style="2" bestFit="1" customWidth="1"/>
    <col min="5634" max="5634" width="20.140625" style="2" bestFit="1" customWidth="1"/>
    <col min="5635" max="5635" width="22.42578125" style="2" bestFit="1" customWidth="1"/>
    <col min="5636" max="5636" width="25.42578125" style="2" customWidth="1"/>
    <col min="5637" max="5637" width="14.5703125" style="2" customWidth="1"/>
    <col min="5638" max="5638" width="11.7109375" style="2" customWidth="1"/>
    <col min="5639" max="5639" width="12.5703125" style="2" customWidth="1"/>
    <col min="5640" max="5640" width="13" style="2" customWidth="1"/>
    <col min="5641" max="5884" width="9.140625" style="2"/>
    <col min="5885" max="5885" width="17.42578125" style="2" customWidth="1"/>
    <col min="5886" max="5887" width="20.85546875" style="2" customWidth="1"/>
    <col min="5888" max="5888" width="26" style="2" bestFit="1" customWidth="1"/>
    <col min="5889" max="5889" width="21.28515625" style="2" bestFit="1" customWidth="1"/>
    <col min="5890" max="5890" width="20.140625" style="2" bestFit="1" customWidth="1"/>
    <col min="5891" max="5891" width="22.42578125" style="2" bestFit="1" customWidth="1"/>
    <col min="5892" max="5892" width="25.42578125" style="2" customWidth="1"/>
    <col min="5893" max="5893" width="14.5703125" style="2" customWidth="1"/>
    <col min="5894" max="5894" width="11.7109375" style="2" customWidth="1"/>
    <col min="5895" max="5895" width="12.5703125" style="2" customWidth="1"/>
    <col min="5896" max="5896" width="13" style="2" customWidth="1"/>
    <col min="5897" max="6140" width="9.140625" style="2"/>
    <col min="6141" max="6141" width="17.42578125" style="2" customWidth="1"/>
    <col min="6142" max="6143" width="20.85546875" style="2" customWidth="1"/>
    <col min="6144" max="6144" width="26" style="2" bestFit="1" customWidth="1"/>
    <col min="6145" max="6145" width="21.28515625" style="2" bestFit="1" customWidth="1"/>
    <col min="6146" max="6146" width="20.140625" style="2" bestFit="1" customWidth="1"/>
    <col min="6147" max="6147" width="22.42578125" style="2" bestFit="1" customWidth="1"/>
    <col min="6148" max="6148" width="25.42578125" style="2" customWidth="1"/>
    <col min="6149" max="6149" width="14.5703125" style="2" customWidth="1"/>
    <col min="6150" max="6150" width="11.7109375" style="2" customWidth="1"/>
    <col min="6151" max="6151" width="12.5703125" style="2" customWidth="1"/>
    <col min="6152" max="6152" width="13" style="2" customWidth="1"/>
    <col min="6153" max="6396" width="9.140625" style="2"/>
    <col min="6397" max="6397" width="17.42578125" style="2" customWidth="1"/>
    <col min="6398" max="6399" width="20.85546875" style="2" customWidth="1"/>
    <col min="6400" max="6400" width="26" style="2" bestFit="1" customWidth="1"/>
    <col min="6401" max="6401" width="21.28515625" style="2" bestFit="1" customWidth="1"/>
    <col min="6402" max="6402" width="20.140625" style="2" bestFit="1" customWidth="1"/>
    <col min="6403" max="6403" width="22.42578125" style="2" bestFit="1" customWidth="1"/>
    <col min="6404" max="6404" width="25.42578125" style="2" customWidth="1"/>
    <col min="6405" max="6405" width="14.5703125" style="2" customWidth="1"/>
    <col min="6406" max="6406" width="11.7109375" style="2" customWidth="1"/>
    <col min="6407" max="6407" width="12.5703125" style="2" customWidth="1"/>
    <col min="6408" max="6408" width="13" style="2" customWidth="1"/>
    <col min="6409" max="6652" width="9.140625" style="2"/>
    <col min="6653" max="6653" width="17.42578125" style="2" customWidth="1"/>
    <col min="6654" max="6655" width="20.85546875" style="2" customWidth="1"/>
    <col min="6656" max="6656" width="26" style="2" bestFit="1" customWidth="1"/>
    <col min="6657" max="6657" width="21.28515625" style="2" bestFit="1" customWidth="1"/>
    <col min="6658" max="6658" width="20.140625" style="2" bestFit="1" customWidth="1"/>
    <col min="6659" max="6659" width="22.42578125" style="2" bestFit="1" customWidth="1"/>
    <col min="6660" max="6660" width="25.42578125" style="2" customWidth="1"/>
    <col min="6661" max="6661" width="14.5703125" style="2" customWidth="1"/>
    <col min="6662" max="6662" width="11.7109375" style="2" customWidth="1"/>
    <col min="6663" max="6663" width="12.5703125" style="2" customWidth="1"/>
    <col min="6664" max="6664" width="13" style="2" customWidth="1"/>
    <col min="6665" max="6908" width="9.140625" style="2"/>
    <col min="6909" max="6909" width="17.42578125" style="2" customWidth="1"/>
    <col min="6910" max="6911" width="20.85546875" style="2" customWidth="1"/>
    <col min="6912" max="6912" width="26" style="2" bestFit="1" customWidth="1"/>
    <col min="6913" max="6913" width="21.28515625" style="2" bestFit="1" customWidth="1"/>
    <col min="6914" max="6914" width="20.140625" style="2" bestFit="1" customWidth="1"/>
    <col min="6915" max="6915" width="22.42578125" style="2" bestFit="1" customWidth="1"/>
    <col min="6916" max="6916" width="25.42578125" style="2" customWidth="1"/>
    <col min="6917" max="6917" width="14.5703125" style="2" customWidth="1"/>
    <col min="6918" max="6918" width="11.7109375" style="2" customWidth="1"/>
    <col min="6919" max="6919" width="12.5703125" style="2" customWidth="1"/>
    <col min="6920" max="6920" width="13" style="2" customWidth="1"/>
    <col min="6921" max="7164" width="9.140625" style="2"/>
    <col min="7165" max="7165" width="17.42578125" style="2" customWidth="1"/>
    <col min="7166" max="7167" width="20.85546875" style="2" customWidth="1"/>
    <col min="7168" max="7168" width="26" style="2" bestFit="1" customWidth="1"/>
    <col min="7169" max="7169" width="21.28515625" style="2" bestFit="1" customWidth="1"/>
    <col min="7170" max="7170" width="20.140625" style="2" bestFit="1" customWidth="1"/>
    <col min="7171" max="7171" width="22.42578125" style="2" bestFit="1" customWidth="1"/>
    <col min="7172" max="7172" width="25.42578125" style="2" customWidth="1"/>
    <col min="7173" max="7173" width="14.5703125" style="2" customWidth="1"/>
    <col min="7174" max="7174" width="11.7109375" style="2" customWidth="1"/>
    <col min="7175" max="7175" width="12.5703125" style="2" customWidth="1"/>
    <col min="7176" max="7176" width="13" style="2" customWidth="1"/>
    <col min="7177" max="7420" width="9.140625" style="2"/>
    <col min="7421" max="7421" width="17.42578125" style="2" customWidth="1"/>
    <col min="7422" max="7423" width="20.85546875" style="2" customWidth="1"/>
    <col min="7424" max="7424" width="26" style="2" bestFit="1" customWidth="1"/>
    <col min="7425" max="7425" width="21.28515625" style="2" bestFit="1" customWidth="1"/>
    <col min="7426" max="7426" width="20.140625" style="2" bestFit="1" customWidth="1"/>
    <col min="7427" max="7427" width="22.42578125" style="2" bestFit="1" customWidth="1"/>
    <col min="7428" max="7428" width="25.42578125" style="2" customWidth="1"/>
    <col min="7429" max="7429" width="14.5703125" style="2" customWidth="1"/>
    <col min="7430" max="7430" width="11.7109375" style="2" customWidth="1"/>
    <col min="7431" max="7431" width="12.5703125" style="2" customWidth="1"/>
    <col min="7432" max="7432" width="13" style="2" customWidth="1"/>
    <col min="7433" max="7676" width="9.140625" style="2"/>
    <col min="7677" max="7677" width="17.42578125" style="2" customWidth="1"/>
    <col min="7678" max="7679" width="20.85546875" style="2" customWidth="1"/>
    <col min="7680" max="7680" width="26" style="2" bestFit="1" customWidth="1"/>
    <col min="7681" max="7681" width="21.28515625" style="2" bestFit="1" customWidth="1"/>
    <col min="7682" max="7682" width="20.140625" style="2" bestFit="1" customWidth="1"/>
    <col min="7683" max="7683" width="22.42578125" style="2" bestFit="1" customWidth="1"/>
    <col min="7684" max="7684" width="25.42578125" style="2" customWidth="1"/>
    <col min="7685" max="7685" width="14.5703125" style="2" customWidth="1"/>
    <col min="7686" max="7686" width="11.7109375" style="2" customWidth="1"/>
    <col min="7687" max="7687" width="12.5703125" style="2" customWidth="1"/>
    <col min="7688" max="7688" width="13" style="2" customWidth="1"/>
    <col min="7689" max="7932" width="9.140625" style="2"/>
    <col min="7933" max="7933" width="17.42578125" style="2" customWidth="1"/>
    <col min="7934" max="7935" width="20.85546875" style="2" customWidth="1"/>
    <col min="7936" max="7936" width="26" style="2" bestFit="1" customWidth="1"/>
    <col min="7937" max="7937" width="21.28515625" style="2" bestFit="1" customWidth="1"/>
    <col min="7938" max="7938" width="20.140625" style="2" bestFit="1" customWidth="1"/>
    <col min="7939" max="7939" width="22.42578125" style="2" bestFit="1" customWidth="1"/>
    <col min="7940" max="7940" width="25.42578125" style="2" customWidth="1"/>
    <col min="7941" max="7941" width="14.5703125" style="2" customWidth="1"/>
    <col min="7942" max="7942" width="11.7109375" style="2" customWidth="1"/>
    <col min="7943" max="7943" width="12.5703125" style="2" customWidth="1"/>
    <col min="7944" max="7944" width="13" style="2" customWidth="1"/>
    <col min="7945" max="8188" width="9.140625" style="2"/>
    <col min="8189" max="8189" width="17.42578125" style="2" customWidth="1"/>
    <col min="8190" max="8191" width="20.85546875" style="2" customWidth="1"/>
    <col min="8192" max="8192" width="26" style="2" bestFit="1" customWidth="1"/>
    <col min="8193" max="8193" width="21.28515625" style="2" bestFit="1" customWidth="1"/>
    <col min="8194" max="8194" width="20.140625" style="2" bestFit="1" customWidth="1"/>
    <col min="8195" max="8195" width="22.42578125" style="2" bestFit="1" customWidth="1"/>
    <col min="8196" max="8196" width="25.42578125" style="2" customWidth="1"/>
    <col min="8197" max="8197" width="14.5703125" style="2" customWidth="1"/>
    <col min="8198" max="8198" width="11.7109375" style="2" customWidth="1"/>
    <col min="8199" max="8199" width="12.5703125" style="2" customWidth="1"/>
    <col min="8200" max="8200" width="13" style="2" customWidth="1"/>
    <col min="8201" max="8444" width="9.140625" style="2"/>
    <col min="8445" max="8445" width="17.42578125" style="2" customWidth="1"/>
    <col min="8446" max="8447" width="20.85546875" style="2" customWidth="1"/>
    <col min="8448" max="8448" width="26" style="2" bestFit="1" customWidth="1"/>
    <col min="8449" max="8449" width="21.28515625" style="2" bestFit="1" customWidth="1"/>
    <col min="8450" max="8450" width="20.140625" style="2" bestFit="1" customWidth="1"/>
    <col min="8451" max="8451" width="22.42578125" style="2" bestFit="1" customWidth="1"/>
    <col min="8452" max="8452" width="25.42578125" style="2" customWidth="1"/>
    <col min="8453" max="8453" width="14.5703125" style="2" customWidth="1"/>
    <col min="8454" max="8454" width="11.7109375" style="2" customWidth="1"/>
    <col min="8455" max="8455" width="12.5703125" style="2" customWidth="1"/>
    <col min="8456" max="8456" width="13" style="2" customWidth="1"/>
    <col min="8457" max="8700" width="9.140625" style="2"/>
    <col min="8701" max="8701" width="17.42578125" style="2" customWidth="1"/>
    <col min="8702" max="8703" width="20.85546875" style="2" customWidth="1"/>
    <col min="8704" max="8704" width="26" style="2" bestFit="1" customWidth="1"/>
    <col min="8705" max="8705" width="21.28515625" style="2" bestFit="1" customWidth="1"/>
    <col min="8706" max="8706" width="20.140625" style="2" bestFit="1" customWidth="1"/>
    <col min="8707" max="8707" width="22.42578125" style="2" bestFit="1" customWidth="1"/>
    <col min="8708" max="8708" width="25.42578125" style="2" customWidth="1"/>
    <col min="8709" max="8709" width="14.5703125" style="2" customWidth="1"/>
    <col min="8710" max="8710" width="11.7109375" style="2" customWidth="1"/>
    <col min="8711" max="8711" width="12.5703125" style="2" customWidth="1"/>
    <col min="8712" max="8712" width="13" style="2" customWidth="1"/>
    <col min="8713" max="8956" width="9.140625" style="2"/>
    <col min="8957" max="8957" width="17.42578125" style="2" customWidth="1"/>
    <col min="8958" max="8959" width="20.85546875" style="2" customWidth="1"/>
    <col min="8960" max="8960" width="26" style="2" bestFit="1" customWidth="1"/>
    <col min="8961" max="8961" width="21.28515625" style="2" bestFit="1" customWidth="1"/>
    <col min="8962" max="8962" width="20.140625" style="2" bestFit="1" customWidth="1"/>
    <col min="8963" max="8963" width="22.42578125" style="2" bestFit="1" customWidth="1"/>
    <col min="8964" max="8964" width="25.42578125" style="2" customWidth="1"/>
    <col min="8965" max="8965" width="14.5703125" style="2" customWidth="1"/>
    <col min="8966" max="8966" width="11.7109375" style="2" customWidth="1"/>
    <col min="8967" max="8967" width="12.5703125" style="2" customWidth="1"/>
    <col min="8968" max="8968" width="13" style="2" customWidth="1"/>
    <col min="8969" max="9212" width="9.140625" style="2"/>
    <col min="9213" max="9213" width="17.42578125" style="2" customWidth="1"/>
    <col min="9214" max="9215" width="20.85546875" style="2" customWidth="1"/>
    <col min="9216" max="9216" width="26" style="2" bestFit="1" customWidth="1"/>
    <col min="9217" max="9217" width="21.28515625" style="2" bestFit="1" customWidth="1"/>
    <col min="9218" max="9218" width="20.140625" style="2" bestFit="1" customWidth="1"/>
    <col min="9219" max="9219" width="22.42578125" style="2" bestFit="1" customWidth="1"/>
    <col min="9220" max="9220" width="25.42578125" style="2" customWidth="1"/>
    <col min="9221" max="9221" width="14.5703125" style="2" customWidth="1"/>
    <col min="9222" max="9222" width="11.7109375" style="2" customWidth="1"/>
    <col min="9223" max="9223" width="12.5703125" style="2" customWidth="1"/>
    <col min="9224" max="9224" width="13" style="2" customWidth="1"/>
    <col min="9225" max="9468" width="9.140625" style="2"/>
    <col min="9469" max="9469" width="17.42578125" style="2" customWidth="1"/>
    <col min="9470" max="9471" width="20.85546875" style="2" customWidth="1"/>
    <col min="9472" max="9472" width="26" style="2" bestFit="1" customWidth="1"/>
    <col min="9473" max="9473" width="21.28515625" style="2" bestFit="1" customWidth="1"/>
    <col min="9474" max="9474" width="20.140625" style="2" bestFit="1" customWidth="1"/>
    <col min="9475" max="9475" width="22.42578125" style="2" bestFit="1" customWidth="1"/>
    <col min="9476" max="9476" width="25.42578125" style="2" customWidth="1"/>
    <col min="9477" max="9477" width="14.5703125" style="2" customWidth="1"/>
    <col min="9478" max="9478" width="11.7109375" style="2" customWidth="1"/>
    <col min="9479" max="9479" width="12.5703125" style="2" customWidth="1"/>
    <col min="9480" max="9480" width="13" style="2" customWidth="1"/>
    <col min="9481" max="9724" width="9.140625" style="2"/>
    <col min="9725" max="9725" width="17.42578125" style="2" customWidth="1"/>
    <col min="9726" max="9727" width="20.85546875" style="2" customWidth="1"/>
    <col min="9728" max="9728" width="26" style="2" bestFit="1" customWidth="1"/>
    <col min="9729" max="9729" width="21.28515625" style="2" bestFit="1" customWidth="1"/>
    <col min="9730" max="9730" width="20.140625" style="2" bestFit="1" customWidth="1"/>
    <col min="9731" max="9731" width="22.42578125" style="2" bestFit="1" customWidth="1"/>
    <col min="9732" max="9732" width="25.42578125" style="2" customWidth="1"/>
    <col min="9733" max="9733" width="14.5703125" style="2" customWidth="1"/>
    <col min="9734" max="9734" width="11.7109375" style="2" customWidth="1"/>
    <col min="9735" max="9735" width="12.5703125" style="2" customWidth="1"/>
    <col min="9736" max="9736" width="13" style="2" customWidth="1"/>
    <col min="9737" max="9980" width="9.140625" style="2"/>
    <col min="9981" max="9981" width="17.42578125" style="2" customWidth="1"/>
    <col min="9982" max="9983" width="20.85546875" style="2" customWidth="1"/>
    <col min="9984" max="9984" width="26" style="2" bestFit="1" customWidth="1"/>
    <col min="9985" max="9985" width="21.28515625" style="2" bestFit="1" customWidth="1"/>
    <col min="9986" max="9986" width="20.140625" style="2" bestFit="1" customWidth="1"/>
    <col min="9987" max="9987" width="22.42578125" style="2" bestFit="1" customWidth="1"/>
    <col min="9988" max="9988" width="25.42578125" style="2" customWidth="1"/>
    <col min="9989" max="9989" width="14.5703125" style="2" customWidth="1"/>
    <col min="9990" max="9990" width="11.7109375" style="2" customWidth="1"/>
    <col min="9991" max="9991" width="12.5703125" style="2" customWidth="1"/>
    <col min="9992" max="9992" width="13" style="2" customWidth="1"/>
    <col min="9993" max="10236" width="9.140625" style="2"/>
    <col min="10237" max="10237" width="17.42578125" style="2" customWidth="1"/>
    <col min="10238" max="10239" width="20.85546875" style="2" customWidth="1"/>
    <col min="10240" max="10240" width="26" style="2" bestFit="1" customWidth="1"/>
    <col min="10241" max="10241" width="21.28515625" style="2" bestFit="1" customWidth="1"/>
    <col min="10242" max="10242" width="20.140625" style="2" bestFit="1" customWidth="1"/>
    <col min="10243" max="10243" width="22.42578125" style="2" bestFit="1" customWidth="1"/>
    <col min="10244" max="10244" width="25.42578125" style="2" customWidth="1"/>
    <col min="10245" max="10245" width="14.5703125" style="2" customWidth="1"/>
    <col min="10246" max="10246" width="11.7109375" style="2" customWidth="1"/>
    <col min="10247" max="10247" width="12.5703125" style="2" customWidth="1"/>
    <col min="10248" max="10248" width="13" style="2" customWidth="1"/>
    <col min="10249" max="10492" width="9.140625" style="2"/>
    <col min="10493" max="10493" width="17.42578125" style="2" customWidth="1"/>
    <col min="10494" max="10495" width="20.85546875" style="2" customWidth="1"/>
    <col min="10496" max="10496" width="26" style="2" bestFit="1" customWidth="1"/>
    <col min="10497" max="10497" width="21.28515625" style="2" bestFit="1" customWidth="1"/>
    <col min="10498" max="10498" width="20.140625" style="2" bestFit="1" customWidth="1"/>
    <col min="10499" max="10499" width="22.42578125" style="2" bestFit="1" customWidth="1"/>
    <col min="10500" max="10500" width="25.42578125" style="2" customWidth="1"/>
    <col min="10501" max="10501" width="14.5703125" style="2" customWidth="1"/>
    <col min="10502" max="10502" width="11.7109375" style="2" customWidth="1"/>
    <col min="10503" max="10503" width="12.5703125" style="2" customWidth="1"/>
    <col min="10504" max="10504" width="13" style="2" customWidth="1"/>
    <col min="10505" max="10748" width="9.140625" style="2"/>
    <col min="10749" max="10749" width="17.42578125" style="2" customWidth="1"/>
    <col min="10750" max="10751" width="20.85546875" style="2" customWidth="1"/>
    <col min="10752" max="10752" width="26" style="2" bestFit="1" customWidth="1"/>
    <col min="10753" max="10753" width="21.28515625" style="2" bestFit="1" customWidth="1"/>
    <col min="10754" max="10754" width="20.140625" style="2" bestFit="1" customWidth="1"/>
    <col min="10755" max="10755" width="22.42578125" style="2" bestFit="1" customWidth="1"/>
    <col min="10756" max="10756" width="25.42578125" style="2" customWidth="1"/>
    <col min="10757" max="10757" width="14.5703125" style="2" customWidth="1"/>
    <col min="10758" max="10758" width="11.7109375" style="2" customWidth="1"/>
    <col min="10759" max="10759" width="12.5703125" style="2" customWidth="1"/>
    <col min="10760" max="10760" width="13" style="2" customWidth="1"/>
    <col min="10761" max="11004" width="9.140625" style="2"/>
    <col min="11005" max="11005" width="17.42578125" style="2" customWidth="1"/>
    <col min="11006" max="11007" width="20.85546875" style="2" customWidth="1"/>
    <col min="11008" max="11008" width="26" style="2" bestFit="1" customWidth="1"/>
    <col min="11009" max="11009" width="21.28515625" style="2" bestFit="1" customWidth="1"/>
    <col min="11010" max="11010" width="20.140625" style="2" bestFit="1" customWidth="1"/>
    <col min="11011" max="11011" width="22.42578125" style="2" bestFit="1" customWidth="1"/>
    <col min="11012" max="11012" width="25.42578125" style="2" customWidth="1"/>
    <col min="11013" max="11013" width="14.5703125" style="2" customWidth="1"/>
    <col min="11014" max="11014" width="11.7109375" style="2" customWidth="1"/>
    <col min="11015" max="11015" width="12.5703125" style="2" customWidth="1"/>
    <col min="11016" max="11016" width="13" style="2" customWidth="1"/>
    <col min="11017" max="11260" width="9.140625" style="2"/>
    <col min="11261" max="11261" width="17.42578125" style="2" customWidth="1"/>
    <col min="11262" max="11263" width="20.85546875" style="2" customWidth="1"/>
    <col min="11264" max="11264" width="26" style="2" bestFit="1" customWidth="1"/>
    <col min="11265" max="11265" width="21.28515625" style="2" bestFit="1" customWidth="1"/>
    <col min="11266" max="11266" width="20.140625" style="2" bestFit="1" customWidth="1"/>
    <col min="11267" max="11267" width="22.42578125" style="2" bestFit="1" customWidth="1"/>
    <col min="11268" max="11268" width="25.42578125" style="2" customWidth="1"/>
    <col min="11269" max="11269" width="14.5703125" style="2" customWidth="1"/>
    <col min="11270" max="11270" width="11.7109375" style="2" customWidth="1"/>
    <col min="11271" max="11271" width="12.5703125" style="2" customWidth="1"/>
    <col min="11272" max="11272" width="13" style="2" customWidth="1"/>
    <col min="11273" max="11516" width="9.140625" style="2"/>
    <col min="11517" max="11517" width="17.42578125" style="2" customWidth="1"/>
    <col min="11518" max="11519" width="20.85546875" style="2" customWidth="1"/>
    <col min="11520" max="11520" width="26" style="2" bestFit="1" customWidth="1"/>
    <col min="11521" max="11521" width="21.28515625" style="2" bestFit="1" customWidth="1"/>
    <col min="11522" max="11522" width="20.140625" style="2" bestFit="1" customWidth="1"/>
    <col min="11523" max="11523" width="22.42578125" style="2" bestFit="1" customWidth="1"/>
    <col min="11524" max="11524" width="25.42578125" style="2" customWidth="1"/>
    <col min="11525" max="11525" width="14.5703125" style="2" customWidth="1"/>
    <col min="11526" max="11526" width="11.7109375" style="2" customWidth="1"/>
    <col min="11527" max="11527" width="12.5703125" style="2" customWidth="1"/>
    <col min="11528" max="11528" width="13" style="2" customWidth="1"/>
    <col min="11529" max="11772" width="9.140625" style="2"/>
    <col min="11773" max="11773" width="17.42578125" style="2" customWidth="1"/>
    <col min="11774" max="11775" width="20.85546875" style="2" customWidth="1"/>
    <col min="11776" max="11776" width="26" style="2" bestFit="1" customWidth="1"/>
    <col min="11777" max="11777" width="21.28515625" style="2" bestFit="1" customWidth="1"/>
    <col min="11778" max="11778" width="20.140625" style="2" bestFit="1" customWidth="1"/>
    <col min="11779" max="11779" width="22.42578125" style="2" bestFit="1" customWidth="1"/>
    <col min="11780" max="11780" width="25.42578125" style="2" customWidth="1"/>
    <col min="11781" max="11781" width="14.5703125" style="2" customWidth="1"/>
    <col min="11782" max="11782" width="11.7109375" style="2" customWidth="1"/>
    <col min="11783" max="11783" width="12.5703125" style="2" customWidth="1"/>
    <col min="11784" max="11784" width="13" style="2" customWidth="1"/>
    <col min="11785" max="12028" width="9.140625" style="2"/>
    <col min="12029" max="12029" width="17.42578125" style="2" customWidth="1"/>
    <col min="12030" max="12031" width="20.85546875" style="2" customWidth="1"/>
    <col min="12032" max="12032" width="26" style="2" bestFit="1" customWidth="1"/>
    <col min="12033" max="12033" width="21.28515625" style="2" bestFit="1" customWidth="1"/>
    <col min="12034" max="12034" width="20.140625" style="2" bestFit="1" customWidth="1"/>
    <col min="12035" max="12035" width="22.42578125" style="2" bestFit="1" customWidth="1"/>
    <col min="12036" max="12036" width="25.42578125" style="2" customWidth="1"/>
    <col min="12037" max="12037" width="14.5703125" style="2" customWidth="1"/>
    <col min="12038" max="12038" width="11.7109375" style="2" customWidth="1"/>
    <col min="12039" max="12039" width="12.5703125" style="2" customWidth="1"/>
    <col min="12040" max="12040" width="13" style="2" customWidth="1"/>
    <col min="12041" max="12284" width="9.140625" style="2"/>
    <col min="12285" max="12285" width="17.42578125" style="2" customWidth="1"/>
    <col min="12286" max="12287" width="20.85546875" style="2" customWidth="1"/>
    <col min="12288" max="12288" width="26" style="2" bestFit="1" customWidth="1"/>
    <col min="12289" max="12289" width="21.28515625" style="2" bestFit="1" customWidth="1"/>
    <col min="12290" max="12290" width="20.140625" style="2" bestFit="1" customWidth="1"/>
    <col min="12291" max="12291" width="22.42578125" style="2" bestFit="1" customWidth="1"/>
    <col min="12292" max="12292" width="25.42578125" style="2" customWidth="1"/>
    <col min="12293" max="12293" width="14.5703125" style="2" customWidth="1"/>
    <col min="12294" max="12294" width="11.7109375" style="2" customWidth="1"/>
    <col min="12295" max="12295" width="12.5703125" style="2" customWidth="1"/>
    <col min="12296" max="12296" width="13" style="2" customWidth="1"/>
    <col min="12297" max="12540" width="9.140625" style="2"/>
    <col min="12541" max="12541" width="17.42578125" style="2" customWidth="1"/>
    <col min="12542" max="12543" width="20.85546875" style="2" customWidth="1"/>
    <col min="12544" max="12544" width="26" style="2" bestFit="1" customWidth="1"/>
    <col min="12545" max="12545" width="21.28515625" style="2" bestFit="1" customWidth="1"/>
    <col min="12546" max="12546" width="20.140625" style="2" bestFit="1" customWidth="1"/>
    <col min="12547" max="12547" width="22.42578125" style="2" bestFit="1" customWidth="1"/>
    <col min="12548" max="12548" width="25.42578125" style="2" customWidth="1"/>
    <col min="12549" max="12549" width="14.5703125" style="2" customWidth="1"/>
    <col min="12550" max="12550" width="11.7109375" style="2" customWidth="1"/>
    <col min="12551" max="12551" width="12.5703125" style="2" customWidth="1"/>
    <col min="12552" max="12552" width="13" style="2" customWidth="1"/>
    <col min="12553" max="12796" width="9.140625" style="2"/>
    <col min="12797" max="12797" width="17.42578125" style="2" customWidth="1"/>
    <col min="12798" max="12799" width="20.85546875" style="2" customWidth="1"/>
    <col min="12800" max="12800" width="26" style="2" bestFit="1" customWidth="1"/>
    <col min="12801" max="12801" width="21.28515625" style="2" bestFit="1" customWidth="1"/>
    <col min="12802" max="12802" width="20.140625" style="2" bestFit="1" customWidth="1"/>
    <col min="12803" max="12803" width="22.42578125" style="2" bestFit="1" customWidth="1"/>
    <col min="12804" max="12804" width="25.42578125" style="2" customWidth="1"/>
    <col min="12805" max="12805" width="14.5703125" style="2" customWidth="1"/>
    <col min="12806" max="12806" width="11.7109375" style="2" customWidth="1"/>
    <col min="12807" max="12807" width="12.5703125" style="2" customWidth="1"/>
    <col min="12808" max="12808" width="13" style="2" customWidth="1"/>
    <col min="12809" max="13052" width="9.140625" style="2"/>
    <col min="13053" max="13053" width="17.42578125" style="2" customWidth="1"/>
    <col min="13054" max="13055" width="20.85546875" style="2" customWidth="1"/>
    <col min="13056" max="13056" width="26" style="2" bestFit="1" customWidth="1"/>
    <col min="13057" max="13057" width="21.28515625" style="2" bestFit="1" customWidth="1"/>
    <col min="13058" max="13058" width="20.140625" style="2" bestFit="1" customWidth="1"/>
    <col min="13059" max="13059" width="22.42578125" style="2" bestFit="1" customWidth="1"/>
    <col min="13060" max="13060" width="25.42578125" style="2" customWidth="1"/>
    <col min="13061" max="13061" width="14.5703125" style="2" customWidth="1"/>
    <col min="13062" max="13062" width="11.7109375" style="2" customWidth="1"/>
    <col min="13063" max="13063" width="12.5703125" style="2" customWidth="1"/>
    <col min="13064" max="13064" width="13" style="2" customWidth="1"/>
    <col min="13065" max="13308" width="9.140625" style="2"/>
    <col min="13309" max="13309" width="17.42578125" style="2" customWidth="1"/>
    <col min="13310" max="13311" width="20.85546875" style="2" customWidth="1"/>
    <col min="13312" max="13312" width="26" style="2" bestFit="1" customWidth="1"/>
    <col min="13313" max="13313" width="21.28515625" style="2" bestFit="1" customWidth="1"/>
    <col min="13314" max="13314" width="20.140625" style="2" bestFit="1" customWidth="1"/>
    <col min="13315" max="13315" width="22.42578125" style="2" bestFit="1" customWidth="1"/>
    <col min="13316" max="13316" width="25.42578125" style="2" customWidth="1"/>
    <col min="13317" max="13317" width="14.5703125" style="2" customWidth="1"/>
    <col min="13318" max="13318" width="11.7109375" style="2" customWidth="1"/>
    <col min="13319" max="13319" width="12.5703125" style="2" customWidth="1"/>
    <col min="13320" max="13320" width="13" style="2" customWidth="1"/>
    <col min="13321" max="13564" width="9.140625" style="2"/>
    <col min="13565" max="13565" width="17.42578125" style="2" customWidth="1"/>
    <col min="13566" max="13567" width="20.85546875" style="2" customWidth="1"/>
    <col min="13568" max="13568" width="26" style="2" bestFit="1" customWidth="1"/>
    <col min="13569" max="13569" width="21.28515625" style="2" bestFit="1" customWidth="1"/>
    <col min="13570" max="13570" width="20.140625" style="2" bestFit="1" customWidth="1"/>
    <col min="13571" max="13571" width="22.42578125" style="2" bestFit="1" customWidth="1"/>
    <col min="13572" max="13572" width="25.42578125" style="2" customWidth="1"/>
    <col min="13573" max="13573" width="14.5703125" style="2" customWidth="1"/>
    <col min="13574" max="13574" width="11.7109375" style="2" customWidth="1"/>
    <col min="13575" max="13575" width="12.5703125" style="2" customWidth="1"/>
    <col min="13576" max="13576" width="13" style="2" customWidth="1"/>
    <col min="13577" max="13820" width="9.140625" style="2"/>
    <col min="13821" max="13821" width="17.42578125" style="2" customWidth="1"/>
    <col min="13822" max="13823" width="20.85546875" style="2" customWidth="1"/>
    <col min="13824" max="13824" width="26" style="2" bestFit="1" customWidth="1"/>
    <col min="13825" max="13825" width="21.28515625" style="2" bestFit="1" customWidth="1"/>
    <col min="13826" max="13826" width="20.140625" style="2" bestFit="1" customWidth="1"/>
    <col min="13827" max="13827" width="22.42578125" style="2" bestFit="1" customWidth="1"/>
    <col min="13828" max="13828" width="25.42578125" style="2" customWidth="1"/>
    <col min="13829" max="13829" width="14.5703125" style="2" customWidth="1"/>
    <col min="13830" max="13830" width="11.7109375" style="2" customWidth="1"/>
    <col min="13831" max="13831" width="12.5703125" style="2" customWidth="1"/>
    <col min="13832" max="13832" width="13" style="2" customWidth="1"/>
    <col min="13833" max="14076" width="9.140625" style="2"/>
    <col min="14077" max="14077" width="17.42578125" style="2" customWidth="1"/>
    <col min="14078" max="14079" width="20.85546875" style="2" customWidth="1"/>
    <col min="14080" max="14080" width="26" style="2" bestFit="1" customWidth="1"/>
    <col min="14081" max="14081" width="21.28515625" style="2" bestFit="1" customWidth="1"/>
    <col min="14082" max="14082" width="20.140625" style="2" bestFit="1" customWidth="1"/>
    <col min="14083" max="14083" width="22.42578125" style="2" bestFit="1" customWidth="1"/>
    <col min="14084" max="14084" width="25.42578125" style="2" customWidth="1"/>
    <col min="14085" max="14085" width="14.5703125" style="2" customWidth="1"/>
    <col min="14086" max="14086" width="11.7109375" style="2" customWidth="1"/>
    <col min="14087" max="14087" width="12.5703125" style="2" customWidth="1"/>
    <col min="14088" max="14088" width="13" style="2" customWidth="1"/>
    <col min="14089" max="14332" width="9.140625" style="2"/>
    <col min="14333" max="14333" width="17.42578125" style="2" customWidth="1"/>
    <col min="14334" max="14335" width="20.85546875" style="2" customWidth="1"/>
    <col min="14336" max="14336" width="26" style="2" bestFit="1" customWidth="1"/>
    <col min="14337" max="14337" width="21.28515625" style="2" bestFit="1" customWidth="1"/>
    <col min="14338" max="14338" width="20.140625" style="2" bestFit="1" customWidth="1"/>
    <col min="14339" max="14339" width="22.42578125" style="2" bestFit="1" customWidth="1"/>
    <col min="14340" max="14340" width="25.42578125" style="2" customWidth="1"/>
    <col min="14341" max="14341" width="14.5703125" style="2" customWidth="1"/>
    <col min="14342" max="14342" width="11.7109375" style="2" customWidth="1"/>
    <col min="14343" max="14343" width="12.5703125" style="2" customWidth="1"/>
    <col min="14344" max="14344" width="13" style="2" customWidth="1"/>
    <col min="14345" max="14588" width="9.140625" style="2"/>
    <col min="14589" max="14589" width="17.42578125" style="2" customWidth="1"/>
    <col min="14590" max="14591" width="20.85546875" style="2" customWidth="1"/>
    <col min="14592" max="14592" width="26" style="2" bestFit="1" customWidth="1"/>
    <col min="14593" max="14593" width="21.28515625" style="2" bestFit="1" customWidth="1"/>
    <col min="14594" max="14594" width="20.140625" style="2" bestFit="1" customWidth="1"/>
    <col min="14595" max="14595" width="22.42578125" style="2" bestFit="1" customWidth="1"/>
    <col min="14596" max="14596" width="25.42578125" style="2" customWidth="1"/>
    <col min="14597" max="14597" width="14.5703125" style="2" customWidth="1"/>
    <col min="14598" max="14598" width="11.7109375" style="2" customWidth="1"/>
    <col min="14599" max="14599" width="12.5703125" style="2" customWidth="1"/>
    <col min="14600" max="14600" width="13" style="2" customWidth="1"/>
    <col min="14601" max="14844" width="9.140625" style="2"/>
    <col min="14845" max="14845" width="17.42578125" style="2" customWidth="1"/>
    <col min="14846" max="14847" width="20.85546875" style="2" customWidth="1"/>
    <col min="14848" max="14848" width="26" style="2" bestFit="1" customWidth="1"/>
    <col min="14849" max="14849" width="21.28515625" style="2" bestFit="1" customWidth="1"/>
    <col min="14850" max="14850" width="20.140625" style="2" bestFit="1" customWidth="1"/>
    <col min="14851" max="14851" width="22.42578125" style="2" bestFit="1" customWidth="1"/>
    <col min="14852" max="14852" width="25.42578125" style="2" customWidth="1"/>
    <col min="14853" max="14853" width="14.5703125" style="2" customWidth="1"/>
    <col min="14854" max="14854" width="11.7109375" style="2" customWidth="1"/>
    <col min="14855" max="14855" width="12.5703125" style="2" customWidth="1"/>
    <col min="14856" max="14856" width="13" style="2" customWidth="1"/>
    <col min="14857" max="15100" width="9.140625" style="2"/>
    <col min="15101" max="15101" width="17.42578125" style="2" customWidth="1"/>
    <col min="15102" max="15103" width="20.85546875" style="2" customWidth="1"/>
    <col min="15104" max="15104" width="26" style="2" bestFit="1" customWidth="1"/>
    <col min="15105" max="15105" width="21.28515625" style="2" bestFit="1" customWidth="1"/>
    <col min="15106" max="15106" width="20.140625" style="2" bestFit="1" customWidth="1"/>
    <col min="15107" max="15107" width="22.42578125" style="2" bestFit="1" customWidth="1"/>
    <col min="15108" max="15108" width="25.42578125" style="2" customWidth="1"/>
    <col min="15109" max="15109" width="14.5703125" style="2" customWidth="1"/>
    <col min="15110" max="15110" width="11.7109375" style="2" customWidth="1"/>
    <col min="15111" max="15111" width="12.5703125" style="2" customWidth="1"/>
    <col min="15112" max="15112" width="13" style="2" customWidth="1"/>
    <col min="15113" max="15356" width="9.140625" style="2"/>
    <col min="15357" max="15357" width="17.42578125" style="2" customWidth="1"/>
    <col min="15358" max="15359" width="20.85546875" style="2" customWidth="1"/>
    <col min="15360" max="15360" width="26" style="2" bestFit="1" customWidth="1"/>
    <col min="15361" max="15361" width="21.28515625" style="2" bestFit="1" customWidth="1"/>
    <col min="15362" max="15362" width="20.140625" style="2" bestFit="1" customWidth="1"/>
    <col min="15363" max="15363" width="22.42578125" style="2" bestFit="1" customWidth="1"/>
    <col min="15364" max="15364" width="25.42578125" style="2" customWidth="1"/>
    <col min="15365" max="15365" width="14.5703125" style="2" customWidth="1"/>
    <col min="15366" max="15366" width="11.7109375" style="2" customWidth="1"/>
    <col min="15367" max="15367" width="12.5703125" style="2" customWidth="1"/>
    <col min="15368" max="15368" width="13" style="2" customWidth="1"/>
    <col min="15369" max="15612" width="9.140625" style="2"/>
    <col min="15613" max="15613" width="17.42578125" style="2" customWidth="1"/>
    <col min="15614" max="15615" width="20.85546875" style="2" customWidth="1"/>
    <col min="15616" max="15616" width="26" style="2" bestFit="1" customWidth="1"/>
    <col min="15617" max="15617" width="21.28515625" style="2" bestFit="1" customWidth="1"/>
    <col min="15618" max="15618" width="20.140625" style="2" bestFit="1" customWidth="1"/>
    <col min="15619" max="15619" width="22.42578125" style="2" bestFit="1" customWidth="1"/>
    <col min="15620" max="15620" width="25.42578125" style="2" customWidth="1"/>
    <col min="15621" max="15621" width="14.5703125" style="2" customWidth="1"/>
    <col min="15622" max="15622" width="11.7109375" style="2" customWidth="1"/>
    <col min="15623" max="15623" width="12.5703125" style="2" customWidth="1"/>
    <col min="15624" max="15624" width="13" style="2" customWidth="1"/>
    <col min="15625" max="15868" width="9.140625" style="2"/>
    <col min="15869" max="15869" width="17.42578125" style="2" customWidth="1"/>
    <col min="15870" max="15871" width="20.85546875" style="2" customWidth="1"/>
    <col min="15872" max="15872" width="26" style="2" bestFit="1" customWidth="1"/>
    <col min="15873" max="15873" width="21.28515625" style="2" bestFit="1" customWidth="1"/>
    <col min="15874" max="15874" width="20.140625" style="2" bestFit="1" customWidth="1"/>
    <col min="15875" max="15875" width="22.42578125" style="2" bestFit="1" customWidth="1"/>
    <col min="15876" max="15876" width="25.42578125" style="2" customWidth="1"/>
    <col min="15877" max="15877" width="14.5703125" style="2" customWidth="1"/>
    <col min="15878" max="15878" width="11.7109375" style="2" customWidth="1"/>
    <col min="15879" max="15879" width="12.5703125" style="2" customWidth="1"/>
    <col min="15880" max="15880" width="13" style="2" customWidth="1"/>
    <col min="15881" max="16124" width="9.140625" style="2"/>
    <col min="16125" max="16125" width="17.42578125" style="2" customWidth="1"/>
    <col min="16126" max="16127" width="20.85546875" style="2" customWidth="1"/>
    <col min="16128" max="16128" width="26" style="2" bestFit="1" customWidth="1"/>
    <col min="16129" max="16129" width="21.28515625" style="2" bestFit="1" customWidth="1"/>
    <col min="16130" max="16130" width="20.140625" style="2" bestFit="1" customWidth="1"/>
    <col min="16131" max="16131" width="22.42578125" style="2" bestFit="1" customWidth="1"/>
    <col min="16132" max="16132" width="25.42578125" style="2" customWidth="1"/>
    <col min="16133" max="16133" width="14.5703125" style="2" customWidth="1"/>
    <col min="16134" max="16134" width="11.7109375" style="2" customWidth="1"/>
    <col min="16135" max="16135" width="12.5703125" style="2" customWidth="1"/>
    <col min="16136" max="16136" width="13" style="2" customWidth="1"/>
    <col min="16137" max="16384" width="9.140625" style="2"/>
  </cols>
  <sheetData>
    <row r="1" spans="1:11" ht="15" customHeight="1" x14ac:dyDescent="0.2">
      <c r="A1" s="527" t="str">
        <f>Instructions!O3</f>
        <v>p-sbap5-25  •  12/13/23</v>
      </c>
      <c r="B1" s="527"/>
      <c r="C1" s="527"/>
      <c r="D1" s="527"/>
      <c r="E1" s="527"/>
      <c r="F1" s="527"/>
      <c r="G1" s="527"/>
      <c r="H1" s="527"/>
      <c r="I1" s="527"/>
    </row>
    <row r="2" spans="1:11" ht="19.5" thickBot="1" x14ac:dyDescent="0.35">
      <c r="A2" s="525" t="s">
        <v>171</v>
      </c>
      <c r="B2" s="525"/>
      <c r="C2" s="525"/>
      <c r="D2" s="525"/>
      <c r="E2" s="525"/>
      <c r="F2" s="525"/>
      <c r="G2" s="525"/>
      <c r="H2" s="525"/>
      <c r="I2" s="380"/>
    </row>
    <row r="3" spans="1:11" s="152" customFormat="1" ht="60" customHeight="1" x14ac:dyDescent="0.2">
      <c r="A3" s="188"/>
      <c r="B3" s="378" t="s">
        <v>552</v>
      </c>
      <c r="C3" s="378" t="s">
        <v>183</v>
      </c>
      <c r="D3" s="378" t="s">
        <v>184</v>
      </c>
      <c r="E3" s="378" t="s">
        <v>185</v>
      </c>
      <c r="F3" s="378" t="s">
        <v>56</v>
      </c>
      <c r="G3" s="379" t="s">
        <v>57</v>
      </c>
      <c r="H3" s="378" t="s">
        <v>113</v>
      </c>
      <c r="I3" s="378" t="s">
        <v>548</v>
      </c>
      <c r="J3" s="253"/>
    </row>
    <row r="4" spans="1:11" s="133" customFormat="1" ht="15" x14ac:dyDescent="0.25">
      <c r="A4" s="130" t="s">
        <v>58</v>
      </c>
      <c r="B4" s="131" t="s">
        <v>59</v>
      </c>
      <c r="C4" s="131" t="s">
        <v>60</v>
      </c>
      <c r="D4" s="131" t="s">
        <v>61</v>
      </c>
      <c r="E4" s="131" t="s">
        <v>59</v>
      </c>
      <c r="F4" s="131" t="s">
        <v>81</v>
      </c>
      <c r="G4" s="132" t="s">
        <v>80</v>
      </c>
      <c r="H4" s="269" t="s">
        <v>80</v>
      </c>
      <c r="I4" s="326" t="s">
        <v>546</v>
      </c>
      <c r="J4" s="266"/>
    </row>
    <row r="5" spans="1:11" s="152" customFormat="1" ht="12" x14ac:dyDescent="0.2">
      <c r="A5" s="153" t="s">
        <v>28</v>
      </c>
      <c r="B5" s="154">
        <v>0.31</v>
      </c>
      <c r="C5" s="154">
        <v>0.1</v>
      </c>
      <c r="D5" s="154">
        <v>6.6E-3</v>
      </c>
      <c r="E5" s="154">
        <v>0.1</v>
      </c>
      <c r="F5" s="154">
        <f>0.0095+0.00991</f>
        <v>1.941E-2</v>
      </c>
      <c r="G5" s="154">
        <f>0.0000771+0.00991</f>
        <v>9.9871000000000005E-3</v>
      </c>
      <c r="H5" s="258">
        <f>0.0384+0.00991</f>
        <v>4.8309999999999999E-2</v>
      </c>
      <c r="I5" s="218">
        <f>I6</f>
        <v>5.434782608695652E-2</v>
      </c>
      <c r="J5" s="270"/>
      <c r="K5" s="247"/>
    </row>
    <row r="6" spans="1:11" s="152" customFormat="1" ht="15" x14ac:dyDescent="0.25">
      <c r="A6" s="155" t="s">
        <v>29</v>
      </c>
      <c r="B6" s="156">
        <v>0.31</v>
      </c>
      <c r="C6" s="156">
        <f>0.0496+0.0077</f>
        <v>5.7299999999999997E-2</v>
      </c>
      <c r="D6" s="208">
        <f>0.0019+0.0047</f>
        <v>6.6E-3</v>
      </c>
      <c r="E6" s="156">
        <v>0.1</v>
      </c>
      <c r="F6" s="231">
        <f>0.0095+0.00991</f>
        <v>1.941E-2</v>
      </c>
      <c r="G6" s="156">
        <f>G5</f>
        <v>9.9871000000000005E-3</v>
      </c>
      <c r="H6" s="259">
        <f>H5</f>
        <v>4.8309999999999999E-2</v>
      </c>
      <c r="I6" s="219">
        <f>5/(H55/(10^6)*1000)</f>
        <v>5.434782608695652E-2</v>
      </c>
      <c r="J6" s="271"/>
      <c r="K6" s="247"/>
    </row>
    <row r="7" spans="1:11" s="152" customFormat="1" ht="12" x14ac:dyDescent="0.2">
      <c r="A7" s="155" t="s">
        <v>72</v>
      </c>
      <c r="B7" s="156">
        <v>0.31</v>
      </c>
      <c r="C7" s="156">
        <f>0.0479+0.0077</f>
        <v>5.5599999999999997E-2</v>
      </c>
      <c r="D7" s="208">
        <f>D6</f>
        <v>6.6E-3</v>
      </c>
      <c r="E7" s="156">
        <v>0.1</v>
      </c>
      <c r="F7" s="156">
        <f>F6</f>
        <v>1.941E-2</v>
      </c>
      <c r="G7" s="156">
        <f>G5</f>
        <v>9.9871000000000005E-3</v>
      </c>
      <c r="H7" s="259">
        <f>H6</f>
        <v>4.8309999999999999E-2</v>
      </c>
      <c r="I7" s="219">
        <f>I6</f>
        <v>5.434782608695652E-2</v>
      </c>
      <c r="J7" s="270"/>
      <c r="K7" s="247"/>
    </row>
    <row r="8" spans="1:11" s="152" customFormat="1" ht="15" x14ac:dyDescent="0.25">
      <c r="A8" s="155" t="s">
        <v>30</v>
      </c>
      <c r="B8" s="156">
        <v>1.01</v>
      </c>
      <c r="C8" s="156">
        <v>1.01</v>
      </c>
      <c r="D8" s="156">
        <v>0.94</v>
      </c>
      <c r="E8" s="156">
        <v>8.4000000000000005E-2</v>
      </c>
      <c r="F8" s="156">
        <v>5.8799999999999998E-4</v>
      </c>
      <c r="G8" s="156">
        <v>5.8799999999999998E-4</v>
      </c>
      <c r="H8" s="259">
        <v>5.8799999999999998E-4</v>
      </c>
      <c r="I8" s="249">
        <f>(0.1)/(H55/(10^6)*1000)</f>
        <v>1.0869565217391304E-3</v>
      </c>
      <c r="J8" s="271"/>
      <c r="K8" s="247"/>
    </row>
    <row r="9" spans="1:11" s="152" customFormat="1" ht="15" x14ac:dyDescent="0.25">
      <c r="A9" s="155" t="s">
        <v>31</v>
      </c>
      <c r="B9" s="156">
        <v>4.41</v>
      </c>
      <c r="C9" s="156">
        <v>3.2</v>
      </c>
      <c r="D9" s="156">
        <v>0.32</v>
      </c>
      <c r="E9" s="156">
        <v>1.63</v>
      </c>
      <c r="F9" s="156">
        <v>2.21</v>
      </c>
      <c r="G9" s="156">
        <v>4.08</v>
      </c>
      <c r="H9" s="259">
        <v>3.17</v>
      </c>
      <c r="I9" s="250">
        <f>139/(H55/(10^6)*1000)</f>
        <v>1.5108695652173914</v>
      </c>
      <c r="J9" s="271"/>
      <c r="K9" s="247"/>
    </row>
    <row r="10" spans="1:11" s="152" customFormat="1" ht="15" x14ac:dyDescent="0.25">
      <c r="A10" s="155" t="s">
        <v>32</v>
      </c>
      <c r="B10" s="156">
        <f>0.35+0+0.01+0</f>
        <v>0.36</v>
      </c>
      <c r="C10" s="156">
        <v>0.09</v>
      </c>
      <c r="D10" s="156">
        <v>2.0999999999999999E-3</v>
      </c>
      <c r="E10" s="156">
        <f>2.1+0.09+0.69+0.15</f>
        <v>3.03</v>
      </c>
      <c r="F10" s="156">
        <v>2.9600000000000001E-2</v>
      </c>
      <c r="G10" s="156">
        <v>0.11799999999999999</v>
      </c>
      <c r="H10" s="259">
        <v>0.12</v>
      </c>
      <c r="I10" s="251">
        <f>83/(H55/(10^6)*1000)</f>
        <v>0.90217391304347827</v>
      </c>
      <c r="J10" s="271"/>
      <c r="K10" s="247"/>
    </row>
    <row r="11" spans="1:11" s="152" customFormat="1" ht="15" x14ac:dyDescent="0.25">
      <c r="A11" s="155" t="s">
        <v>33</v>
      </c>
      <c r="B11" s="156">
        <v>0.95</v>
      </c>
      <c r="C11" s="156">
        <v>0.85</v>
      </c>
      <c r="D11" s="156">
        <v>8.2000000000000003E-2</v>
      </c>
      <c r="E11" s="156">
        <v>0.99</v>
      </c>
      <c r="F11" s="156">
        <v>3.72</v>
      </c>
      <c r="G11" s="156">
        <v>0.317</v>
      </c>
      <c r="H11" s="259">
        <v>0.38600000000000001</v>
      </c>
      <c r="I11" s="250">
        <f>129/(H55/(10^6)*1000)</f>
        <v>1.4021739130434783</v>
      </c>
      <c r="J11" s="271"/>
      <c r="K11" s="247"/>
    </row>
    <row r="12" spans="1:11" s="152" customFormat="1" ht="12.75" customHeight="1" x14ac:dyDescent="0.2">
      <c r="A12" s="157" t="s">
        <v>88</v>
      </c>
      <c r="B12" s="158"/>
      <c r="C12" s="158"/>
      <c r="D12" s="158"/>
      <c r="E12" s="158"/>
      <c r="F12" s="158"/>
      <c r="G12" s="158"/>
      <c r="H12" s="260" t="s">
        <v>69</v>
      </c>
      <c r="I12" s="159" t="s">
        <v>69</v>
      </c>
      <c r="J12" s="254"/>
    </row>
    <row r="13" spans="1:11" s="152" customFormat="1" ht="13.5" x14ac:dyDescent="0.25">
      <c r="A13" s="153" t="s">
        <v>160</v>
      </c>
      <c r="B13" s="160">
        <f>B53</f>
        <v>163.05402211679217</v>
      </c>
      <c r="C13" s="160">
        <f>B53</f>
        <v>163.05402211679217</v>
      </c>
      <c r="D13" s="160">
        <f>B52</f>
        <v>116.97737173495123</v>
      </c>
      <c r="E13" s="160">
        <f>B54</f>
        <v>154.80872678530486</v>
      </c>
      <c r="F13" s="160">
        <f>B52</f>
        <v>116.97737173495123</v>
      </c>
      <c r="G13" s="160">
        <f>B52</f>
        <v>116.97737173495123</v>
      </c>
      <c r="H13" s="261">
        <f>G13</f>
        <v>116.97737173495123</v>
      </c>
      <c r="I13" s="267">
        <f>B55</f>
        <v>136.0473729695409</v>
      </c>
      <c r="J13" s="255"/>
    </row>
    <row r="14" spans="1:11" s="152" customFormat="1" ht="13.5" x14ac:dyDescent="0.25">
      <c r="A14" s="155" t="s">
        <v>161</v>
      </c>
      <c r="B14" s="161">
        <f>C53</f>
        <v>6.6138732605513324E-3</v>
      </c>
      <c r="C14" s="161">
        <f>C53</f>
        <v>6.6138732605513324E-3</v>
      </c>
      <c r="D14" s="161">
        <f>C52</f>
        <v>2.2046244201837776E-3</v>
      </c>
      <c r="E14" s="161">
        <f>C54</f>
        <v>6.6138732605513324E-3</v>
      </c>
      <c r="F14" s="161">
        <f>C52</f>
        <v>2.2046244201837776E-3</v>
      </c>
      <c r="G14" s="161">
        <f>C52</f>
        <v>2.2046244201837776E-3</v>
      </c>
      <c r="H14" s="262">
        <f t="shared" ref="H14:H15" si="0">G14</f>
        <v>2.2046244201837776E-3</v>
      </c>
      <c r="I14" s="268">
        <f>C55</f>
        <v>6.6138732605513324E-3</v>
      </c>
      <c r="J14" s="256"/>
    </row>
    <row r="15" spans="1:11" s="152" customFormat="1" ht="13.5" x14ac:dyDescent="0.25">
      <c r="A15" s="162" t="s">
        <v>162</v>
      </c>
      <c r="B15" s="163">
        <f>D53</f>
        <v>1.3227746521102665E-3</v>
      </c>
      <c r="C15" s="163">
        <f>D53</f>
        <v>1.3227746521102665E-3</v>
      </c>
      <c r="D15" s="163">
        <f>D52</f>
        <v>2.2046244201837776E-4</v>
      </c>
      <c r="E15" s="163">
        <f>D54</f>
        <v>1.3227746521102665E-3</v>
      </c>
      <c r="F15" s="164">
        <f>D52</f>
        <v>2.2046244201837776E-4</v>
      </c>
      <c r="G15" s="164">
        <f>D52</f>
        <v>2.2046244201837776E-4</v>
      </c>
      <c r="H15" s="164">
        <f t="shared" si="0"/>
        <v>2.2046244201837776E-4</v>
      </c>
      <c r="I15" s="165">
        <f>D55</f>
        <v>1.3227746521102665E-3</v>
      </c>
      <c r="J15" s="256"/>
    </row>
    <row r="16" spans="1:11" s="152" customFormat="1" ht="12.75" customHeight="1" x14ac:dyDescent="0.2">
      <c r="A16" s="272" t="s">
        <v>58</v>
      </c>
      <c r="B16" s="269" t="s">
        <v>59</v>
      </c>
      <c r="C16" s="269" t="s">
        <v>60</v>
      </c>
      <c r="D16" s="269" t="s">
        <v>61</v>
      </c>
      <c r="E16" s="273" t="s">
        <v>86</v>
      </c>
      <c r="F16" s="269" t="s">
        <v>81</v>
      </c>
      <c r="G16" s="269" t="s">
        <v>80</v>
      </c>
      <c r="H16" s="269" t="s">
        <v>80</v>
      </c>
      <c r="I16" s="274" t="s">
        <v>547</v>
      </c>
      <c r="J16" s="257"/>
    </row>
    <row r="17" spans="1:10" s="152" customFormat="1" ht="12" x14ac:dyDescent="0.2">
      <c r="A17" s="166" t="s">
        <v>98</v>
      </c>
      <c r="B17" s="167"/>
      <c r="C17" s="167"/>
      <c r="D17" s="167"/>
      <c r="E17" s="167"/>
      <c r="F17" s="168">
        <v>2.5299999999999998E-5</v>
      </c>
      <c r="G17" s="168">
        <v>4.0000000000000003E-5</v>
      </c>
      <c r="H17" s="168">
        <v>6.6299999999999999E-5</v>
      </c>
      <c r="I17" s="384">
        <f>AVERAGE(F17:H17)*$G$52/$G$55</f>
        <v>1.7783783783783785E-5</v>
      </c>
      <c r="J17" s="257"/>
    </row>
    <row r="18" spans="1:10" s="152" customFormat="1" ht="12" x14ac:dyDescent="0.2">
      <c r="A18" s="169" t="s">
        <v>99</v>
      </c>
      <c r="B18" s="170"/>
      <c r="C18" s="170"/>
      <c r="D18" s="170"/>
      <c r="E18" s="170"/>
      <c r="F18" s="171">
        <v>1.5299999999999999E-5</v>
      </c>
      <c r="G18" s="171">
        <v>3.18E-5</v>
      </c>
      <c r="H18" s="263">
        <v>5.27E-5</v>
      </c>
      <c r="I18" s="377">
        <f t="shared" ref="I18:I41" si="1">AVERAGE(F18:H18)*$G$52/$G$55</f>
        <v>1.3486486486486486E-5</v>
      </c>
      <c r="J18" s="257"/>
    </row>
    <row r="19" spans="1:10" s="152" customFormat="1" ht="12" x14ac:dyDescent="0.2">
      <c r="A19" s="169" t="s">
        <v>97</v>
      </c>
      <c r="B19" s="171">
        <v>3.9100000000000002E-5</v>
      </c>
      <c r="C19" s="171"/>
      <c r="D19" s="171">
        <v>4.3000000000000001E-7</v>
      </c>
      <c r="E19" s="171">
        <v>3.9100000000000002E-5</v>
      </c>
      <c r="F19" s="171">
        <v>6.6299999999999996E-4</v>
      </c>
      <c r="G19" s="171">
        <v>2.6699999999999998E-4</v>
      </c>
      <c r="H19" s="263">
        <v>8.1999999999999998E-4</v>
      </c>
      <c r="I19" s="394">
        <f t="shared" si="1"/>
        <v>2.3648648648648648E-4</v>
      </c>
      <c r="J19" s="257"/>
    </row>
    <row r="20" spans="1:10" s="152" customFormat="1" ht="12.75" customHeight="1" x14ac:dyDescent="0.2">
      <c r="A20" s="169" t="s">
        <v>100</v>
      </c>
      <c r="B20" s="170"/>
      <c r="C20" s="170"/>
      <c r="D20" s="170"/>
      <c r="E20" s="170"/>
      <c r="F20" s="171">
        <v>1.27E-5</v>
      </c>
      <c r="G20" s="171">
        <v>2.6400000000000001E-5</v>
      </c>
      <c r="H20" s="263">
        <v>4.3800000000000001E-5</v>
      </c>
      <c r="I20" s="377">
        <f t="shared" si="1"/>
        <v>1.1202702702702703E-5</v>
      </c>
      <c r="J20" s="257"/>
    </row>
    <row r="21" spans="1:10" s="152" customFormat="1" ht="12" x14ac:dyDescent="0.2">
      <c r="A21" s="172" t="s">
        <v>85</v>
      </c>
      <c r="B21" s="173">
        <v>7.67E-4</v>
      </c>
      <c r="C21" s="173">
        <v>2.5199999999999999E-5</v>
      </c>
      <c r="D21" s="173">
        <v>4.0000000000000003E-5</v>
      </c>
      <c r="E21" s="173">
        <f>B21</f>
        <v>7.67E-4</v>
      </c>
      <c r="F21" s="173">
        <v>2.7899999999999999E-3</v>
      </c>
      <c r="G21" s="173">
        <v>8.3599999999999994E-3</v>
      </c>
      <c r="H21" s="173">
        <v>7.7600000000000004E-3</v>
      </c>
      <c r="I21" s="393">
        <f t="shared" si="1"/>
        <v>2.5554054054054056E-3</v>
      </c>
      <c r="J21" s="257"/>
    </row>
    <row r="22" spans="1:10" s="152" customFormat="1" ht="12" x14ac:dyDescent="0.2">
      <c r="A22" s="174" t="s">
        <v>87</v>
      </c>
      <c r="B22" s="175">
        <v>9.2499999999999999E-5</v>
      </c>
      <c r="C22" s="175">
        <v>7.8800000000000008E-6</v>
      </c>
      <c r="D22" s="175">
        <v>6.3999999999999997E-6</v>
      </c>
      <c r="E22" s="175">
        <f>B22</f>
        <v>9.2499999999999999E-5</v>
      </c>
      <c r="F22" s="175">
        <v>2.63E-3</v>
      </c>
      <c r="G22" s="175">
        <v>5.1399999999999996E-3</v>
      </c>
      <c r="H22" s="175">
        <v>7.7799999999999996E-3</v>
      </c>
      <c r="I22" s="392">
        <f t="shared" si="1"/>
        <v>2.1013513513513508E-3</v>
      </c>
      <c r="J22" s="257"/>
    </row>
    <row r="23" spans="1:10" s="152" customFormat="1" ht="12" x14ac:dyDescent="0.2">
      <c r="A23" s="176" t="s">
        <v>35</v>
      </c>
      <c r="B23" s="170">
        <v>9.3300000000000002E-4</v>
      </c>
      <c r="C23" s="170">
        <v>7.76E-4</v>
      </c>
      <c r="D23" s="170">
        <v>1.2E-5</v>
      </c>
      <c r="E23" s="170">
        <f>B23</f>
        <v>9.3300000000000002E-4</v>
      </c>
      <c r="F23" s="170">
        <v>1.58E-3</v>
      </c>
      <c r="G23" s="170">
        <v>4.4000000000000002E-4</v>
      </c>
      <c r="H23" s="264">
        <v>1.9400000000000001E-3</v>
      </c>
      <c r="I23" s="390">
        <f t="shared" si="1"/>
        <v>5.3513513513513513E-4</v>
      </c>
      <c r="J23" s="257"/>
    </row>
    <row r="24" spans="1:10" s="152" customFormat="1" ht="15" customHeight="1" x14ac:dyDescent="0.2">
      <c r="A24" s="169" t="s">
        <v>102</v>
      </c>
      <c r="B24" s="170"/>
      <c r="C24" s="170"/>
      <c r="D24" s="170"/>
      <c r="E24" s="170"/>
      <c r="F24" s="171"/>
      <c r="G24" s="171">
        <v>2.12E-4</v>
      </c>
      <c r="H24" s="263">
        <v>3.9500000000000003E-6</v>
      </c>
      <c r="I24" s="377">
        <f t="shared" si="1"/>
        <v>4.3773648648648644E-5</v>
      </c>
      <c r="J24" s="257"/>
    </row>
    <row r="25" spans="1:10" s="152" customFormat="1" ht="12" x14ac:dyDescent="0.2">
      <c r="A25" s="169" t="s">
        <v>112</v>
      </c>
      <c r="B25" s="170"/>
      <c r="C25" s="170"/>
      <c r="D25" s="170"/>
      <c r="E25" s="170"/>
      <c r="F25" s="171">
        <v>1.77E-5</v>
      </c>
      <c r="G25" s="171">
        <v>3.6699999999999998E-5</v>
      </c>
      <c r="H25" s="263">
        <v>6.0699999999999998E-5</v>
      </c>
      <c r="I25" s="377">
        <f t="shared" si="1"/>
        <v>1.5554054054054056E-5</v>
      </c>
      <c r="J25" s="257"/>
    </row>
    <row r="26" spans="1:10" s="152" customFormat="1" ht="12" x14ac:dyDescent="0.2">
      <c r="A26" s="177" t="s">
        <v>104</v>
      </c>
      <c r="B26" s="173"/>
      <c r="C26" s="173"/>
      <c r="D26" s="173"/>
      <c r="E26" s="173"/>
      <c r="F26" s="178">
        <v>1.29E-5</v>
      </c>
      <c r="G26" s="178">
        <v>3.04E-5</v>
      </c>
      <c r="H26" s="178">
        <v>4.4400000000000002E-5</v>
      </c>
      <c r="I26" s="385">
        <f t="shared" si="1"/>
        <v>1.1851351351351351E-5</v>
      </c>
      <c r="J26" s="257"/>
    </row>
    <row r="27" spans="1:10" s="152" customFormat="1" ht="15" customHeight="1" x14ac:dyDescent="0.2">
      <c r="A27" s="174" t="s">
        <v>105</v>
      </c>
      <c r="B27" s="175"/>
      <c r="C27" s="175"/>
      <c r="D27" s="175"/>
      <c r="E27" s="175"/>
      <c r="F27" s="175">
        <v>1.3699999999999999E-5</v>
      </c>
      <c r="G27" s="175">
        <v>2.8500000000000002E-5</v>
      </c>
      <c r="H27" s="175">
        <v>4.71E-5</v>
      </c>
      <c r="I27" s="386">
        <f t="shared" si="1"/>
        <v>1.2067567567567568E-5</v>
      </c>
      <c r="J27" s="257"/>
    </row>
    <row r="28" spans="1:10" s="152" customFormat="1" ht="15" customHeight="1" x14ac:dyDescent="0.2">
      <c r="A28" s="176" t="s">
        <v>83</v>
      </c>
      <c r="B28" s="170"/>
      <c r="C28" s="170"/>
      <c r="D28" s="170">
        <v>3.1999999999999999E-5</v>
      </c>
      <c r="E28" s="170"/>
      <c r="F28" s="170">
        <v>2.48E-5</v>
      </c>
      <c r="G28" s="170">
        <v>3.9700000000000003E-5</v>
      </c>
      <c r="H28" s="264">
        <v>1.08E-4</v>
      </c>
      <c r="I28" s="387">
        <f t="shared" si="1"/>
        <v>2.3310810810810808E-5</v>
      </c>
      <c r="J28" s="257"/>
    </row>
    <row r="29" spans="1:10" s="152" customFormat="1" ht="12" x14ac:dyDescent="0.2">
      <c r="A29" s="169" t="s">
        <v>106</v>
      </c>
      <c r="B29" s="170"/>
      <c r="C29" s="170"/>
      <c r="D29" s="170"/>
      <c r="E29" s="170"/>
      <c r="F29" s="171">
        <v>2.1299999999999999E-5</v>
      </c>
      <c r="G29" s="171">
        <v>4.4299999999999999E-5</v>
      </c>
      <c r="H29" s="263">
        <v>7.3399999999999995E-5</v>
      </c>
      <c r="I29" s="377">
        <f t="shared" si="1"/>
        <v>1.8783783783783782E-5</v>
      </c>
      <c r="J29" s="257"/>
    </row>
    <row r="30" spans="1:10" s="152" customFormat="1" ht="12" x14ac:dyDescent="0.2">
      <c r="A30" s="169" t="s">
        <v>36</v>
      </c>
      <c r="B30" s="170">
        <v>1.1800000000000001E-3</v>
      </c>
      <c r="C30" s="170">
        <v>7.8899999999999993E-5</v>
      </c>
      <c r="D30" s="170">
        <v>7.1000000000000002E-4</v>
      </c>
      <c r="E30" s="170">
        <f>B30</f>
        <v>1.1800000000000001E-3</v>
      </c>
      <c r="F30" s="171">
        <v>2.0500000000000001E-2</v>
      </c>
      <c r="G30" s="171">
        <v>5.28E-2</v>
      </c>
      <c r="H30" s="263">
        <v>5.5199999999999999E-2</v>
      </c>
      <c r="I30" s="396">
        <f t="shared" si="1"/>
        <v>1.7364864864864864E-2</v>
      </c>
      <c r="J30" s="257"/>
    </row>
    <row r="31" spans="1:10" s="152" customFormat="1" ht="12" x14ac:dyDescent="0.2">
      <c r="A31" s="177" t="s">
        <v>37</v>
      </c>
      <c r="B31" s="173"/>
      <c r="C31" s="173"/>
      <c r="D31" s="173"/>
      <c r="E31" s="173"/>
      <c r="F31" s="178"/>
      <c r="G31" s="178">
        <v>1.1100000000000001E-3</v>
      </c>
      <c r="H31" s="178">
        <v>4.4499999999999997E-4</v>
      </c>
      <c r="I31" s="395">
        <f t="shared" si="1"/>
        <v>3.1520270270270272E-4</v>
      </c>
      <c r="J31" s="257"/>
    </row>
    <row r="32" spans="1:10" s="152" customFormat="1" ht="12" x14ac:dyDescent="0.2">
      <c r="A32" s="174" t="s">
        <v>103</v>
      </c>
      <c r="B32" s="175"/>
      <c r="C32" s="175"/>
      <c r="D32" s="175"/>
      <c r="E32" s="175"/>
      <c r="F32" s="175">
        <v>3.0599999999999998E-3</v>
      </c>
      <c r="G32" s="175">
        <v>2.5000000000000001E-3</v>
      </c>
      <c r="H32" s="175">
        <v>2.48E-3</v>
      </c>
      <c r="I32" s="391">
        <f t="shared" si="1"/>
        <v>1.0864864864864865E-3</v>
      </c>
      <c r="J32" s="257"/>
    </row>
    <row r="33" spans="1:10" s="152" customFormat="1" ht="12" x14ac:dyDescent="0.2">
      <c r="A33" s="176" t="s">
        <v>107</v>
      </c>
      <c r="B33" s="170"/>
      <c r="C33" s="170"/>
      <c r="D33" s="170"/>
      <c r="E33" s="170"/>
      <c r="F33" s="170">
        <v>4.1199999999999999E-5</v>
      </c>
      <c r="G33" s="170">
        <v>2.0000000000000002E-5</v>
      </c>
      <c r="H33" s="264">
        <v>1.47E-4</v>
      </c>
      <c r="I33" s="387">
        <f t="shared" si="1"/>
        <v>2.8135135135135132E-5</v>
      </c>
      <c r="J33" s="257"/>
    </row>
    <row r="34" spans="1:10" s="152" customFormat="1" ht="12" x14ac:dyDescent="0.2">
      <c r="A34" s="169" t="s">
        <v>38</v>
      </c>
      <c r="B34" s="170">
        <v>8.4800000000000001E-5</v>
      </c>
      <c r="C34" s="170">
        <v>1.2999999999999999E-4</v>
      </c>
      <c r="D34" s="170">
        <v>1.3E-6</v>
      </c>
      <c r="E34" s="170">
        <f>B34</f>
        <v>8.4800000000000001E-5</v>
      </c>
      <c r="F34" s="171">
        <v>9.7100000000000002E-5</v>
      </c>
      <c r="G34" s="171">
        <v>7.4400000000000006E-5</v>
      </c>
      <c r="H34" s="263">
        <v>9.6299999999999996E-5</v>
      </c>
      <c r="I34" s="377">
        <f t="shared" si="1"/>
        <v>3.6189189189189185E-5</v>
      </c>
      <c r="J34" s="257"/>
    </row>
    <row r="35" spans="1:10" s="152" customFormat="1" ht="12" x14ac:dyDescent="0.2">
      <c r="A35" s="169" t="s">
        <v>101</v>
      </c>
      <c r="B35" s="170">
        <v>1.6799999999999999E-4</v>
      </c>
      <c r="C35" s="170">
        <v>2.12E-4</v>
      </c>
      <c r="D35" s="170">
        <v>2.2000000000000001E-6</v>
      </c>
      <c r="E35" s="170">
        <v>1.6799999999999999E-4</v>
      </c>
      <c r="F35" s="171">
        <v>1.4100000000000001E-4</v>
      </c>
      <c r="G35" s="171">
        <v>2.69E-5</v>
      </c>
      <c r="H35" s="263">
        <v>1.34E-4</v>
      </c>
      <c r="I35" s="377">
        <f t="shared" si="1"/>
        <v>4.0797297297297304E-5</v>
      </c>
      <c r="J35" s="257"/>
    </row>
    <row r="36" spans="1:10" s="152" customFormat="1" ht="12" x14ac:dyDescent="0.2">
      <c r="A36" s="177" t="s">
        <v>108</v>
      </c>
      <c r="B36" s="173"/>
      <c r="C36" s="173"/>
      <c r="D36" s="173"/>
      <c r="E36" s="173"/>
      <c r="F36" s="178"/>
      <c r="G36" s="178">
        <v>2.4000000000000001E-5</v>
      </c>
      <c r="H36" s="178">
        <v>4.21E-5</v>
      </c>
      <c r="I36" s="385">
        <f t="shared" si="1"/>
        <v>1.3398648648648651E-5</v>
      </c>
      <c r="J36" s="257"/>
    </row>
    <row r="37" spans="1:10" s="152" customFormat="1" ht="12" x14ac:dyDescent="0.2">
      <c r="A37" s="169" t="s">
        <v>109</v>
      </c>
      <c r="B37" s="170"/>
      <c r="C37" s="170"/>
      <c r="D37" s="170"/>
      <c r="E37" s="170"/>
      <c r="F37" s="171">
        <v>1.19E-5</v>
      </c>
      <c r="G37" s="171">
        <v>2.3600000000000001E-5</v>
      </c>
      <c r="H37" s="263">
        <v>5.4799999999999997E-5</v>
      </c>
      <c r="I37" s="377">
        <f t="shared" si="1"/>
        <v>1.2202702702702704E-5</v>
      </c>
      <c r="J37" s="257"/>
    </row>
    <row r="38" spans="1:10" s="152" customFormat="1" ht="12" x14ac:dyDescent="0.2">
      <c r="A38" s="169" t="s">
        <v>110</v>
      </c>
      <c r="B38" s="180"/>
      <c r="C38" s="180"/>
      <c r="D38" s="180"/>
      <c r="E38" s="180"/>
      <c r="F38" s="180"/>
      <c r="G38" s="171">
        <v>2.48E-6</v>
      </c>
      <c r="H38" s="265"/>
      <c r="I38" s="389">
        <f t="shared" si="1"/>
        <v>1.0054054054054054E-6</v>
      </c>
      <c r="J38" s="257"/>
    </row>
    <row r="39" spans="1:10" s="152" customFormat="1" ht="12" x14ac:dyDescent="0.2">
      <c r="A39" s="176" t="s">
        <v>39</v>
      </c>
      <c r="B39" s="170">
        <v>4.0900000000000002E-4</v>
      </c>
      <c r="C39" s="170">
        <v>2.81E-4</v>
      </c>
      <c r="D39" s="170">
        <v>1.2999999999999999E-4</v>
      </c>
      <c r="E39" s="170">
        <f>B39</f>
        <v>4.0900000000000002E-4</v>
      </c>
      <c r="F39" s="170">
        <v>5.5800000000000001E-4</v>
      </c>
      <c r="G39" s="170">
        <v>4.08E-4</v>
      </c>
      <c r="H39" s="264">
        <v>9.6299999999999999E-4</v>
      </c>
      <c r="I39" s="390">
        <f t="shared" si="1"/>
        <v>2.6067567567567565E-4</v>
      </c>
      <c r="J39" s="257"/>
    </row>
    <row r="40" spans="1:10" s="152" customFormat="1" ht="12" x14ac:dyDescent="0.2">
      <c r="A40" s="169" t="s">
        <v>111</v>
      </c>
      <c r="B40" s="170"/>
      <c r="C40" s="170"/>
      <c r="D40" s="170"/>
      <c r="E40" s="170"/>
      <c r="F40" s="171">
        <v>7.1799999999999999E-6</v>
      </c>
      <c r="G40" s="171">
        <v>1.49E-5</v>
      </c>
      <c r="H40" s="263">
        <v>2.4700000000000001E-5</v>
      </c>
      <c r="I40" s="376">
        <f t="shared" si="1"/>
        <v>6.3216216216216207E-6</v>
      </c>
      <c r="J40" s="257"/>
    </row>
    <row r="41" spans="1:10" s="152" customFormat="1" ht="12" x14ac:dyDescent="0.2">
      <c r="A41" s="181" t="s">
        <v>84</v>
      </c>
      <c r="B41" s="182">
        <v>2.8499999999999999E-4</v>
      </c>
      <c r="C41" s="182">
        <v>1.93E-4</v>
      </c>
      <c r="D41" s="182">
        <v>6.3999999999999997E-5</v>
      </c>
      <c r="E41" s="182">
        <f>B41</f>
        <v>2.8499999999999999E-4</v>
      </c>
      <c r="F41" s="182">
        <v>1.95E-4</v>
      </c>
      <c r="G41" s="182">
        <v>1.84E-4</v>
      </c>
      <c r="H41" s="182">
        <v>2.6800000000000001E-4</v>
      </c>
      <c r="I41" s="388">
        <f t="shared" si="1"/>
        <v>8.7432432432432431E-5</v>
      </c>
      <c r="J41" s="257"/>
    </row>
    <row r="42" spans="1:10" s="152" customFormat="1" ht="13.5" x14ac:dyDescent="0.2">
      <c r="A42" s="183">
        <v>1</v>
      </c>
      <c r="B42" s="152" t="s">
        <v>62</v>
      </c>
      <c r="J42" s="247"/>
    </row>
    <row r="43" spans="1:10" s="152" customFormat="1" ht="13.5" x14ac:dyDescent="0.2">
      <c r="A43" s="183">
        <v>2</v>
      </c>
      <c r="B43" s="152" t="s">
        <v>79</v>
      </c>
      <c r="J43" s="247"/>
    </row>
    <row r="44" spans="1:10" s="152" customFormat="1" ht="13.5" x14ac:dyDescent="0.2">
      <c r="A44" s="183">
        <v>3</v>
      </c>
      <c r="B44" s="152" t="s">
        <v>533</v>
      </c>
      <c r="J44" s="247"/>
    </row>
    <row r="45" spans="1:10" s="152" customFormat="1" ht="13.5" x14ac:dyDescent="0.2">
      <c r="A45" s="183">
        <v>4</v>
      </c>
      <c r="B45" s="152" t="s">
        <v>550</v>
      </c>
      <c r="J45" s="247"/>
    </row>
    <row r="46" spans="1:10" s="152" customFormat="1" ht="13.5" x14ac:dyDescent="0.2">
      <c r="A46" s="183"/>
      <c r="B46" s="152" t="s">
        <v>551</v>
      </c>
      <c r="C46" s="397" t="s">
        <v>549</v>
      </c>
      <c r="J46" s="247"/>
    </row>
    <row r="47" spans="1:10" s="152" customFormat="1" ht="14.25" x14ac:dyDescent="0.25">
      <c r="A47" s="183">
        <v>5</v>
      </c>
      <c r="B47" s="322" t="s">
        <v>452</v>
      </c>
      <c r="C47" s="323"/>
      <c r="D47" s="323"/>
      <c r="E47" s="323"/>
      <c r="F47" s="324"/>
      <c r="G47" s="322"/>
      <c r="H47" s="322"/>
      <c r="I47" s="322"/>
      <c r="J47" s="322"/>
    </row>
    <row r="48" spans="1:10" s="152" customFormat="1" ht="14.25" x14ac:dyDescent="0.25">
      <c r="A48" s="183"/>
      <c r="B48" s="325" t="s">
        <v>453</v>
      </c>
      <c r="C48" s="322"/>
      <c r="D48" s="322"/>
      <c r="E48" s="322"/>
      <c r="F48" s="322"/>
      <c r="G48" s="322"/>
      <c r="H48" s="322"/>
      <c r="I48" s="322"/>
    </row>
    <row r="49" spans="1:10" s="152" customFormat="1" ht="13.5" x14ac:dyDescent="0.2">
      <c r="A49" s="183"/>
      <c r="J49" s="247"/>
    </row>
    <row r="50" spans="1:10" s="152" customFormat="1" ht="12" x14ac:dyDescent="0.2">
      <c r="J50" s="247"/>
    </row>
    <row r="51" spans="1:10" s="152" customFormat="1" ht="37.5" x14ac:dyDescent="0.2">
      <c r="A51" s="184" t="s">
        <v>82</v>
      </c>
      <c r="B51" s="185" t="s">
        <v>501</v>
      </c>
      <c r="C51" s="185" t="s">
        <v>502</v>
      </c>
      <c r="D51" s="185" t="s">
        <v>503</v>
      </c>
      <c r="E51" s="186" t="s">
        <v>63</v>
      </c>
      <c r="F51" s="184" t="s">
        <v>504</v>
      </c>
      <c r="G51" s="184" t="s">
        <v>542</v>
      </c>
      <c r="H51" s="185" t="s">
        <v>505</v>
      </c>
      <c r="J51" s="247"/>
    </row>
    <row r="52" spans="1:10" s="152" customFormat="1" ht="24" x14ac:dyDescent="0.2">
      <c r="A52" s="187" t="s">
        <v>64</v>
      </c>
      <c r="B52" s="188">
        <f>53.06/0.453592</f>
        <v>116.97737173495123</v>
      </c>
      <c r="C52" s="189">
        <f>0.001/0.453592</f>
        <v>2.2046244201837776E-3</v>
      </c>
      <c r="D52" s="189">
        <f>0.0001/0.453592</f>
        <v>2.2046244201837776E-4</v>
      </c>
      <c r="E52" s="190" t="s">
        <v>88</v>
      </c>
      <c r="F52" s="209"/>
      <c r="G52" s="151">
        <v>1020</v>
      </c>
      <c r="H52" s="151"/>
      <c r="J52" s="247"/>
    </row>
    <row r="53" spans="1:10" s="152" customFormat="1" ht="24" x14ac:dyDescent="0.2">
      <c r="A53" s="191" t="s">
        <v>65</v>
      </c>
      <c r="B53" s="188">
        <f>73.96/0.453592</f>
        <v>163.05402211679217</v>
      </c>
      <c r="C53" s="189">
        <f>0.003/0.453592</f>
        <v>6.6138732605513324E-3</v>
      </c>
      <c r="D53" s="189">
        <f>0.0006/0.453592</f>
        <v>1.3227746521102665E-3</v>
      </c>
      <c r="E53" s="190" t="s">
        <v>88</v>
      </c>
      <c r="F53" s="151">
        <v>7000</v>
      </c>
      <c r="G53" s="151"/>
      <c r="H53" s="188">
        <f>0.138*1000000</f>
        <v>138000</v>
      </c>
      <c r="J53" s="247"/>
    </row>
    <row r="54" spans="1:10" s="152" customFormat="1" ht="24" x14ac:dyDescent="0.2">
      <c r="A54" s="151" t="s">
        <v>66</v>
      </c>
      <c r="B54" s="151">
        <f>70.22/0.453592</f>
        <v>154.80872678530486</v>
      </c>
      <c r="C54" s="192">
        <f>C53</f>
        <v>6.6138732605513324E-3</v>
      </c>
      <c r="D54" s="192">
        <f>D53</f>
        <v>1.3227746521102665E-3</v>
      </c>
      <c r="E54" s="190" t="s">
        <v>88</v>
      </c>
      <c r="F54" s="151">
        <v>7000</v>
      </c>
      <c r="G54" s="151"/>
      <c r="H54" s="151">
        <v>125000</v>
      </c>
      <c r="J54" s="247"/>
    </row>
    <row r="55" spans="1:10" s="152" customFormat="1" ht="24" x14ac:dyDescent="0.2">
      <c r="A55" s="151" t="s">
        <v>266</v>
      </c>
      <c r="B55" s="151">
        <f>61.71/0.453592</f>
        <v>136.0473729695409</v>
      </c>
      <c r="C55" s="192">
        <f>C53</f>
        <v>6.6138732605513324E-3</v>
      </c>
      <c r="D55" s="192">
        <f>D53</f>
        <v>1.3227746521102665E-3</v>
      </c>
      <c r="E55" s="190" t="s">
        <v>88</v>
      </c>
      <c r="F55" s="151"/>
      <c r="G55" s="343">
        <v>2516</v>
      </c>
      <c r="H55" s="151">
        <f>0.092*1000000</f>
        <v>92000</v>
      </c>
      <c r="J55" s="247"/>
    </row>
    <row r="56" spans="1:10" s="152" customFormat="1" ht="13.5" x14ac:dyDescent="0.2">
      <c r="A56" s="183">
        <v>1</v>
      </c>
      <c r="B56" s="152" t="s">
        <v>95</v>
      </c>
      <c r="D56" s="179"/>
      <c r="E56" s="179"/>
      <c r="F56" s="193"/>
      <c r="J56" s="247"/>
    </row>
    <row r="57" spans="1:10" s="152" customFormat="1" ht="13.5" x14ac:dyDescent="0.2">
      <c r="A57" s="183">
        <v>2</v>
      </c>
      <c r="B57" s="152" t="s">
        <v>67</v>
      </c>
      <c r="J57" s="247"/>
    </row>
    <row r="58" spans="1:10" s="152" customFormat="1" ht="12" x14ac:dyDescent="0.2">
      <c r="B58" s="152" t="s">
        <v>68</v>
      </c>
      <c r="J58" s="247"/>
    </row>
    <row r="59" spans="1:10" ht="13.5" x14ac:dyDescent="0.2">
      <c r="A59" s="183">
        <v>3</v>
      </c>
      <c r="B59" s="526" t="s">
        <v>54</v>
      </c>
      <c r="C59" s="526"/>
      <c r="D59" s="526"/>
      <c r="E59" s="526"/>
      <c r="F59" s="152"/>
      <c r="G59" s="152"/>
      <c r="H59" s="152"/>
    </row>
    <row r="64" spans="1:10" x14ac:dyDescent="0.2">
      <c r="D64" s="248"/>
    </row>
  </sheetData>
  <sortState xmlns:xlrd2="http://schemas.microsoft.com/office/spreadsheetml/2017/richdata2" ref="A16:H41">
    <sortCondition ref="A16"/>
  </sortState>
  <mergeCells count="3">
    <mergeCell ref="A2:H2"/>
    <mergeCell ref="B59:E59"/>
    <mergeCell ref="A1:I1"/>
  </mergeCells>
  <conditionalFormatting sqref="H5:H13 I5:I12 H17:I36">
    <cfRule type="cellIs" dxfId="7" priority="14" operator="equal">
      <formula>0</formula>
    </cfRule>
  </conditionalFormatting>
  <hyperlinks>
    <hyperlink ref="G4" r:id="rId1" xr:uid="{00000000-0004-0000-0C00-000000000000}"/>
    <hyperlink ref="F4" r:id="rId2" xr:uid="{00000000-0004-0000-0C00-000001000000}"/>
    <hyperlink ref="D4" r:id="rId3" xr:uid="{00000000-0004-0000-0C00-000002000000}"/>
    <hyperlink ref="B4" r:id="rId4" xr:uid="{00000000-0004-0000-0C00-000003000000}"/>
    <hyperlink ref="E4" r:id="rId5" xr:uid="{00000000-0004-0000-0C00-000004000000}"/>
    <hyperlink ref="C4" r:id="rId6" xr:uid="{00000000-0004-0000-0C00-000005000000}"/>
    <hyperlink ref="H4" r:id="rId7" xr:uid="{00000000-0004-0000-0C00-000006000000}"/>
    <hyperlink ref="A12" r:id="rId8" xr:uid="{00000000-0004-0000-0C00-000007000000}"/>
    <hyperlink ref="B59" r:id="rId9" xr:uid="{00000000-0004-0000-0C00-000008000000}"/>
    <hyperlink ref="D16" r:id="rId10" xr:uid="{00000000-0004-0000-0C00-000009000000}"/>
    <hyperlink ref="B16" r:id="rId11" xr:uid="{00000000-0004-0000-0C00-00000A000000}"/>
    <hyperlink ref="C16" r:id="rId12" xr:uid="{00000000-0004-0000-0C00-00000B000000}"/>
    <hyperlink ref="G16" r:id="rId13" xr:uid="{00000000-0004-0000-0C00-00000C000000}"/>
    <hyperlink ref="F16" r:id="rId14" xr:uid="{00000000-0004-0000-0C00-00000D000000}"/>
    <hyperlink ref="H16" r:id="rId15" xr:uid="{00000000-0004-0000-0C00-00000E000000}"/>
    <hyperlink ref="C46" r:id="rId16" xr:uid="{02B73027-BA48-4D6F-B8C5-D15C4D220CE0}"/>
  </hyperlinks>
  <pageMargins left="0.25" right="0.25" top="0.5" bottom="0.5" header="0.3" footer="0.3"/>
  <pageSetup scale="67" fitToHeight="0" orientation="landscape" r:id="rId17"/>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6" max="16383" man="1"/>
  </rowBreaks>
  <ignoredErrors>
    <ignoredError sqref="I19 I35" formulaRange="1"/>
  </ignoredErrors>
  <legacyDrawing r:id="rId1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A1:P2"/>
  <sheetViews>
    <sheetView zoomScaleNormal="100" workbookViewId="0">
      <selection activeCell="A2" sqref="A2:P2"/>
    </sheetView>
  </sheetViews>
  <sheetFormatPr defaultRowHeight="15" x14ac:dyDescent="0.25"/>
  <sheetData>
    <row r="1" spans="1:16" x14ac:dyDescent="0.25">
      <c r="A1" s="439" t="str">
        <f>Instructions!O3</f>
        <v>p-sbap5-25  •  12/13/23</v>
      </c>
      <c r="B1" s="439"/>
      <c r="C1" s="439"/>
      <c r="D1" s="439"/>
      <c r="E1" s="439"/>
      <c r="F1" s="439"/>
      <c r="G1" s="439"/>
      <c r="H1" s="439"/>
      <c r="I1" s="439"/>
      <c r="J1" s="439"/>
      <c r="K1" s="439"/>
      <c r="L1" s="439"/>
      <c r="M1" s="439"/>
      <c r="N1" s="439"/>
      <c r="O1" s="439"/>
      <c r="P1" s="439"/>
    </row>
    <row r="2" spans="1:16" ht="19.5" thickBot="1" x14ac:dyDescent="0.35">
      <c r="A2" s="525" t="s">
        <v>535</v>
      </c>
      <c r="B2" s="525"/>
      <c r="C2" s="525"/>
      <c r="D2" s="525"/>
      <c r="E2" s="525"/>
      <c r="F2" s="525"/>
      <c r="G2" s="525"/>
      <c r="H2" s="525"/>
      <c r="I2" s="525"/>
      <c r="J2" s="525"/>
      <c r="K2" s="525"/>
      <c r="L2" s="525"/>
      <c r="M2" s="525"/>
      <c r="N2" s="525"/>
      <c r="O2" s="525"/>
      <c r="P2" s="525"/>
    </row>
  </sheetData>
  <sheetProtection algorithmName="SHA-512" hashValue="5UQXSELiKvWMdPuTjMZ3Mfxhix8LI1g5ZHdq0MhvrVYOHTrwZDIYIsAuHehdqzdIE+MHiKcW2QR4VkhBs7hH2g==" saltValue="jxn4RE4wObVIAgK+A5EVxQ==" spinCount="100000" sheet="1" formatCells="0" formatColumns="0" formatRows="0" insertColumns="0" insertRows="0" insertHyperlinks="0" deleteColumns="0" deleteRows="0" sort="0" autoFilter="0" pivotTables="0"/>
  <mergeCells count="2">
    <mergeCell ref="A2:P2"/>
    <mergeCell ref="A1:P1"/>
  </mergeCells>
  <pageMargins left="0.25" right="0.25" top="0.5" bottom="0.5" header="0.3" footer="0.3"/>
  <pageSetup scale="91" fitToHeight="0" orientation="landscape" r:id="rId1"/>
  <headerFooter>
    <oddFooter>&amp;L&amp;"Arial,Italic"&amp;8p-sbap5-43  &amp;C&amp;"Arial,Italic"&amp;8https://www.pca.state.mn.us  •  Available in alternative formats  •  Use your preferred relay service&amp;R&amp;"Arial,Italic"&amp;8Page &amp;P of &amp;N</oddFooter>
    <firstFooter>&amp;L&amp;10Internal Combustion Engine Calculator - Instructions&amp;R&amp;10&amp;P</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G93"/>
  <sheetViews>
    <sheetView zoomScaleNormal="100" workbookViewId="0">
      <selection activeCell="A2" sqref="A2:F2"/>
    </sheetView>
  </sheetViews>
  <sheetFormatPr defaultColWidth="9.140625" defaultRowHeight="12" x14ac:dyDescent="0.2"/>
  <cols>
    <col min="1" max="1" width="41.28515625" style="7" customWidth="1"/>
    <col min="2" max="2" width="48.7109375" style="7" customWidth="1"/>
    <col min="3" max="3" width="9.140625" style="7"/>
    <col min="4" max="4" width="16.7109375" style="7" bestFit="1" customWidth="1"/>
    <col min="5" max="5" width="0" style="7" hidden="1" customWidth="1"/>
    <col min="6" max="6" width="43.28515625" style="7" hidden="1" customWidth="1"/>
    <col min="7" max="16384" width="9.140625" style="7"/>
  </cols>
  <sheetData>
    <row r="1" spans="1:7" ht="12.75" x14ac:dyDescent="0.2">
      <c r="A1" s="439" t="str">
        <f>Instructions!O3</f>
        <v>p-sbap5-25  •  12/13/23</v>
      </c>
      <c r="B1" s="439"/>
      <c r="C1" s="439"/>
      <c r="D1" s="439"/>
    </row>
    <row r="2" spans="1:7" ht="19.5" thickBot="1" x14ac:dyDescent="0.35">
      <c r="A2" s="525" t="s">
        <v>139</v>
      </c>
      <c r="B2" s="525"/>
      <c r="C2" s="525"/>
      <c r="D2" s="525"/>
      <c r="E2" s="525"/>
      <c r="F2" s="525"/>
    </row>
    <row r="3" spans="1:7" x14ac:dyDescent="0.2">
      <c r="A3" s="201"/>
      <c r="B3" s="201"/>
    </row>
    <row r="4" spans="1:7" ht="15" x14ac:dyDescent="0.2">
      <c r="A4" s="203" t="s">
        <v>140</v>
      </c>
      <c r="B4" s="204"/>
      <c r="D4" s="279" t="s">
        <v>364</v>
      </c>
      <c r="E4" s="280"/>
      <c r="F4" s="279" t="s">
        <v>416</v>
      </c>
    </row>
    <row r="5" spans="1:7" ht="12.75" x14ac:dyDescent="0.2">
      <c r="A5" s="194" t="s">
        <v>70</v>
      </c>
      <c r="B5" s="194" t="s">
        <v>214</v>
      </c>
      <c r="D5" s="3" t="s">
        <v>178</v>
      </c>
      <c r="E5" s="3"/>
      <c r="F5" s="3" t="s">
        <v>178</v>
      </c>
      <c r="G5" s="3"/>
    </row>
    <row r="6" spans="1:7" ht="12.75" x14ac:dyDescent="0.2">
      <c r="A6" s="195" t="s">
        <v>178</v>
      </c>
      <c r="B6" s="320" t="s">
        <v>78</v>
      </c>
      <c r="C6" s="152"/>
      <c r="D6" s="3" t="s">
        <v>278</v>
      </c>
      <c r="E6" s="3"/>
      <c r="F6" s="3" t="s">
        <v>367</v>
      </c>
      <c r="G6" s="3"/>
    </row>
    <row r="7" spans="1:7" ht="12.75" x14ac:dyDescent="0.2">
      <c r="A7" s="195" t="s">
        <v>91</v>
      </c>
      <c r="B7" s="320" t="s">
        <v>208</v>
      </c>
      <c r="D7" s="3" t="s">
        <v>279</v>
      </c>
      <c r="E7" s="3"/>
      <c r="F7" s="3" t="s">
        <v>368</v>
      </c>
      <c r="G7" s="3"/>
    </row>
    <row r="8" spans="1:7" ht="12.75" x14ac:dyDescent="0.2">
      <c r="A8" s="195" t="s">
        <v>92</v>
      </c>
      <c r="B8" s="320"/>
      <c r="D8" s="3" t="s">
        <v>292</v>
      </c>
      <c r="E8" s="3"/>
      <c r="F8" s="3" t="s">
        <v>369</v>
      </c>
      <c r="G8" s="3"/>
    </row>
    <row r="9" spans="1:7" ht="12.75" x14ac:dyDescent="0.2">
      <c r="A9" s="246" t="s">
        <v>262</v>
      </c>
      <c r="B9" s="320"/>
      <c r="D9" s="3" t="s">
        <v>293</v>
      </c>
      <c r="E9" s="3"/>
      <c r="F9" s="3" t="s">
        <v>370</v>
      </c>
      <c r="G9" s="3"/>
    </row>
    <row r="10" spans="1:7" ht="12.75" x14ac:dyDescent="0.2">
      <c r="A10" s="195" t="s">
        <v>93</v>
      </c>
      <c r="B10" s="320" t="s">
        <v>215</v>
      </c>
      <c r="D10" s="3" t="s">
        <v>294</v>
      </c>
      <c r="E10" s="3"/>
      <c r="F10" s="3" t="s">
        <v>371</v>
      </c>
      <c r="G10" s="3"/>
    </row>
    <row r="11" spans="1:7" ht="12.75" x14ac:dyDescent="0.2">
      <c r="A11" s="195" t="s">
        <v>116</v>
      </c>
      <c r="B11" s="320" t="s">
        <v>210</v>
      </c>
      <c r="D11" s="3" t="s">
        <v>295</v>
      </c>
      <c r="E11" s="3"/>
      <c r="F11" s="3" t="s">
        <v>372</v>
      </c>
      <c r="G11" s="3"/>
    </row>
    <row r="12" spans="1:7" ht="12.75" x14ac:dyDescent="0.2">
      <c r="A12" s="195" t="s">
        <v>115</v>
      </c>
      <c r="B12" s="320" t="s">
        <v>211</v>
      </c>
      <c r="C12" s="202"/>
      <c r="D12" s="3" t="s">
        <v>281</v>
      </c>
      <c r="E12" s="3"/>
      <c r="F12" s="3" t="s">
        <v>373</v>
      </c>
      <c r="G12" s="3"/>
    </row>
    <row r="13" spans="1:7" ht="12.75" x14ac:dyDescent="0.2">
      <c r="A13" s="195" t="s">
        <v>114</v>
      </c>
      <c r="B13" s="320" t="s">
        <v>212</v>
      </c>
      <c r="C13" s="202"/>
      <c r="D13" s="3" t="s">
        <v>296</v>
      </c>
      <c r="E13" s="3"/>
      <c r="F13" s="3" t="s">
        <v>374</v>
      </c>
      <c r="G13" s="3"/>
    </row>
    <row r="14" spans="1:7" ht="12.75" x14ac:dyDescent="0.2">
      <c r="A14" s="246"/>
      <c r="B14" s="320"/>
      <c r="C14" s="152"/>
      <c r="D14" s="3" t="s">
        <v>280</v>
      </c>
      <c r="E14" s="3"/>
      <c r="F14" s="3" t="s">
        <v>375</v>
      </c>
      <c r="G14" s="3"/>
    </row>
    <row r="15" spans="1:7" ht="12.75" x14ac:dyDescent="0.2">
      <c r="A15" s="3"/>
      <c r="B15" s="196"/>
      <c r="C15" s="152"/>
      <c r="D15" s="3" t="s">
        <v>297</v>
      </c>
      <c r="E15" s="3"/>
      <c r="F15" s="3" t="s">
        <v>376</v>
      </c>
      <c r="G15" s="3"/>
    </row>
    <row r="16" spans="1:7" ht="12.75" x14ac:dyDescent="0.2">
      <c r="A16" s="199" t="s">
        <v>71</v>
      </c>
      <c r="B16" s="198"/>
      <c r="C16" s="152"/>
      <c r="D16" s="3" t="s">
        <v>298</v>
      </c>
      <c r="E16" s="3"/>
      <c r="F16" s="3" t="s">
        <v>377</v>
      </c>
      <c r="G16" s="3"/>
    </row>
    <row r="17" spans="1:7" ht="12.75" x14ac:dyDescent="0.2">
      <c r="A17" s="195" t="s">
        <v>178</v>
      </c>
      <c r="B17" s="196"/>
      <c r="D17" s="3" t="s">
        <v>299</v>
      </c>
      <c r="E17" s="3"/>
      <c r="F17" s="3" t="s">
        <v>378</v>
      </c>
      <c r="G17" s="3"/>
    </row>
    <row r="18" spans="1:7" ht="12.75" x14ac:dyDescent="0.2">
      <c r="A18" s="195" t="s">
        <v>89</v>
      </c>
      <c r="B18" s="197"/>
      <c r="D18" s="3" t="s">
        <v>300</v>
      </c>
      <c r="E18" s="3"/>
      <c r="F18" s="3" t="s">
        <v>379</v>
      </c>
      <c r="G18" s="3"/>
    </row>
    <row r="19" spans="1:7" ht="12.75" x14ac:dyDescent="0.2">
      <c r="A19" s="195" t="s">
        <v>90</v>
      </c>
      <c r="B19" s="197"/>
      <c r="D19" s="3" t="s">
        <v>301</v>
      </c>
      <c r="E19" s="3"/>
      <c r="F19" s="3" t="s">
        <v>380</v>
      </c>
      <c r="G19" s="3"/>
    </row>
    <row r="20" spans="1:7" ht="12.75" x14ac:dyDescent="0.2">
      <c r="A20" s="3"/>
      <c r="B20" s="196"/>
      <c r="D20" s="3" t="s">
        <v>302</v>
      </c>
      <c r="E20" s="3"/>
      <c r="F20" s="3" t="s">
        <v>381</v>
      </c>
      <c r="G20" s="3"/>
    </row>
    <row r="21" spans="1:7" ht="12.75" x14ac:dyDescent="0.2">
      <c r="A21" s="3"/>
      <c r="B21" s="198"/>
      <c r="D21" s="3" t="s">
        <v>303</v>
      </c>
      <c r="E21" s="3"/>
      <c r="F21" s="3" t="s">
        <v>382</v>
      </c>
      <c r="G21" s="3"/>
    </row>
    <row r="22" spans="1:7" ht="12.75" x14ac:dyDescent="0.2">
      <c r="A22" s="199" t="s">
        <v>179</v>
      </c>
      <c r="B22" s="196"/>
      <c r="D22" s="3" t="s">
        <v>304</v>
      </c>
      <c r="E22" s="3"/>
      <c r="F22" s="3" t="s">
        <v>383</v>
      </c>
      <c r="G22" s="3"/>
    </row>
    <row r="23" spans="1:7" ht="12.75" x14ac:dyDescent="0.2">
      <c r="A23" s="195" t="s">
        <v>178</v>
      </c>
      <c r="B23" s="197"/>
      <c r="D23" s="3" t="s">
        <v>305</v>
      </c>
      <c r="E23" s="3"/>
      <c r="F23" s="3" t="s">
        <v>384</v>
      </c>
      <c r="G23" s="3"/>
    </row>
    <row r="24" spans="1:7" ht="12.75" x14ac:dyDescent="0.2">
      <c r="A24" s="195" t="s">
        <v>545</v>
      </c>
      <c r="B24" s="197"/>
      <c r="D24" s="3" t="s">
        <v>306</v>
      </c>
      <c r="E24" s="3"/>
      <c r="F24" s="3" t="s">
        <v>385</v>
      </c>
      <c r="G24" s="3"/>
    </row>
    <row r="25" spans="1:7" ht="12.75" x14ac:dyDescent="0.2">
      <c r="A25" s="195" t="s">
        <v>544</v>
      </c>
      <c r="B25" s="196"/>
      <c r="D25" s="3" t="s">
        <v>307</v>
      </c>
      <c r="E25" s="3"/>
      <c r="F25" s="3" t="s">
        <v>386</v>
      </c>
      <c r="G25" s="3"/>
    </row>
    <row r="26" spans="1:7" ht="12.75" x14ac:dyDescent="0.2">
      <c r="A26" s="195" t="s">
        <v>543</v>
      </c>
      <c r="B26" s="196"/>
      <c r="D26" s="3" t="s">
        <v>308</v>
      </c>
      <c r="E26" s="3"/>
      <c r="F26" s="3" t="s">
        <v>387</v>
      </c>
      <c r="G26" s="3"/>
    </row>
    <row r="27" spans="1:7" ht="12.75" x14ac:dyDescent="0.2">
      <c r="A27" s="3"/>
      <c r="B27" s="200"/>
      <c r="D27" s="3" t="s">
        <v>286</v>
      </c>
      <c r="E27" s="3"/>
      <c r="F27" s="3" t="s">
        <v>388</v>
      </c>
      <c r="G27" s="3"/>
    </row>
    <row r="28" spans="1:7" ht="12.75" x14ac:dyDescent="0.2">
      <c r="A28" s="199" t="s">
        <v>180</v>
      </c>
      <c r="B28" s="196"/>
      <c r="D28" s="3" t="s">
        <v>309</v>
      </c>
      <c r="E28" s="3"/>
      <c r="F28" s="3" t="s">
        <v>389</v>
      </c>
      <c r="G28" s="3"/>
    </row>
    <row r="29" spans="1:7" ht="12.75" x14ac:dyDescent="0.2">
      <c r="A29" s="195" t="s">
        <v>181</v>
      </c>
      <c r="B29" s="196"/>
      <c r="D29" s="3" t="s">
        <v>310</v>
      </c>
      <c r="E29" s="3"/>
      <c r="F29" s="3" t="s">
        <v>390</v>
      </c>
      <c r="G29" s="3"/>
    </row>
    <row r="30" spans="1:7" ht="12.75" x14ac:dyDescent="0.2">
      <c r="A30" s="195" t="s">
        <v>182</v>
      </c>
      <c r="B30" s="200"/>
      <c r="D30" s="3" t="s">
        <v>311</v>
      </c>
      <c r="E30" s="3"/>
      <c r="F30" s="3" t="s">
        <v>391</v>
      </c>
      <c r="G30" s="3"/>
    </row>
    <row r="31" spans="1:7" ht="12.75" x14ac:dyDescent="0.2">
      <c r="A31" s="195"/>
      <c r="B31" s="196"/>
      <c r="D31" s="3" t="s">
        <v>312</v>
      </c>
      <c r="E31" s="3"/>
      <c r="F31" s="3" t="s">
        <v>392</v>
      </c>
      <c r="G31" s="3"/>
    </row>
    <row r="32" spans="1:7" ht="12.75" x14ac:dyDescent="0.2">
      <c r="A32" s="195"/>
      <c r="B32" s="196"/>
      <c r="D32" s="3" t="s">
        <v>313</v>
      </c>
      <c r="E32" s="3"/>
      <c r="F32" s="3" t="s">
        <v>393</v>
      </c>
      <c r="G32" s="3"/>
    </row>
    <row r="33" spans="1:7" ht="15" x14ac:dyDescent="0.2">
      <c r="A33" s="203" t="s">
        <v>142</v>
      </c>
      <c r="D33" s="3" t="s">
        <v>314</v>
      </c>
      <c r="E33" s="3"/>
      <c r="F33" s="3" t="s">
        <v>394</v>
      </c>
      <c r="G33" s="3"/>
    </row>
    <row r="34" spans="1:7" ht="12.75" x14ac:dyDescent="0.2">
      <c r="A34" s="194" t="s">
        <v>141</v>
      </c>
      <c r="D34" s="3" t="s">
        <v>315</v>
      </c>
      <c r="E34" s="3"/>
      <c r="F34" s="3" t="s">
        <v>395</v>
      </c>
      <c r="G34" s="3"/>
    </row>
    <row r="35" spans="1:7" ht="12.75" x14ac:dyDescent="0.2">
      <c r="A35" s="3" t="s">
        <v>128</v>
      </c>
      <c r="D35" s="3" t="s">
        <v>316</v>
      </c>
      <c r="E35" s="3"/>
      <c r="F35" s="3" t="s">
        <v>396</v>
      </c>
      <c r="G35" s="3"/>
    </row>
    <row r="36" spans="1:7" ht="12.75" x14ac:dyDescent="0.2">
      <c r="A36" s="3" t="s">
        <v>14</v>
      </c>
      <c r="D36" s="3" t="s">
        <v>317</v>
      </c>
      <c r="E36" s="3"/>
      <c r="F36" s="3" t="s">
        <v>397</v>
      </c>
      <c r="G36" s="3"/>
    </row>
    <row r="37" spans="1:7" ht="12.75" x14ac:dyDescent="0.2">
      <c r="A37" s="3" t="s">
        <v>15</v>
      </c>
      <c r="D37" s="3" t="s">
        <v>282</v>
      </c>
      <c r="E37" s="3"/>
      <c r="F37" s="3" t="s">
        <v>398</v>
      </c>
      <c r="G37" s="3"/>
    </row>
    <row r="38" spans="1:7" ht="12.75" x14ac:dyDescent="0.2">
      <c r="A38" s="3"/>
      <c r="D38" s="3" t="s">
        <v>318</v>
      </c>
      <c r="E38" s="3"/>
      <c r="F38" s="3" t="s">
        <v>399</v>
      </c>
      <c r="G38" s="3"/>
    </row>
    <row r="39" spans="1:7" ht="12.75" x14ac:dyDescent="0.2">
      <c r="D39" s="3" t="s">
        <v>319</v>
      </c>
      <c r="E39" s="3"/>
      <c r="F39" s="3" t="s">
        <v>400</v>
      </c>
      <c r="G39" s="3"/>
    </row>
    <row r="40" spans="1:7" ht="12.75" x14ac:dyDescent="0.2">
      <c r="D40" s="3" t="s">
        <v>320</v>
      </c>
      <c r="E40" s="3"/>
      <c r="F40" s="3" t="s">
        <v>401</v>
      </c>
      <c r="G40" s="3"/>
    </row>
    <row r="41" spans="1:7" ht="12.75" x14ac:dyDescent="0.2">
      <c r="D41" s="3" t="s">
        <v>321</v>
      </c>
      <c r="E41" s="3"/>
      <c r="F41" s="3" t="s">
        <v>402</v>
      </c>
      <c r="G41" s="3"/>
    </row>
    <row r="42" spans="1:7" ht="12.75" x14ac:dyDescent="0.2">
      <c r="D42" s="3" t="s">
        <v>322</v>
      </c>
      <c r="E42" s="3"/>
      <c r="F42" s="3" t="s">
        <v>403</v>
      </c>
      <c r="G42" s="3"/>
    </row>
    <row r="43" spans="1:7" ht="12.75" x14ac:dyDescent="0.2">
      <c r="D43" s="3" t="s">
        <v>323</v>
      </c>
      <c r="E43" s="3"/>
      <c r="F43" s="3" t="s">
        <v>404</v>
      </c>
      <c r="G43" s="3"/>
    </row>
    <row r="44" spans="1:7" ht="12.75" x14ac:dyDescent="0.2">
      <c r="D44" s="3" t="s">
        <v>324</v>
      </c>
      <c r="E44" s="3"/>
      <c r="F44" s="3" t="s">
        <v>405</v>
      </c>
      <c r="G44" s="3"/>
    </row>
    <row r="45" spans="1:7" ht="12.75" x14ac:dyDescent="0.2">
      <c r="D45" s="3" t="s">
        <v>325</v>
      </c>
      <c r="E45" s="3"/>
      <c r="F45" s="3" t="s">
        <v>406</v>
      </c>
      <c r="G45" s="3"/>
    </row>
    <row r="46" spans="1:7" ht="12.75" x14ac:dyDescent="0.2">
      <c r="D46" s="3" t="s">
        <v>326</v>
      </c>
      <c r="E46" s="3"/>
      <c r="F46" s="3" t="s">
        <v>407</v>
      </c>
      <c r="G46" s="3"/>
    </row>
    <row r="47" spans="1:7" ht="12.75" x14ac:dyDescent="0.2">
      <c r="D47" s="3" t="s">
        <v>327</v>
      </c>
      <c r="E47" s="3"/>
      <c r="F47" s="3" t="s">
        <v>408</v>
      </c>
      <c r="G47" s="3"/>
    </row>
    <row r="48" spans="1:7" ht="12.75" x14ac:dyDescent="0.2">
      <c r="D48" s="3" t="s">
        <v>284</v>
      </c>
      <c r="E48" s="3"/>
      <c r="F48" s="3" t="s">
        <v>409</v>
      </c>
      <c r="G48" s="3"/>
    </row>
    <row r="49" spans="1:7" ht="12.75" x14ac:dyDescent="0.2">
      <c r="D49" s="3" t="s">
        <v>283</v>
      </c>
      <c r="E49" s="3"/>
      <c r="F49" s="3" t="s">
        <v>410</v>
      </c>
      <c r="G49" s="3"/>
    </row>
    <row r="50" spans="1:7" ht="12.75" x14ac:dyDescent="0.2">
      <c r="D50" s="3" t="s">
        <v>328</v>
      </c>
      <c r="E50" s="3"/>
      <c r="F50" s="3" t="s">
        <v>411</v>
      </c>
      <c r="G50" s="3"/>
    </row>
    <row r="51" spans="1:7" ht="12.75" x14ac:dyDescent="0.2">
      <c r="A51" s="7" t="s">
        <v>224</v>
      </c>
      <c r="D51" s="3" t="s">
        <v>329</v>
      </c>
      <c r="E51" s="3"/>
      <c r="F51" s="3" t="s">
        <v>412</v>
      </c>
      <c r="G51" s="3"/>
    </row>
    <row r="52" spans="1:7" ht="12.75" x14ac:dyDescent="0.2">
      <c r="A52" s="7" t="s">
        <v>225</v>
      </c>
      <c r="D52" s="3" t="s">
        <v>330</v>
      </c>
      <c r="E52" s="3"/>
      <c r="F52" s="3" t="s">
        <v>413</v>
      </c>
      <c r="G52" s="3"/>
    </row>
    <row r="53" spans="1:7" ht="12.75" x14ac:dyDescent="0.2">
      <c r="D53" s="3" t="s">
        <v>331</v>
      </c>
      <c r="E53" s="3"/>
      <c r="F53" s="3" t="s">
        <v>414</v>
      </c>
      <c r="G53" s="3"/>
    </row>
    <row r="54" spans="1:7" ht="12.75" x14ac:dyDescent="0.2">
      <c r="D54" s="3" t="s">
        <v>332</v>
      </c>
      <c r="E54" s="3"/>
      <c r="F54" s="3" t="s">
        <v>415</v>
      </c>
      <c r="G54" s="3"/>
    </row>
    <row r="55" spans="1:7" ht="12.75" x14ac:dyDescent="0.2">
      <c r="D55" s="3" t="s">
        <v>333</v>
      </c>
      <c r="E55" s="3"/>
      <c r="F55" s="3"/>
      <c r="G55" s="3"/>
    </row>
    <row r="56" spans="1:7" ht="12.75" x14ac:dyDescent="0.2">
      <c r="D56" s="3" t="s">
        <v>334</v>
      </c>
      <c r="E56" s="3"/>
      <c r="F56" s="3"/>
      <c r="G56" s="3"/>
    </row>
    <row r="57" spans="1:7" ht="12.75" x14ac:dyDescent="0.2">
      <c r="D57" s="3" t="s">
        <v>335</v>
      </c>
      <c r="E57" s="3"/>
      <c r="F57" s="3"/>
      <c r="G57" s="3"/>
    </row>
    <row r="58" spans="1:7" ht="12.75" x14ac:dyDescent="0.2">
      <c r="D58" s="3" t="s">
        <v>336</v>
      </c>
      <c r="E58" s="3"/>
      <c r="F58" s="3"/>
      <c r="G58" s="3"/>
    </row>
    <row r="59" spans="1:7" ht="12.75" x14ac:dyDescent="0.2">
      <c r="D59" s="3" t="s">
        <v>337</v>
      </c>
      <c r="E59" s="3"/>
      <c r="F59" s="3"/>
      <c r="G59" s="3"/>
    </row>
    <row r="60" spans="1:7" ht="12.75" x14ac:dyDescent="0.2">
      <c r="D60" s="3" t="s">
        <v>338</v>
      </c>
      <c r="E60" s="3"/>
      <c r="F60" s="3"/>
      <c r="G60" s="3"/>
    </row>
    <row r="61" spans="1:7" ht="12.75" x14ac:dyDescent="0.2">
      <c r="D61" s="3" t="s">
        <v>339</v>
      </c>
      <c r="E61" s="3"/>
      <c r="F61" s="3"/>
      <c r="G61" s="3"/>
    </row>
    <row r="62" spans="1:7" ht="12.75" x14ac:dyDescent="0.2">
      <c r="D62" s="3" t="s">
        <v>340</v>
      </c>
      <c r="E62" s="3"/>
      <c r="F62" s="3"/>
      <c r="G62" s="3"/>
    </row>
    <row r="63" spans="1:7" ht="12.75" x14ac:dyDescent="0.2">
      <c r="D63" s="3" t="s">
        <v>341</v>
      </c>
      <c r="E63" s="3"/>
      <c r="F63" s="3"/>
      <c r="G63" s="3"/>
    </row>
    <row r="64" spans="1:7" ht="12.75" x14ac:dyDescent="0.2">
      <c r="D64" s="3" t="s">
        <v>285</v>
      </c>
      <c r="E64" s="3"/>
      <c r="F64" s="3"/>
      <c r="G64" s="3"/>
    </row>
    <row r="65" spans="4:7" ht="12.75" x14ac:dyDescent="0.2">
      <c r="D65" s="3" t="s">
        <v>342</v>
      </c>
      <c r="E65" s="3"/>
      <c r="F65" s="3"/>
      <c r="G65" s="3"/>
    </row>
    <row r="66" spans="4:7" ht="12.75" x14ac:dyDescent="0.2">
      <c r="D66" s="3" t="s">
        <v>343</v>
      </c>
      <c r="E66" s="3"/>
      <c r="F66" s="3"/>
      <c r="G66" s="3"/>
    </row>
    <row r="67" spans="4:7" ht="12.75" x14ac:dyDescent="0.2">
      <c r="D67" s="3" t="s">
        <v>344</v>
      </c>
      <c r="E67" s="3"/>
      <c r="F67" s="3"/>
      <c r="G67" s="3"/>
    </row>
    <row r="68" spans="4:7" ht="12.75" x14ac:dyDescent="0.2">
      <c r="D68" s="3" t="s">
        <v>345</v>
      </c>
      <c r="E68" s="3"/>
      <c r="F68" s="3"/>
      <c r="G68" s="3"/>
    </row>
    <row r="69" spans="4:7" ht="12.75" x14ac:dyDescent="0.2">
      <c r="D69" s="3" t="s">
        <v>346</v>
      </c>
      <c r="E69" s="3"/>
      <c r="F69" s="3"/>
      <c r="G69" s="3"/>
    </row>
    <row r="70" spans="4:7" ht="12.75" x14ac:dyDescent="0.2">
      <c r="D70" s="3" t="s">
        <v>347</v>
      </c>
      <c r="E70" s="3"/>
      <c r="F70" s="3"/>
      <c r="G70" s="3"/>
    </row>
    <row r="71" spans="4:7" ht="12.75" x14ac:dyDescent="0.2">
      <c r="D71" s="3" t="s">
        <v>348</v>
      </c>
      <c r="E71" s="3"/>
      <c r="F71" s="3"/>
      <c r="G71" s="3"/>
    </row>
    <row r="72" spans="4:7" ht="12.75" x14ac:dyDescent="0.2">
      <c r="D72" s="3" t="s">
        <v>349</v>
      </c>
      <c r="E72" s="3"/>
      <c r="F72" s="3"/>
      <c r="G72" s="3"/>
    </row>
    <row r="73" spans="4:7" ht="12.75" x14ac:dyDescent="0.2">
      <c r="D73" s="3" t="s">
        <v>287</v>
      </c>
      <c r="E73" s="3"/>
      <c r="F73" s="3"/>
      <c r="G73" s="3"/>
    </row>
    <row r="74" spans="4:7" ht="12.75" x14ac:dyDescent="0.2">
      <c r="D74" s="3" t="s">
        <v>350</v>
      </c>
      <c r="E74" s="3"/>
      <c r="F74" s="3"/>
      <c r="G74" s="3"/>
    </row>
    <row r="75" spans="4:7" ht="12.75" x14ac:dyDescent="0.2">
      <c r="D75" s="3" t="s">
        <v>351</v>
      </c>
      <c r="E75" s="3"/>
      <c r="F75" s="3"/>
      <c r="G75" s="3"/>
    </row>
    <row r="76" spans="4:7" ht="12.75" x14ac:dyDescent="0.2">
      <c r="D76" s="3" t="s">
        <v>352</v>
      </c>
      <c r="E76" s="3"/>
      <c r="F76" s="3"/>
      <c r="G76" s="3"/>
    </row>
    <row r="77" spans="4:7" ht="12.75" x14ac:dyDescent="0.2">
      <c r="D77" s="3" t="s">
        <v>353</v>
      </c>
      <c r="E77" s="3"/>
      <c r="F77" s="3"/>
      <c r="G77" s="3"/>
    </row>
    <row r="78" spans="4:7" ht="12.75" x14ac:dyDescent="0.2">
      <c r="D78" s="3" t="s">
        <v>354</v>
      </c>
      <c r="E78" s="3"/>
      <c r="F78" s="3"/>
      <c r="G78" s="3"/>
    </row>
    <row r="79" spans="4:7" ht="12.75" x14ac:dyDescent="0.2">
      <c r="D79" s="3" t="s">
        <v>355</v>
      </c>
      <c r="E79" s="3"/>
      <c r="F79" s="3"/>
      <c r="G79" s="3"/>
    </row>
    <row r="80" spans="4:7" ht="12.75" x14ac:dyDescent="0.2">
      <c r="D80" s="3" t="s">
        <v>356</v>
      </c>
      <c r="E80" s="3"/>
      <c r="F80" s="3"/>
      <c r="G80" s="3"/>
    </row>
    <row r="81" spans="4:7" ht="12.75" x14ac:dyDescent="0.2">
      <c r="D81" s="3" t="s">
        <v>357</v>
      </c>
      <c r="E81" s="3"/>
      <c r="F81" s="3"/>
      <c r="G81" s="3"/>
    </row>
    <row r="82" spans="4:7" ht="12.75" x14ac:dyDescent="0.2">
      <c r="D82" s="3" t="s">
        <v>358</v>
      </c>
      <c r="E82" s="3"/>
      <c r="F82" s="3"/>
      <c r="G82" s="3"/>
    </row>
    <row r="83" spans="4:7" ht="12.75" x14ac:dyDescent="0.2">
      <c r="D83" s="3" t="s">
        <v>359</v>
      </c>
      <c r="E83" s="3"/>
      <c r="F83" s="3"/>
      <c r="G83" s="3"/>
    </row>
    <row r="84" spans="4:7" ht="12.75" x14ac:dyDescent="0.2">
      <c r="D84" s="3" t="s">
        <v>288</v>
      </c>
      <c r="E84" s="3"/>
      <c r="F84" s="3"/>
      <c r="G84" s="3"/>
    </row>
    <row r="85" spans="4:7" ht="12.75" x14ac:dyDescent="0.2">
      <c r="D85" s="3" t="s">
        <v>289</v>
      </c>
      <c r="E85" s="3"/>
      <c r="F85" s="3"/>
      <c r="G85" s="3"/>
    </row>
    <row r="86" spans="4:7" ht="12.75" x14ac:dyDescent="0.2">
      <c r="D86" s="3" t="s">
        <v>290</v>
      </c>
      <c r="E86" s="3"/>
      <c r="F86" s="3"/>
      <c r="G86" s="3"/>
    </row>
    <row r="87" spans="4:7" ht="12.75" x14ac:dyDescent="0.2">
      <c r="D87" s="3" t="s">
        <v>259</v>
      </c>
      <c r="E87" s="3"/>
      <c r="F87" s="3"/>
      <c r="G87" s="3"/>
    </row>
    <row r="88" spans="4:7" ht="12.75" x14ac:dyDescent="0.2">
      <c r="D88" s="3" t="s">
        <v>360</v>
      </c>
      <c r="E88" s="3"/>
      <c r="F88" s="3"/>
      <c r="G88" s="3"/>
    </row>
    <row r="89" spans="4:7" ht="12.75" x14ac:dyDescent="0.2">
      <c r="D89" s="3" t="s">
        <v>361</v>
      </c>
      <c r="E89" s="3"/>
      <c r="F89" s="3"/>
      <c r="G89" s="3"/>
    </row>
    <row r="90" spans="4:7" ht="12.75" x14ac:dyDescent="0.2">
      <c r="D90" s="3" t="s">
        <v>291</v>
      </c>
      <c r="E90" s="3"/>
      <c r="F90" s="3"/>
      <c r="G90" s="3"/>
    </row>
    <row r="91" spans="4:7" ht="12.75" x14ac:dyDescent="0.2">
      <c r="D91" s="3" t="s">
        <v>362</v>
      </c>
      <c r="E91" s="3"/>
      <c r="F91" s="3"/>
      <c r="G91" s="3"/>
    </row>
    <row r="92" spans="4:7" ht="12.75" x14ac:dyDescent="0.2">
      <c r="D92" s="3" t="s">
        <v>363</v>
      </c>
      <c r="E92" s="3"/>
      <c r="F92" s="3"/>
      <c r="G92" s="3"/>
    </row>
    <row r="93" spans="4:7" ht="12.75" x14ac:dyDescent="0.2">
      <c r="D93" s="3"/>
      <c r="E93" s="3"/>
      <c r="F93" s="3"/>
      <c r="G93" s="3"/>
    </row>
  </sheetData>
  <sheetProtection algorithmName="SHA-512" hashValue="DIuQp+JGgWpT/u2Cu6Ny6daL33TGc4nlYQI7K6YZiK5w/9wsiJ8rb+vSIqnBq8qs+MTWmLtCZNMhV+Tn2jKeDw==" saltValue="j3FWNBk0W9B+tFgNAt0SIg==" spinCount="100000" sheet="1" objects="1" scenarios="1"/>
  <protectedRanges>
    <protectedRange sqref="F42:F250 G43:XFD251 A49:A251 B43:E251" name="Range2"/>
    <protectedRange sqref="D1:ZY3 F4 C5:C1048576 E4 G4:ZY4 D5:E1048576 G5:ZY1048576 F5 F6:F1048576 C4 C1:C3" name="Range1"/>
  </protectedRanges>
  <mergeCells count="2">
    <mergeCell ref="A2:F2"/>
    <mergeCell ref="A1:D1"/>
  </mergeCells>
  <pageMargins left="0.25" right="0.25" top="0.75" bottom="0.75" header="0.3" footer="0.3"/>
  <pageSetup fitToHeight="0" orientation="landscape" r:id="rId1"/>
  <headerFooter differentFirst="1">
    <oddFooter>&amp;L&amp;"Arial,Italic"&amp;8p-sbap5-43&amp;C&amp;"Arial,Italic"&amp;8 •  www.pca.state.mn.us  •  Available in alternative formats  •  651-296-6300  •  800-657-3864  •  Use your preferred relay service&amp;R&amp;"Arial,Italic"&amp;8Page &amp;P of &amp;N</oddFooter>
    <firstFooter>&amp;L&amp;10Internal Combustion Engine Calculator - Instructions&amp;R&amp;10&amp;P</first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67"/>
  <sheetViews>
    <sheetView workbookViewId="0"/>
  </sheetViews>
  <sheetFormatPr defaultRowHeight="15" x14ac:dyDescent="0.25"/>
  <cols>
    <col min="1" max="1" width="20.5703125" style="361" customWidth="1"/>
    <col min="2" max="2" width="15" customWidth="1"/>
  </cols>
  <sheetData>
    <row r="1" spans="1:2" x14ac:dyDescent="0.25">
      <c r="A1" s="362" t="s">
        <v>234</v>
      </c>
      <c r="B1" s="364">
        <f>'Business information'!C9</f>
        <v>0</v>
      </c>
    </row>
    <row r="2" spans="1:2" x14ac:dyDescent="0.25">
      <c r="A2" s="363" t="s">
        <v>253</v>
      </c>
      <c r="B2" s="365">
        <f>'Business information'!C10</f>
        <v>0</v>
      </c>
    </row>
    <row r="3" spans="1:2" x14ac:dyDescent="0.25">
      <c r="A3" s="363" t="s">
        <v>254</v>
      </c>
      <c r="B3" s="365">
        <f>'Business information'!C11</f>
        <v>0</v>
      </c>
    </row>
    <row r="4" spans="1:2" x14ac:dyDescent="0.25">
      <c r="A4" s="363" t="s">
        <v>249</v>
      </c>
      <c r="B4" s="365">
        <f>'Business information'!C12</f>
        <v>0</v>
      </c>
    </row>
    <row r="5" spans="1:2" x14ac:dyDescent="0.25">
      <c r="A5" s="363" t="s">
        <v>255</v>
      </c>
      <c r="B5" s="365" t="str">
        <f>'Business information'!C13</f>
        <v>Choose one</v>
      </c>
    </row>
    <row r="6" spans="1:2" x14ac:dyDescent="0.25">
      <c r="A6" s="363" t="s">
        <v>250</v>
      </c>
      <c r="B6" s="365" t="str">
        <f>'Business information'!C14</f>
        <v>MN</v>
      </c>
    </row>
    <row r="7" spans="1:2" x14ac:dyDescent="0.25">
      <c r="A7" s="363" t="s">
        <v>251</v>
      </c>
      <c r="B7" s="365">
        <f>'Business information'!C15</f>
        <v>0</v>
      </c>
    </row>
    <row r="8" spans="1:2" x14ac:dyDescent="0.25">
      <c r="A8" s="363" t="s">
        <v>247</v>
      </c>
      <c r="B8" s="365">
        <f>'Business information'!C18</f>
        <v>0</v>
      </c>
    </row>
    <row r="9" spans="1:2" x14ac:dyDescent="0.25">
      <c r="A9" s="363" t="s">
        <v>248</v>
      </c>
      <c r="B9" s="365">
        <f>'Business information'!C19</f>
        <v>0</v>
      </c>
    </row>
    <row r="10" spans="1:2" x14ac:dyDescent="0.25">
      <c r="A10" s="363" t="s">
        <v>249</v>
      </c>
      <c r="B10" s="365">
        <f>'Business information'!C20</f>
        <v>0</v>
      </c>
    </row>
    <row r="11" spans="1:2" x14ac:dyDescent="0.25">
      <c r="A11" s="363" t="s">
        <v>250</v>
      </c>
      <c r="B11" s="365">
        <f>'Business information'!C21</f>
        <v>0</v>
      </c>
    </row>
    <row r="12" spans="1:2" x14ac:dyDescent="0.25">
      <c r="A12" s="363" t="s">
        <v>251</v>
      </c>
      <c r="B12" s="365">
        <f>'Business information'!C22</f>
        <v>0</v>
      </c>
    </row>
    <row r="13" spans="1:2" x14ac:dyDescent="0.25">
      <c r="A13" s="363" t="s">
        <v>426</v>
      </c>
      <c r="B13" s="365" t="str">
        <f>'Business information'!D24</f>
        <v>Choose one</v>
      </c>
    </row>
    <row r="14" spans="1:2" x14ac:dyDescent="0.25">
      <c r="A14" s="363" t="s">
        <v>424</v>
      </c>
      <c r="B14" s="365">
        <f>'Business information'!D25</f>
        <v>0</v>
      </c>
    </row>
    <row r="15" spans="1:2" x14ac:dyDescent="0.25">
      <c r="A15" s="363" t="s">
        <v>243</v>
      </c>
      <c r="B15" s="365">
        <f>'Business information'!C34</f>
        <v>0</v>
      </c>
    </row>
    <row r="16" spans="1:2" x14ac:dyDescent="0.25">
      <c r="A16" s="363" t="s">
        <v>244</v>
      </c>
      <c r="B16" s="365">
        <f>'Business information'!C35</f>
        <v>0</v>
      </c>
    </row>
    <row r="17" spans="1:2" x14ac:dyDescent="0.25">
      <c r="A17" s="363" t="s">
        <v>245</v>
      </c>
      <c r="B17" s="365">
        <f>'Business information'!C36</f>
        <v>0</v>
      </c>
    </row>
    <row r="18" spans="1:2" x14ac:dyDescent="0.25">
      <c r="A18" s="363" t="s">
        <v>246</v>
      </c>
      <c r="B18" s="365">
        <f>'Business information'!C37</f>
        <v>0</v>
      </c>
    </row>
    <row r="19" spans="1:2" x14ac:dyDescent="0.25">
      <c r="A19" s="363" t="s">
        <v>247</v>
      </c>
      <c r="B19" s="365">
        <f>'Business information'!C38</f>
        <v>0</v>
      </c>
    </row>
    <row r="20" spans="1:2" x14ac:dyDescent="0.25">
      <c r="A20" s="363" t="s">
        <v>248</v>
      </c>
      <c r="B20" s="365">
        <f>'Business information'!C39</f>
        <v>0</v>
      </c>
    </row>
    <row r="21" spans="1:2" x14ac:dyDescent="0.25">
      <c r="A21" s="363" t="s">
        <v>249</v>
      </c>
      <c r="B21" s="365">
        <f>'Business information'!C40</f>
        <v>0</v>
      </c>
    </row>
    <row r="22" spans="1:2" x14ac:dyDescent="0.25">
      <c r="A22" s="363" t="s">
        <v>250</v>
      </c>
      <c r="B22" s="365">
        <f>'Business information'!C41</f>
        <v>0</v>
      </c>
    </row>
    <row r="23" spans="1:2" x14ac:dyDescent="0.25">
      <c r="A23" s="363" t="s">
        <v>251</v>
      </c>
      <c r="B23" s="365">
        <f>'Business information'!C42</f>
        <v>0</v>
      </c>
    </row>
    <row r="24" spans="1:2" x14ac:dyDescent="0.25">
      <c r="A24" s="363" t="s">
        <v>240</v>
      </c>
      <c r="B24" s="365" t="str">
        <f>'Business information'!C43</f>
        <v>Choose one</v>
      </c>
    </row>
    <row r="25" spans="1:2" x14ac:dyDescent="0.25">
      <c r="A25" s="363" t="s">
        <v>241</v>
      </c>
      <c r="B25" s="365">
        <f>'Business information'!C44</f>
        <v>0</v>
      </c>
    </row>
    <row r="26" spans="1:2" x14ac:dyDescent="0.25">
      <c r="A26" s="362" t="s">
        <v>515</v>
      </c>
      <c r="B26" s="367" t="str">
        <f>IF(SUM('Potential emissions'!J7:J47)&gt;0,"Exceeds","Below")</f>
        <v>Below</v>
      </c>
    </row>
    <row r="27" spans="1:2" x14ac:dyDescent="0.25">
      <c r="A27" s="362" t="s">
        <v>514</v>
      </c>
      <c r="B27" s="367" t="str">
        <f>IF(SUM('Actual emissions'!J7:J47)&gt;0,"Exceeds","Below")</f>
        <v>Below</v>
      </c>
    </row>
    <row r="28" spans="1:2" x14ac:dyDescent="0.25">
      <c r="A28" s="362" t="s">
        <v>267</v>
      </c>
      <c r="B28" s="210" t="str">
        <f>'Engine 1'!$C$5</f>
        <v>Engine 1</v>
      </c>
    </row>
    <row r="29" spans="1:2" x14ac:dyDescent="0.25">
      <c r="A29" s="363" t="s">
        <v>226</v>
      </c>
      <c r="B29" s="210">
        <f>'Engine 1'!$C$6</f>
        <v>0</v>
      </c>
    </row>
    <row r="30" spans="1:2" x14ac:dyDescent="0.25">
      <c r="A30" s="363" t="s">
        <v>227</v>
      </c>
      <c r="B30" s="210">
        <f>'Engine 1'!$C$7</f>
        <v>0</v>
      </c>
    </row>
    <row r="31" spans="1:2" x14ac:dyDescent="0.25">
      <c r="A31" s="363" t="s">
        <v>269</v>
      </c>
      <c r="B31" s="210">
        <f>'Engine 1'!$C$8</f>
        <v>0</v>
      </c>
    </row>
    <row r="32" spans="1:2" x14ac:dyDescent="0.25">
      <c r="A32" s="363" t="s">
        <v>270</v>
      </c>
      <c r="B32" s="210">
        <f>'Engine 1'!$G$5</f>
        <v>0</v>
      </c>
    </row>
    <row r="33" spans="1:2" x14ac:dyDescent="0.25">
      <c r="A33" s="363" t="s">
        <v>271</v>
      </c>
      <c r="B33" s="210">
        <f>'Engine 1'!$G$6</f>
        <v>0</v>
      </c>
    </row>
    <row r="34" spans="1:2" x14ac:dyDescent="0.25">
      <c r="A34" s="363" t="s">
        <v>272</v>
      </c>
      <c r="B34" s="210">
        <f>'Engine 1'!$G$7</f>
        <v>0</v>
      </c>
    </row>
    <row r="35" spans="1:2" x14ac:dyDescent="0.25">
      <c r="A35" s="363" t="s">
        <v>273</v>
      </c>
      <c r="B35" s="210" t="str">
        <f>'Engine 1'!$G$8</f>
        <v>Choose one</v>
      </c>
    </row>
    <row r="36" spans="1:2" x14ac:dyDescent="0.25">
      <c r="A36" s="363" t="s">
        <v>263</v>
      </c>
      <c r="B36" s="210" t="str">
        <f>'Engine 1'!$B$11</f>
        <v>Choose one</v>
      </c>
    </row>
    <row r="37" spans="1:2" x14ac:dyDescent="0.25">
      <c r="A37" s="363" t="s">
        <v>264</v>
      </c>
      <c r="B37" s="210" t="str">
        <f>'Engine 1'!$B$12</f>
        <v>Choose one</v>
      </c>
    </row>
    <row r="38" spans="1:2" x14ac:dyDescent="0.25">
      <c r="A38" s="363" t="s">
        <v>265</v>
      </c>
      <c r="B38" s="210" t="str">
        <f>'Engine 1'!$B$13</f>
        <v>Choose one</v>
      </c>
    </row>
    <row r="39" spans="1:2" x14ac:dyDescent="0.25">
      <c r="A39" s="363" t="s">
        <v>421</v>
      </c>
      <c r="B39" s="210" t="str">
        <f>'Engine 1'!$B$16</f>
        <v>Choose one</v>
      </c>
    </row>
    <row r="40" spans="1:2" x14ac:dyDescent="0.25">
      <c r="A40" s="363" t="s">
        <v>513</v>
      </c>
      <c r="B40" s="210">
        <f>'Engine 1'!$F$32</f>
        <v>0</v>
      </c>
    </row>
    <row r="41" spans="1:2" x14ac:dyDescent="0.25">
      <c r="A41" s="363" t="s">
        <v>130</v>
      </c>
      <c r="B41" s="210" t="str">
        <f>'Engine 1'!$E$19</f>
        <v>Choose one</v>
      </c>
    </row>
    <row r="42" spans="1:2" x14ac:dyDescent="0.25">
      <c r="A42" s="363" t="s">
        <v>131</v>
      </c>
      <c r="B42" s="210" t="str">
        <f>'Engine 1'!$E$20</f>
        <v>Choose one</v>
      </c>
    </row>
    <row r="43" spans="1:2" x14ac:dyDescent="0.25">
      <c r="A43" s="363" t="s">
        <v>506</v>
      </c>
      <c r="B43" s="210" t="str">
        <f>'Engine 1'!$D$21</f>
        <v xml:space="preserve"> </v>
      </c>
    </row>
    <row r="44" spans="1:2" x14ac:dyDescent="0.25">
      <c r="A44" s="363" t="s">
        <v>510</v>
      </c>
      <c r="B44" s="210">
        <f>'Engine 1'!$E$21</f>
        <v>0</v>
      </c>
    </row>
    <row r="45" spans="1:2" x14ac:dyDescent="0.25">
      <c r="A45" s="363" t="s">
        <v>507</v>
      </c>
      <c r="B45" s="210" t="str">
        <f>'Engine 1'!$F$21</f>
        <v xml:space="preserve"> </v>
      </c>
    </row>
    <row r="46" spans="1:2" x14ac:dyDescent="0.25">
      <c r="A46" s="363" t="s">
        <v>508</v>
      </c>
      <c r="B46" s="210" t="str">
        <f>'Engine 1'!$B$22</f>
        <v>Choose one to calculate actual emissions</v>
      </c>
    </row>
    <row r="47" spans="1:2" x14ac:dyDescent="0.25">
      <c r="A47" s="363" t="s">
        <v>510</v>
      </c>
      <c r="B47" s="210">
        <f>'Engine 1'!$E$22</f>
        <v>0</v>
      </c>
    </row>
    <row r="48" spans="1:2" x14ac:dyDescent="0.25">
      <c r="A48" s="363" t="s">
        <v>507</v>
      </c>
      <c r="B48" s="210" t="str">
        <f>'Engine 1'!$F$22</f>
        <v xml:space="preserve"> </v>
      </c>
    </row>
    <row r="49" spans="1:2" x14ac:dyDescent="0.25">
      <c r="A49" s="363" t="s">
        <v>509</v>
      </c>
      <c r="B49" s="210" t="str">
        <f>'Engine 1'!$D$23</f>
        <v xml:space="preserve"> </v>
      </c>
    </row>
    <row r="50" spans="1:2" x14ac:dyDescent="0.25">
      <c r="A50" s="363" t="s">
        <v>510</v>
      </c>
      <c r="B50" s="366" t="str">
        <f>'Engine 1'!$E$23</f>
        <v xml:space="preserve"> </v>
      </c>
    </row>
    <row r="51" spans="1:2" x14ac:dyDescent="0.25">
      <c r="A51" s="363" t="s">
        <v>507</v>
      </c>
      <c r="B51" s="210" t="str">
        <f>'Engine 1'!$F$23</f>
        <v xml:space="preserve"> </v>
      </c>
    </row>
    <row r="52" spans="1:2" x14ac:dyDescent="0.25">
      <c r="A52" s="363" t="s">
        <v>511</v>
      </c>
      <c r="B52" s="210" t="str">
        <f>'Engine 1'!$D$24</f>
        <v xml:space="preserve"> </v>
      </c>
    </row>
    <row r="53" spans="1:2" x14ac:dyDescent="0.25">
      <c r="A53" s="363" t="s">
        <v>510</v>
      </c>
      <c r="B53" s="366" t="str">
        <f>'Engine 1'!$E$24</f>
        <v xml:space="preserve"> </v>
      </c>
    </row>
    <row r="54" spans="1:2" x14ac:dyDescent="0.25">
      <c r="A54" s="363" t="s">
        <v>507</v>
      </c>
      <c r="B54" s="210" t="str">
        <f>'Engine 1'!$F$24</f>
        <v xml:space="preserve"> </v>
      </c>
    </row>
    <row r="55" spans="1:2" x14ac:dyDescent="0.25">
      <c r="A55" s="363" t="s">
        <v>512</v>
      </c>
      <c r="B55" s="210" t="str">
        <f>'Engine 1'!$E$25</f>
        <v>NA</v>
      </c>
    </row>
    <row r="56" spans="1:2" x14ac:dyDescent="0.25">
      <c r="A56" s="362" t="s">
        <v>267</v>
      </c>
      <c r="B56" s="210" t="str">
        <f>'Engine 2'!$C$5</f>
        <v>Engine 2</v>
      </c>
    </row>
    <row r="57" spans="1:2" x14ac:dyDescent="0.25">
      <c r="A57" s="363" t="s">
        <v>226</v>
      </c>
      <c r="B57" s="210">
        <f>'Engine 2'!$C$6</f>
        <v>0</v>
      </c>
    </row>
    <row r="58" spans="1:2" x14ac:dyDescent="0.25">
      <c r="A58" s="363" t="s">
        <v>227</v>
      </c>
      <c r="B58" s="210">
        <f>'Engine 2'!$C$7</f>
        <v>0</v>
      </c>
    </row>
    <row r="59" spans="1:2" x14ac:dyDescent="0.25">
      <c r="A59" s="363" t="s">
        <v>269</v>
      </c>
      <c r="B59" s="210">
        <f>'Engine 2'!$C$8</f>
        <v>0</v>
      </c>
    </row>
    <row r="60" spans="1:2" x14ac:dyDescent="0.25">
      <c r="A60" s="363" t="s">
        <v>270</v>
      </c>
      <c r="B60" s="210">
        <f>'Engine 2'!$G$5</f>
        <v>0</v>
      </c>
    </row>
    <row r="61" spans="1:2" x14ac:dyDescent="0.25">
      <c r="A61" s="363" t="s">
        <v>271</v>
      </c>
      <c r="B61" s="210">
        <f>'Engine 2'!$G$6</f>
        <v>0</v>
      </c>
    </row>
    <row r="62" spans="1:2" x14ac:dyDescent="0.25">
      <c r="A62" s="363" t="s">
        <v>272</v>
      </c>
      <c r="B62" s="210">
        <f>'Engine 2'!$G$7</f>
        <v>0</v>
      </c>
    </row>
    <row r="63" spans="1:2" x14ac:dyDescent="0.25">
      <c r="A63" s="363" t="s">
        <v>273</v>
      </c>
      <c r="B63" s="210" t="str">
        <f>'Engine 2'!$G$8</f>
        <v>Choose one</v>
      </c>
    </row>
    <row r="64" spans="1:2" x14ac:dyDescent="0.25">
      <c r="A64" s="363" t="s">
        <v>263</v>
      </c>
      <c r="B64" s="210" t="str">
        <f>'Engine 2'!$B$11</f>
        <v>Choose one</v>
      </c>
    </row>
    <row r="65" spans="1:2" x14ac:dyDescent="0.25">
      <c r="A65" s="363" t="s">
        <v>264</v>
      </c>
      <c r="B65" s="210" t="str">
        <f>'Engine 2'!$B$12</f>
        <v>Choose one</v>
      </c>
    </row>
    <row r="66" spans="1:2" x14ac:dyDescent="0.25">
      <c r="A66" s="363" t="s">
        <v>265</v>
      </c>
      <c r="B66" s="210" t="str">
        <f>'Engine 2'!$B$13</f>
        <v>Choose one</v>
      </c>
    </row>
    <row r="67" spans="1:2" x14ac:dyDescent="0.25">
      <c r="A67" s="363" t="s">
        <v>421</v>
      </c>
      <c r="B67" s="210" t="str">
        <f>'Engine 2'!$B$16</f>
        <v>Choose one</v>
      </c>
    </row>
    <row r="68" spans="1:2" x14ac:dyDescent="0.25">
      <c r="A68" s="363" t="s">
        <v>513</v>
      </c>
      <c r="B68" s="210">
        <f>'Engine 2'!$F$32</f>
        <v>0</v>
      </c>
    </row>
    <row r="69" spans="1:2" x14ac:dyDescent="0.25">
      <c r="A69" s="363" t="s">
        <v>130</v>
      </c>
      <c r="B69" s="210" t="str">
        <f>'Engine 2'!$E$19</f>
        <v>Choose one</v>
      </c>
    </row>
    <row r="70" spans="1:2" x14ac:dyDescent="0.25">
      <c r="A70" s="363" t="s">
        <v>131</v>
      </c>
      <c r="B70" s="210" t="str">
        <f>'Engine 2'!$E$20</f>
        <v>Choose one</v>
      </c>
    </row>
    <row r="71" spans="1:2" x14ac:dyDescent="0.25">
      <c r="A71" s="363" t="s">
        <v>506</v>
      </c>
      <c r="B71" s="210" t="str">
        <f>'Engine 2'!$D$21</f>
        <v xml:space="preserve"> </v>
      </c>
    </row>
    <row r="72" spans="1:2" x14ac:dyDescent="0.25">
      <c r="A72" s="363" t="s">
        <v>510</v>
      </c>
      <c r="B72" s="210">
        <f>'Engine 2'!$E$21</f>
        <v>0</v>
      </c>
    </row>
    <row r="73" spans="1:2" x14ac:dyDescent="0.25">
      <c r="A73" s="363" t="s">
        <v>507</v>
      </c>
      <c r="B73" s="210" t="str">
        <f>'Engine 2'!$F$21</f>
        <v xml:space="preserve"> </v>
      </c>
    </row>
    <row r="74" spans="1:2" x14ac:dyDescent="0.25">
      <c r="A74" s="363" t="s">
        <v>508</v>
      </c>
      <c r="B74" s="210" t="str">
        <f>'Engine 2'!$B$22</f>
        <v>Choose one to calculate actual emissions</v>
      </c>
    </row>
    <row r="75" spans="1:2" x14ac:dyDescent="0.25">
      <c r="A75" s="363" t="s">
        <v>510</v>
      </c>
      <c r="B75" s="210">
        <f>'Engine 2'!$E$22</f>
        <v>0</v>
      </c>
    </row>
    <row r="76" spans="1:2" x14ac:dyDescent="0.25">
      <c r="A76" s="363" t="s">
        <v>507</v>
      </c>
      <c r="B76" s="210" t="str">
        <f>'Engine 2'!$F$22</f>
        <v xml:space="preserve"> </v>
      </c>
    </row>
    <row r="77" spans="1:2" x14ac:dyDescent="0.25">
      <c r="A77" s="363" t="s">
        <v>509</v>
      </c>
      <c r="B77" s="210" t="str">
        <f>'Engine 2'!$D$23</f>
        <v xml:space="preserve"> </v>
      </c>
    </row>
    <row r="78" spans="1:2" x14ac:dyDescent="0.25">
      <c r="A78" s="363" t="s">
        <v>510</v>
      </c>
      <c r="B78" s="366" t="str">
        <f>'Engine 2'!$E$23</f>
        <v xml:space="preserve"> </v>
      </c>
    </row>
    <row r="79" spans="1:2" x14ac:dyDescent="0.25">
      <c r="A79" s="363" t="s">
        <v>507</v>
      </c>
      <c r="B79" s="210" t="str">
        <f>'Engine 2'!$F$23</f>
        <v xml:space="preserve"> </v>
      </c>
    </row>
    <row r="80" spans="1:2" x14ac:dyDescent="0.25">
      <c r="A80" s="363" t="s">
        <v>511</v>
      </c>
      <c r="B80" s="210" t="str">
        <f>'Engine 2'!$D$24</f>
        <v xml:space="preserve"> </v>
      </c>
    </row>
    <row r="81" spans="1:2" x14ac:dyDescent="0.25">
      <c r="A81" s="363" t="s">
        <v>510</v>
      </c>
      <c r="B81" s="366" t="str">
        <f>'Engine 2'!$E$24</f>
        <v xml:space="preserve"> </v>
      </c>
    </row>
    <row r="82" spans="1:2" x14ac:dyDescent="0.25">
      <c r="A82" s="363" t="s">
        <v>507</v>
      </c>
      <c r="B82" s="210" t="str">
        <f>'Engine 2'!$F$24</f>
        <v xml:space="preserve"> </v>
      </c>
    </row>
    <row r="83" spans="1:2" x14ac:dyDescent="0.25">
      <c r="A83" s="363" t="s">
        <v>512</v>
      </c>
      <c r="B83" s="210" t="str">
        <f>'Engine 2'!$E$25</f>
        <v>NA</v>
      </c>
    </row>
    <row r="84" spans="1:2" x14ac:dyDescent="0.25">
      <c r="A84" s="362" t="s">
        <v>267</v>
      </c>
      <c r="B84" s="210" t="str">
        <f>'Engine 3'!$C$5</f>
        <v>Engine 3</v>
      </c>
    </row>
    <row r="85" spans="1:2" x14ac:dyDescent="0.25">
      <c r="A85" s="363" t="s">
        <v>226</v>
      </c>
      <c r="B85" s="210">
        <f>'Engine 3'!$C$6</f>
        <v>0</v>
      </c>
    </row>
    <row r="86" spans="1:2" x14ac:dyDescent="0.25">
      <c r="A86" s="363" t="s">
        <v>227</v>
      </c>
      <c r="B86" s="210">
        <f>'Engine 3'!$C$7</f>
        <v>0</v>
      </c>
    </row>
    <row r="87" spans="1:2" x14ac:dyDescent="0.25">
      <c r="A87" s="363" t="s">
        <v>269</v>
      </c>
      <c r="B87" s="210">
        <f>'Engine 3'!$C$8</f>
        <v>0</v>
      </c>
    </row>
    <row r="88" spans="1:2" x14ac:dyDescent="0.25">
      <c r="A88" s="363" t="s">
        <v>270</v>
      </c>
      <c r="B88" s="210">
        <f>'Engine 3'!$G$5</f>
        <v>0</v>
      </c>
    </row>
    <row r="89" spans="1:2" x14ac:dyDescent="0.25">
      <c r="A89" s="363" t="s">
        <v>271</v>
      </c>
      <c r="B89" s="210">
        <f>'Engine 3'!$G$6</f>
        <v>0</v>
      </c>
    </row>
    <row r="90" spans="1:2" x14ac:dyDescent="0.25">
      <c r="A90" s="363" t="s">
        <v>272</v>
      </c>
      <c r="B90" s="210">
        <f>'Engine 3'!$G$7</f>
        <v>0</v>
      </c>
    </row>
    <row r="91" spans="1:2" x14ac:dyDescent="0.25">
      <c r="A91" s="363" t="s">
        <v>273</v>
      </c>
      <c r="B91" s="210" t="str">
        <f>'Engine 3'!$G$8</f>
        <v>Choose one</v>
      </c>
    </row>
    <row r="92" spans="1:2" x14ac:dyDescent="0.25">
      <c r="A92" s="363" t="s">
        <v>263</v>
      </c>
      <c r="B92" s="210" t="str">
        <f>'Engine 3'!$B$11</f>
        <v>Choose one</v>
      </c>
    </row>
    <row r="93" spans="1:2" x14ac:dyDescent="0.25">
      <c r="A93" s="363" t="s">
        <v>264</v>
      </c>
      <c r="B93" s="210" t="str">
        <f>'Engine 3'!$B$12</f>
        <v>Choose one</v>
      </c>
    </row>
    <row r="94" spans="1:2" x14ac:dyDescent="0.25">
      <c r="A94" s="363" t="s">
        <v>265</v>
      </c>
      <c r="B94" s="210" t="str">
        <f>'Engine 3'!$B$13</f>
        <v>Choose one</v>
      </c>
    </row>
    <row r="95" spans="1:2" x14ac:dyDescent="0.25">
      <c r="A95" s="363" t="s">
        <v>421</v>
      </c>
      <c r="B95" s="210" t="str">
        <f>'Engine 3'!$B$16</f>
        <v>Choose one</v>
      </c>
    </row>
    <row r="96" spans="1:2" x14ac:dyDescent="0.25">
      <c r="A96" s="363" t="s">
        <v>513</v>
      </c>
      <c r="B96" s="210">
        <f>'Engine 3'!$F$32</f>
        <v>0</v>
      </c>
    </row>
    <row r="97" spans="1:2" x14ac:dyDescent="0.25">
      <c r="A97" s="363" t="s">
        <v>130</v>
      </c>
      <c r="B97" s="210" t="str">
        <f>'Engine 3'!$E$19</f>
        <v>Choose one</v>
      </c>
    </row>
    <row r="98" spans="1:2" x14ac:dyDescent="0.25">
      <c r="A98" s="363" t="s">
        <v>131</v>
      </c>
      <c r="B98" s="210" t="str">
        <f>'Engine 3'!$E$20</f>
        <v>Choose one</v>
      </c>
    </row>
    <row r="99" spans="1:2" x14ac:dyDescent="0.25">
      <c r="A99" s="363" t="s">
        <v>506</v>
      </c>
      <c r="B99" s="210" t="str">
        <f>'Engine 3'!$D$21</f>
        <v xml:space="preserve"> </v>
      </c>
    </row>
    <row r="100" spans="1:2" x14ac:dyDescent="0.25">
      <c r="A100" s="363" t="s">
        <v>510</v>
      </c>
      <c r="B100" s="210">
        <f>'Engine 3'!$E$21</f>
        <v>0</v>
      </c>
    </row>
    <row r="101" spans="1:2" x14ac:dyDescent="0.25">
      <c r="A101" s="363" t="s">
        <v>507</v>
      </c>
      <c r="B101" s="210" t="str">
        <f>'Engine 3'!$F$21</f>
        <v xml:space="preserve"> </v>
      </c>
    </row>
    <row r="102" spans="1:2" x14ac:dyDescent="0.25">
      <c r="A102" s="363" t="s">
        <v>508</v>
      </c>
      <c r="B102" s="210" t="str">
        <f>'Engine 3'!$B$22</f>
        <v>Choose one to calculate actual emissions</v>
      </c>
    </row>
    <row r="103" spans="1:2" x14ac:dyDescent="0.25">
      <c r="A103" s="363" t="s">
        <v>510</v>
      </c>
      <c r="B103" s="210">
        <f>'Engine 3'!$E$22</f>
        <v>0</v>
      </c>
    </row>
    <row r="104" spans="1:2" x14ac:dyDescent="0.25">
      <c r="A104" s="363" t="s">
        <v>507</v>
      </c>
      <c r="B104" s="210" t="str">
        <f>'Engine 3'!$F$22</f>
        <v xml:space="preserve"> </v>
      </c>
    </row>
    <row r="105" spans="1:2" x14ac:dyDescent="0.25">
      <c r="A105" s="363" t="s">
        <v>509</v>
      </c>
      <c r="B105" s="210" t="str">
        <f>'Engine 3'!$D$23</f>
        <v xml:space="preserve"> </v>
      </c>
    </row>
    <row r="106" spans="1:2" x14ac:dyDescent="0.25">
      <c r="A106" s="363" t="s">
        <v>510</v>
      </c>
      <c r="B106" s="366" t="str">
        <f>'Engine 3'!$E$23</f>
        <v xml:space="preserve"> </v>
      </c>
    </row>
    <row r="107" spans="1:2" x14ac:dyDescent="0.25">
      <c r="A107" s="363" t="s">
        <v>507</v>
      </c>
      <c r="B107" s="210" t="str">
        <f>'Engine 3'!$F$23</f>
        <v xml:space="preserve"> </v>
      </c>
    </row>
    <row r="108" spans="1:2" x14ac:dyDescent="0.25">
      <c r="A108" s="363" t="s">
        <v>511</v>
      </c>
      <c r="B108" s="210" t="str">
        <f>'Engine 3'!$D$24</f>
        <v xml:space="preserve"> </v>
      </c>
    </row>
    <row r="109" spans="1:2" x14ac:dyDescent="0.25">
      <c r="A109" s="363" t="s">
        <v>510</v>
      </c>
      <c r="B109" s="366" t="str">
        <f>'Engine 3'!$E$24</f>
        <v xml:space="preserve"> </v>
      </c>
    </row>
    <row r="110" spans="1:2" x14ac:dyDescent="0.25">
      <c r="A110" s="363" t="s">
        <v>507</v>
      </c>
      <c r="B110" s="210" t="str">
        <f>'Engine 3'!$F$24</f>
        <v xml:space="preserve"> </v>
      </c>
    </row>
    <row r="111" spans="1:2" x14ac:dyDescent="0.25">
      <c r="A111" s="363" t="s">
        <v>512</v>
      </c>
      <c r="B111" s="210" t="str">
        <f>'Engine 3'!$E$25</f>
        <v>NA</v>
      </c>
    </row>
    <row r="112" spans="1:2" x14ac:dyDescent="0.25">
      <c r="A112" s="362" t="s">
        <v>267</v>
      </c>
      <c r="B112" s="210" t="str">
        <f>'Engine 4'!$C$5</f>
        <v>Engine 4</v>
      </c>
    </row>
    <row r="113" spans="1:2" x14ac:dyDescent="0.25">
      <c r="A113" s="363" t="s">
        <v>226</v>
      </c>
      <c r="B113" s="210">
        <f>'Engine 4'!$C$6</f>
        <v>0</v>
      </c>
    </row>
    <row r="114" spans="1:2" x14ac:dyDescent="0.25">
      <c r="A114" s="363" t="s">
        <v>227</v>
      </c>
      <c r="B114" s="210">
        <f>'Engine 4'!$C$7</f>
        <v>0</v>
      </c>
    </row>
    <row r="115" spans="1:2" x14ac:dyDescent="0.25">
      <c r="A115" s="363" t="s">
        <v>269</v>
      </c>
      <c r="B115" s="210">
        <f>'Engine 4'!$C$8</f>
        <v>0</v>
      </c>
    </row>
    <row r="116" spans="1:2" x14ac:dyDescent="0.25">
      <c r="A116" s="363" t="s">
        <v>270</v>
      </c>
      <c r="B116" s="210">
        <f>'Engine 4'!$G$5</f>
        <v>0</v>
      </c>
    </row>
    <row r="117" spans="1:2" x14ac:dyDescent="0.25">
      <c r="A117" s="363" t="s">
        <v>271</v>
      </c>
      <c r="B117" s="210">
        <f>'Engine 4'!$G$6</f>
        <v>0</v>
      </c>
    </row>
    <row r="118" spans="1:2" x14ac:dyDescent="0.25">
      <c r="A118" s="363" t="s">
        <v>272</v>
      </c>
      <c r="B118" s="210">
        <f>'Engine 4'!$G$7</f>
        <v>0</v>
      </c>
    </row>
    <row r="119" spans="1:2" x14ac:dyDescent="0.25">
      <c r="A119" s="363" t="s">
        <v>273</v>
      </c>
      <c r="B119" s="210" t="str">
        <f>'Engine 4'!$G$8</f>
        <v>Choose one</v>
      </c>
    </row>
    <row r="120" spans="1:2" x14ac:dyDescent="0.25">
      <c r="A120" s="363" t="s">
        <v>263</v>
      </c>
      <c r="B120" s="210" t="str">
        <f>'Engine 4'!$B$11</f>
        <v>Choose one</v>
      </c>
    </row>
    <row r="121" spans="1:2" x14ac:dyDescent="0.25">
      <c r="A121" s="363" t="s">
        <v>264</v>
      </c>
      <c r="B121" s="210" t="str">
        <f>'Engine 4'!$B$12</f>
        <v>Choose one</v>
      </c>
    </row>
    <row r="122" spans="1:2" x14ac:dyDescent="0.25">
      <c r="A122" s="363" t="s">
        <v>265</v>
      </c>
      <c r="B122" s="210" t="str">
        <f>'Engine 4'!$B$13</f>
        <v>Choose one</v>
      </c>
    </row>
    <row r="123" spans="1:2" x14ac:dyDescent="0.25">
      <c r="A123" s="363" t="s">
        <v>421</v>
      </c>
      <c r="B123" s="210" t="str">
        <f>'Engine 4'!$B$16</f>
        <v>Choose one</v>
      </c>
    </row>
    <row r="124" spans="1:2" x14ac:dyDescent="0.25">
      <c r="A124" s="363" t="s">
        <v>513</v>
      </c>
      <c r="B124" s="210">
        <f>'Engine 4'!$F$32</f>
        <v>0</v>
      </c>
    </row>
    <row r="125" spans="1:2" x14ac:dyDescent="0.25">
      <c r="A125" s="363" t="s">
        <v>130</v>
      </c>
      <c r="B125" s="210" t="str">
        <f>'Engine 4'!$E$19</f>
        <v>Choose one</v>
      </c>
    </row>
    <row r="126" spans="1:2" x14ac:dyDescent="0.25">
      <c r="A126" s="363" t="s">
        <v>131</v>
      </c>
      <c r="B126" s="210" t="str">
        <f>'Engine 4'!$E$20</f>
        <v>Choose one</v>
      </c>
    </row>
    <row r="127" spans="1:2" x14ac:dyDescent="0.25">
      <c r="A127" s="363" t="s">
        <v>506</v>
      </c>
      <c r="B127" s="210" t="str">
        <f>'Engine 4'!$D$21</f>
        <v xml:space="preserve"> </v>
      </c>
    </row>
    <row r="128" spans="1:2" x14ac:dyDescent="0.25">
      <c r="A128" s="363" t="s">
        <v>510</v>
      </c>
      <c r="B128" s="210">
        <f>'Engine 4'!$E$21</f>
        <v>0</v>
      </c>
    </row>
    <row r="129" spans="1:2" x14ac:dyDescent="0.25">
      <c r="A129" s="363" t="s">
        <v>507</v>
      </c>
      <c r="B129" s="210" t="str">
        <f>'Engine 4'!$F$21</f>
        <v xml:space="preserve"> </v>
      </c>
    </row>
    <row r="130" spans="1:2" x14ac:dyDescent="0.25">
      <c r="A130" s="363" t="s">
        <v>508</v>
      </c>
      <c r="B130" s="210" t="str">
        <f>'Engine 4'!$B$22</f>
        <v>Choose one to calculate actual emissions</v>
      </c>
    </row>
    <row r="131" spans="1:2" x14ac:dyDescent="0.25">
      <c r="A131" s="363" t="s">
        <v>510</v>
      </c>
      <c r="B131" s="210">
        <f>'Engine 4'!$E$22</f>
        <v>0</v>
      </c>
    </row>
    <row r="132" spans="1:2" x14ac:dyDescent="0.25">
      <c r="A132" s="363" t="s">
        <v>507</v>
      </c>
      <c r="B132" s="210" t="str">
        <f>'Engine 4'!$F$22</f>
        <v xml:space="preserve"> </v>
      </c>
    </row>
    <row r="133" spans="1:2" x14ac:dyDescent="0.25">
      <c r="A133" s="363" t="s">
        <v>509</v>
      </c>
      <c r="B133" s="210" t="str">
        <f>'Engine 4'!$D$23</f>
        <v xml:space="preserve"> </v>
      </c>
    </row>
    <row r="134" spans="1:2" x14ac:dyDescent="0.25">
      <c r="A134" s="363" t="s">
        <v>510</v>
      </c>
      <c r="B134" s="366" t="str">
        <f>'Engine 4'!$E$23</f>
        <v xml:space="preserve"> </v>
      </c>
    </row>
    <row r="135" spans="1:2" x14ac:dyDescent="0.25">
      <c r="A135" s="363" t="s">
        <v>507</v>
      </c>
      <c r="B135" s="210" t="str">
        <f>'Engine 4'!$F$23</f>
        <v xml:space="preserve"> </v>
      </c>
    </row>
    <row r="136" spans="1:2" x14ac:dyDescent="0.25">
      <c r="A136" s="363" t="s">
        <v>511</v>
      </c>
      <c r="B136" s="210" t="str">
        <f>'Engine 4'!$D$24</f>
        <v xml:space="preserve"> </v>
      </c>
    </row>
    <row r="137" spans="1:2" x14ac:dyDescent="0.25">
      <c r="A137" s="363" t="s">
        <v>510</v>
      </c>
      <c r="B137" s="366" t="str">
        <f>'Engine 4'!$E$24</f>
        <v xml:space="preserve"> </v>
      </c>
    </row>
    <row r="138" spans="1:2" x14ac:dyDescent="0.25">
      <c r="A138" s="363" t="s">
        <v>507</v>
      </c>
      <c r="B138" s="210" t="str">
        <f>'Engine 4'!$F$24</f>
        <v xml:space="preserve"> </v>
      </c>
    </row>
    <row r="139" spans="1:2" x14ac:dyDescent="0.25">
      <c r="A139" s="363" t="s">
        <v>512</v>
      </c>
      <c r="B139" s="210" t="str">
        <f>'Engine 4'!$E$25</f>
        <v>NA</v>
      </c>
    </row>
    <row r="140" spans="1:2" x14ac:dyDescent="0.25">
      <c r="A140" s="362" t="s">
        <v>267</v>
      </c>
      <c r="B140" s="210" t="str">
        <f>'Engine 5'!$C$5</f>
        <v>Engine 5</v>
      </c>
    </row>
    <row r="141" spans="1:2" x14ac:dyDescent="0.25">
      <c r="A141" s="363" t="s">
        <v>226</v>
      </c>
      <c r="B141" s="210">
        <f>'Engine 5'!$C$6</f>
        <v>0</v>
      </c>
    </row>
    <row r="142" spans="1:2" x14ac:dyDescent="0.25">
      <c r="A142" s="363" t="s">
        <v>227</v>
      </c>
      <c r="B142" s="210">
        <f>'Engine 5'!$C$7</f>
        <v>0</v>
      </c>
    </row>
    <row r="143" spans="1:2" x14ac:dyDescent="0.25">
      <c r="A143" s="363" t="s">
        <v>269</v>
      </c>
      <c r="B143" s="210">
        <f>'Engine 5'!$C$8</f>
        <v>0</v>
      </c>
    </row>
    <row r="144" spans="1:2" x14ac:dyDescent="0.25">
      <c r="A144" s="363" t="s">
        <v>270</v>
      </c>
      <c r="B144" s="210">
        <f>'Engine 5'!$G$5</f>
        <v>0</v>
      </c>
    </row>
    <row r="145" spans="1:2" x14ac:dyDescent="0.25">
      <c r="A145" s="363" t="s">
        <v>271</v>
      </c>
      <c r="B145" s="210">
        <f>'Engine 5'!$G$6</f>
        <v>0</v>
      </c>
    </row>
    <row r="146" spans="1:2" x14ac:dyDescent="0.25">
      <c r="A146" s="363" t="s">
        <v>272</v>
      </c>
      <c r="B146" s="210">
        <f>'Engine 5'!$G$7</f>
        <v>0</v>
      </c>
    </row>
    <row r="147" spans="1:2" x14ac:dyDescent="0.25">
      <c r="A147" s="363" t="s">
        <v>273</v>
      </c>
      <c r="B147" s="210" t="str">
        <f>'Engine 5'!$G$8</f>
        <v>Choose one</v>
      </c>
    </row>
    <row r="148" spans="1:2" x14ac:dyDescent="0.25">
      <c r="A148" s="363" t="s">
        <v>263</v>
      </c>
      <c r="B148" s="210" t="str">
        <f>'Engine 5'!$B$11</f>
        <v>Choose one</v>
      </c>
    </row>
    <row r="149" spans="1:2" x14ac:dyDescent="0.25">
      <c r="A149" s="363" t="s">
        <v>264</v>
      </c>
      <c r="B149" s="210" t="str">
        <f>'Engine 5'!$B$12</f>
        <v>Choose one</v>
      </c>
    </row>
    <row r="150" spans="1:2" x14ac:dyDescent="0.25">
      <c r="A150" s="363" t="s">
        <v>265</v>
      </c>
      <c r="B150" s="210" t="str">
        <f>'Engine 5'!$B$13</f>
        <v>Choose one</v>
      </c>
    </row>
    <row r="151" spans="1:2" x14ac:dyDescent="0.25">
      <c r="A151" s="363" t="s">
        <v>421</v>
      </c>
      <c r="B151" s="210" t="str">
        <f>'Engine 5'!$B$16</f>
        <v>Choose one</v>
      </c>
    </row>
    <row r="152" spans="1:2" x14ac:dyDescent="0.25">
      <c r="A152" s="363" t="s">
        <v>513</v>
      </c>
      <c r="B152" s="210">
        <f>'Engine 5'!$F$32</f>
        <v>0</v>
      </c>
    </row>
    <row r="153" spans="1:2" x14ac:dyDescent="0.25">
      <c r="A153" s="363" t="s">
        <v>130</v>
      </c>
      <c r="B153" s="210" t="str">
        <f>'Engine 5'!$E$19</f>
        <v>Choose one</v>
      </c>
    </row>
    <row r="154" spans="1:2" x14ac:dyDescent="0.25">
      <c r="A154" s="363" t="s">
        <v>131</v>
      </c>
      <c r="B154" s="210" t="str">
        <f>'Engine 5'!$E$20</f>
        <v>Choose one</v>
      </c>
    </row>
    <row r="155" spans="1:2" x14ac:dyDescent="0.25">
      <c r="A155" s="363" t="s">
        <v>506</v>
      </c>
      <c r="B155" s="210" t="str">
        <f>'Engine 5'!$D$21</f>
        <v xml:space="preserve"> </v>
      </c>
    </row>
    <row r="156" spans="1:2" x14ac:dyDescent="0.25">
      <c r="A156" s="363" t="s">
        <v>510</v>
      </c>
      <c r="B156" s="210">
        <f>'Engine 5'!$E$21</f>
        <v>0</v>
      </c>
    </row>
    <row r="157" spans="1:2" x14ac:dyDescent="0.25">
      <c r="A157" s="363" t="s">
        <v>507</v>
      </c>
      <c r="B157" s="210" t="str">
        <f>'Engine 5'!$F$21</f>
        <v xml:space="preserve"> </v>
      </c>
    </row>
    <row r="158" spans="1:2" x14ac:dyDescent="0.25">
      <c r="A158" s="363" t="s">
        <v>508</v>
      </c>
      <c r="B158" s="210" t="str">
        <f>'Engine 5'!$B$22</f>
        <v>Choose one to calculate actual emissions</v>
      </c>
    </row>
    <row r="159" spans="1:2" x14ac:dyDescent="0.25">
      <c r="A159" s="363" t="s">
        <v>510</v>
      </c>
      <c r="B159" s="210">
        <f>'Engine 5'!$E$22</f>
        <v>0</v>
      </c>
    </row>
    <row r="160" spans="1:2" x14ac:dyDescent="0.25">
      <c r="A160" s="363" t="s">
        <v>507</v>
      </c>
      <c r="B160" s="210" t="str">
        <f>'Engine 5'!$F$22</f>
        <v xml:space="preserve"> </v>
      </c>
    </row>
    <row r="161" spans="1:2" x14ac:dyDescent="0.25">
      <c r="A161" s="363" t="s">
        <v>509</v>
      </c>
      <c r="B161" s="210" t="str">
        <f>'Engine 5'!$D$23</f>
        <v xml:space="preserve"> </v>
      </c>
    </row>
    <row r="162" spans="1:2" x14ac:dyDescent="0.25">
      <c r="A162" s="363" t="s">
        <v>510</v>
      </c>
      <c r="B162" s="366" t="str">
        <f>'Engine 5'!$E$23</f>
        <v xml:space="preserve"> </v>
      </c>
    </row>
    <row r="163" spans="1:2" x14ac:dyDescent="0.25">
      <c r="A163" s="363" t="s">
        <v>507</v>
      </c>
      <c r="B163" s="210" t="str">
        <f>'Engine 5'!$F$23</f>
        <v xml:space="preserve"> </v>
      </c>
    </row>
    <row r="164" spans="1:2" x14ac:dyDescent="0.25">
      <c r="A164" s="363" t="s">
        <v>511</v>
      </c>
      <c r="B164" s="210" t="str">
        <f>'Engine 5'!$D$24</f>
        <v xml:space="preserve"> </v>
      </c>
    </row>
    <row r="165" spans="1:2" x14ac:dyDescent="0.25">
      <c r="A165" s="363" t="s">
        <v>510</v>
      </c>
      <c r="B165" s="366" t="str">
        <f>'Engine 5'!$E$24</f>
        <v xml:space="preserve"> </v>
      </c>
    </row>
    <row r="166" spans="1:2" x14ac:dyDescent="0.25">
      <c r="A166" s="363" t="s">
        <v>507</v>
      </c>
      <c r="B166" s="210" t="str">
        <f>'Engine 5'!$F$24</f>
        <v xml:space="preserve"> </v>
      </c>
    </row>
    <row r="167" spans="1:2" x14ac:dyDescent="0.25">
      <c r="A167" s="363" t="s">
        <v>512</v>
      </c>
      <c r="B167" s="210" t="str">
        <f>'Engine 5'!$E$25</f>
        <v>NA</v>
      </c>
    </row>
  </sheetData>
  <sheetProtection algorithmName="SHA-512" hashValue="I13jUOGg8ovxs+sc3DNbGXH9CtVc0P1Vn5droV6SQxnWU/6iAYv6K7qp8QNiL58h1Stp1opjyh2qFjSSuWVRiA==" saltValue="sXZ+0Q27RSoE2lshtAGpDg==" spinCount="100000" sheet="1" objects="1" scenarios="1"/>
  <protectedRanges>
    <protectedRange sqref="A28:A30 A56:A58 A84:A86 A112:A114 A140:A142" name="Range1"/>
    <protectedRange sqref="A32:A33 A60:A61 A88:A89 A116:A117 A144:A145" name="Range2"/>
    <protectedRange sqref="A36:A38 A64:A66 A92:A94 A120:A122 A148:A150" name="Range2_1"/>
    <protectedRange sqref="A39 A67 A95 A123 A151" name="Range1_1"/>
  </protectedRange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CC3300"/>
    <pageSetUpPr fitToPage="1"/>
  </sheetPr>
  <dimension ref="B1:E44"/>
  <sheetViews>
    <sheetView showGridLines="0" zoomScaleNormal="100" zoomScaleSheetLayoutView="100" workbookViewId="0">
      <selection activeCell="C9" sqref="C9"/>
    </sheetView>
  </sheetViews>
  <sheetFormatPr defaultColWidth="9.140625" defaultRowHeight="12" x14ac:dyDescent="0.2"/>
  <cols>
    <col min="1" max="1" width="4.28515625" style="7" customWidth="1"/>
    <col min="2" max="2" width="23.7109375" style="7" customWidth="1"/>
    <col min="3" max="3" width="27.5703125" style="7" customWidth="1"/>
    <col min="4" max="4" width="28.140625" style="7" customWidth="1"/>
    <col min="5" max="5" width="10.28515625" style="7" customWidth="1"/>
    <col min="6" max="16384" width="9.140625" style="7"/>
  </cols>
  <sheetData>
    <row r="1" spans="2:5" s="290" customFormat="1" ht="15" customHeight="1" x14ac:dyDescent="0.2">
      <c r="B1" s="410" t="str">
        <f>Instructions!O3</f>
        <v>p-sbap5-25  •  12/13/23</v>
      </c>
      <c r="C1" s="410"/>
      <c r="D1" s="410"/>
      <c r="E1" s="410"/>
    </row>
    <row r="2" spans="2:5" ht="15" customHeight="1" x14ac:dyDescent="0.2">
      <c r="B2" s="288"/>
      <c r="C2" s="288"/>
      <c r="D2" s="288"/>
      <c r="E2" s="289"/>
    </row>
    <row r="3" spans="2:5" ht="15" customHeight="1" x14ac:dyDescent="0.2">
      <c r="B3" s="411" t="s">
        <v>417</v>
      </c>
      <c r="C3" s="411"/>
      <c r="D3" s="411"/>
      <c r="E3" s="411"/>
    </row>
    <row r="4" spans="2:5" ht="12.75" x14ac:dyDescent="0.2">
      <c r="B4" s="3" t="s">
        <v>252</v>
      </c>
      <c r="C4" s="3"/>
      <c r="D4" s="3"/>
      <c r="E4" s="3"/>
    </row>
    <row r="5" spans="2:5" ht="12.75" x14ac:dyDescent="0.2">
      <c r="B5" s="4"/>
      <c r="C5" s="3"/>
      <c r="D5" s="3"/>
      <c r="E5" s="3"/>
    </row>
    <row r="6" spans="2:5" ht="15" x14ac:dyDescent="0.25">
      <c r="B6" s="291" t="s">
        <v>233</v>
      </c>
    </row>
    <row r="7" spans="2:5" ht="12.75" x14ac:dyDescent="0.2">
      <c r="B7" s="3" t="s">
        <v>366</v>
      </c>
      <c r="C7" s="3"/>
      <c r="D7" s="3"/>
      <c r="E7" s="3"/>
    </row>
    <row r="8" spans="2:5" ht="15" customHeight="1" x14ac:dyDescent="0.2">
      <c r="B8" s="4"/>
      <c r="C8" s="227"/>
      <c r="D8" s="293" t="s">
        <v>235</v>
      </c>
      <c r="E8" s="3"/>
    </row>
    <row r="9" spans="2:5" ht="15" customHeight="1" x14ac:dyDescent="0.2">
      <c r="B9" s="292" t="s">
        <v>234</v>
      </c>
      <c r="C9" s="294"/>
      <c r="D9" s="295" t="s">
        <v>418</v>
      </c>
      <c r="E9" s="3"/>
    </row>
    <row r="10" spans="2:5" ht="12.75" x14ac:dyDescent="0.2">
      <c r="B10" s="292" t="s">
        <v>253</v>
      </c>
      <c r="C10" s="294"/>
      <c r="D10" s="295" t="s">
        <v>257</v>
      </c>
      <c r="E10" s="3"/>
    </row>
    <row r="11" spans="2:5" ht="12.75" x14ac:dyDescent="0.2">
      <c r="B11" s="292" t="s">
        <v>254</v>
      </c>
      <c r="C11" s="294"/>
      <c r="D11" s="295"/>
      <c r="E11" s="3"/>
    </row>
    <row r="12" spans="2:5" ht="12.75" x14ac:dyDescent="0.2">
      <c r="B12" s="292" t="s">
        <v>249</v>
      </c>
      <c r="C12" s="294"/>
      <c r="D12" s="295" t="s">
        <v>258</v>
      </c>
      <c r="E12" s="3"/>
    </row>
    <row r="13" spans="2:5" ht="12.75" x14ac:dyDescent="0.2">
      <c r="B13" s="292" t="s">
        <v>255</v>
      </c>
      <c r="C13" s="299" t="s">
        <v>178</v>
      </c>
      <c r="D13" s="295" t="s">
        <v>259</v>
      </c>
      <c r="E13" s="3"/>
    </row>
    <row r="14" spans="2:5" ht="12.75" x14ac:dyDescent="0.2">
      <c r="B14" s="292" t="s">
        <v>250</v>
      </c>
      <c r="C14" s="296" t="s">
        <v>239</v>
      </c>
      <c r="D14" s="295" t="s">
        <v>239</v>
      </c>
      <c r="E14" s="3"/>
    </row>
    <row r="15" spans="2:5" ht="12.75" x14ac:dyDescent="0.2">
      <c r="B15" s="292" t="s">
        <v>251</v>
      </c>
      <c r="C15" s="372"/>
      <c r="D15" s="295" t="s">
        <v>260</v>
      </c>
      <c r="E15" s="3"/>
    </row>
    <row r="16" spans="2:5" ht="12.75" x14ac:dyDescent="0.2">
      <c r="B16" s="240"/>
      <c r="C16" s="3"/>
      <c r="D16" s="3"/>
      <c r="E16" s="3"/>
    </row>
    <row r="17" spans="2:5" ht="12.75" x14ac:dyDescent="0.2">
      <c r="B17" s="3" t="s">
        <v>256</v>
      </c>
      <c r="C17" s="3"/>
      <c r="D17" s="3"/>
      <c r="E17" s="3"/>
    </row>
    <row r="18" spans="2:5" ht="12.75" x14ac:dyDescent="0.2">
      <c r="B18" s="292" t="s">
        <v>247</v>
      </c>
      <c r="C18" s="294"/>
      <c r="D18" s="295" t="s">
        <v>229</v>
      </c>
      <c r="E18" s="3"/>
    </row>
    <row r="19" spans="2:5" ht="12.75" x14ac:dyDescent="0.2">
      <c r="B19" s="292" t="s">
        <v>248</v>
      </c>
      <c r="C19" s="294"/>
      <c r="D19" s="295" t="s">
        <v>230</v>
      </c>
      <c r="E19" s="3"/>
    </row>
    <row r="20" spans="2:5" ht="12.75" x14ac:dyDescent="0.2">
      <c r="B20" s="292" t="s">
        <v>249</v>
      </c>
      <c r="C20" s="294"/>
      <c r="D20" s="295" t="s">
        <v>231</v>
      </c>
      <c r="E20" s="240"/>
    </row>
    <row r="21" spans="2:5" ht="12.75" x14ac:dyDescent="0.2">
      <c r="B21" s="292" t="s">
        <v>250</v>
      </c>
      <c r="C21" s="294"/>
      <c r="D21" s="295" t="s">
        <v>239</v>
      </c>
      <c r="E21" s="3"/>
    </row>
    <row r="22" spans="2:5" ht="12.75" x14ac:dyDescent="0.2">
      <c r="B22" s="292" t="s">
        <v>251</v>
      </c>
      <c r="C22" s="372"/>
      <c r="D22" s="295">
        <v>55555</v>
      </c>
      <c r="E22" s="3"/>
    </row>
    <row r="23" spans="2:5" ht="12.75" x14ac:dyDescent="0.2">
      <c r="B23" s="3"/>
      <c r="C23" s="3"/>
      <c r="D23" s="297"/>
      <c r="E23" s="3"/>
    </row>
    <row r="24" spans="2:5" ht="12.75" x14ac:dyDescent="0.2">
      <c r="B24" s="321" t="s">
        <v>426</v>
      </c>
      <c r="C24" s="356"/>
      <c r="D24" s="299" t="s">
        <v>178</v>
      </c>
      <c r="E24" s="3"/>
    </row>
    <row r="25" spans="2:5" ht="12.75" x14ac:dyDescent="0.2">
      <c r="B25" s="321" t="s">
        <v>424</v>
      </c>
      <c r="C25" s="356"/>
      <c r="D25" s="294"/>
      <c r="E25" s="3"/>
    </row>
    <row r="26" spans="2:5" ht="12.75" x14ac:dyDescent="0.2">
      <c r="C26" s="412" t="s">
        <v>526</v>
      </c>
      <c r="D26" s="412"/>
      <c r="E26" s="3"/>
    </row>
    <row r="27" spans="2:5" ht="12.75" x14ac:dyDescent="0.2">
      <c r="B27" s="3"/>
      <c r="C27" s="412"/>
      <c r="D27" s="412"/>
      <c r="E27" s="3"/>
    </row>
    <row r="28" spans="2:5" ht="12.75" x14ac:dyDescent="0.2">
      <c r="B28" s="3"/>
      <c r="C28" s="412"/>
      <c r="D28" s="412"/>
      <c r="E28" s="3"/>
    </row>
    <row r="29" spans="2:5" ht="12.75" x14ac:dyDescent="0.2">
      <c r="B29" s="3"/>
      <c r="C29" s="409" t="s">
        <v>425</v>
      </c>
      <c r="D29" s="409"/>
      <c r="E29" s="3"/>
    </row>
    <row r="30" spans="2:5" ht="12.75" x14ac:dyDescent="0.2">
      <c r="B30" s="292"/>
      <c r="C30" s="3"/>
      <c r="D30" s="297"/>
      <c r="E30" s="3"/>
    </row>
    <row r="31" spans="2:5" ht="15" x14ac:dyDescent="0.25">
      <c r="B31" s="291" t="s">
        <v>232</v>
      </c>
    </row>
    <row r="32" spans="2:5" s="375" customFormat="1" ht="12.75" x14ac:dyDescent="0.2">
      <c r="B32" s="373" t="s">
        <v>365</v>
      </c>
      <c r="C32" s="374"/>
      <c r="D32" s="297"/>
      <c r="E32" s="373"/>
    </row>
    <row r="33" spans="2:5" ht="12.75" x14ac:dyDescent="0.2">
      <c r="B33" s="4"/>
      <c r="C33" s="227"/>
      <c r="D33" s="293" t="s">
        <v>235</v>
      </c>
      <c r="E33" s="3"/>
    </row>
    <row r="34" spans="2:5" ht="12.75" x14ac:dyDescent="0.2">
      <c r="B34" s="292" t="s">
        <v>243</v>
      </c>
      <c r="C34" s="294"/>
      <c r="D34" s="295" t="s">
        <v>236</v>
      </c>
      <c r="E34" s="3"/>
    </row>
    <row r="35" spans="2:5" ht="12.75" x14ac:dyDescent="0.2">
      <c r="B35" s="292" t="s">
        <v>244</v>
      </c>
      <c r="C35" s="294"/>
      <c r="D35" s="295" t="s">
        <v>237</v>
      </c>
      <c r="E35" s="3"/>
    </row>
    <row r="36" spans="2:5" ht="12.75" x14ac:dyDescent="0.2">
      <c r="B36" s="292" t="s">
        <v>245</v>
      </c>
      <c r="C36" s="294"/>
      <c r="D36" s="295" t="s">
        <v>261</v>
      </c>
      <c r="E36" s="3"/>
    </row>
    <row r="37" spans="2:5" ht="12.75" x14ac:dyDescent="0.2">
      <c r="B37" s="292" t="s">
        <v>246</v>
      </c>
      <c r="C37" s="294"/>
      <c r="D37" s="295" t="s">
        <v>238</v>
      </c>
      <c r="E37" s="3"/>
    </row>
    <row r="38" spans="2:5" ht="12.75" x14ac:dyDescent="0.2">
      <c r="B38" s="292" t="s">
        <v>247</v>
      </c>
      <c r="C38" s="294"/>
      <c r="D38" s="295" t="s">
        <v>229</v>
      </c>
      <c r="E38" s="3"/>
    </row>
    <row r="39" spans="2:5" ht="12.75" x14ac:dyDescent="0.2">
      <c r="B39" s="292" t="s">
        <v>248</v>
      </c>
      <c r="C39" s="294"/>
      <c r="D39" s="295" t="s">
        <v>230</v>
      </c>
      <c r="E39" s="3"/>
    </row>
    <row r="40" spans="2:5" ht="12.75" x14ac:dyDescent="0.2">
      <c r="B40" s="292" t="s">
        <v>249</v>
      </c>
      <c r="C40" s="294"/>
      <c r="D40" s="295" t="s">
        <v>231</v>
      </c>
      <c r="E40" s="3"/>
    </row>
    <row r="41" spans="2:5" ht="12.75" x14ac:dyDescent="0.2">
      <c r="B41" s="292" t="s">
        <v>250</v>
      </c>
      <c r="C41" s="294"/>
      <c r="D41" s="295" t="s">
        <v>239</v>
      </c>
      <c r="E41" s="3"/>
    </row>
    <row r="42" spans="2:5" ht="12.75" x14ac:dyDescent="0.2">
      <c r="B42" s="292" t="s">
        <v>251</v>
      </c>
      <c r="C42" s="372"/>
      <c r="D42" s="295">
        <v>55555</v>
      </c>
      <c r="E42" s="3"/>
    </row>
    <row r="43" spans="2:5" ht="12.75" x14ac:dyDescent="0.2">
      <c r="B43" s="292" t="s">
        <v>240</v>
      </c>
      <c r="C43" s="300" t="s">
        <v>178</v>
      </c>
      <c r="D43" s="295" t="s">
        <v>242</v>
      </c>
      <c r="E43" s="3"/>
    </row>
    <row r="44" spans="2:5" ht="12.75" x14ac:dyDescent="0.2">
      <c r="B44" s="292" t="s">
        <v>241</v>
      </c>
      <c r="C44" s="294"/>
      <c r="D44" s="298"/>
      <c r="E44" s="3"/>
    </row>
  </sheetData>
  <mergeCells count="4">
    <mergeCell ref="C29:D29"/>
    <mergeCell ref="B1:E1"/>
    <mergeCell ref="B3:E3"/>
    <mergeCell ref="C26:D28"/>
  </mergeCells>
  <dataValidations count="2">
    <dataValidation type="list" allowBlank="1" showInputMessage="1" showErrorMessage="1" sqref="C43" xr:uid="{00000000-0002-0000-0100-000000000000}">
      <formula1>"Choose one, Owner, Operator, Owner/Operator, Consultant, Staff, Other"</formula1>
    </dataValidation>
    <dataValidation type="list" allowBlank="1" showInputMessage="1" showErrorMessage="1" sqref="D24" xr:uid="{00000000-0002-0000-0100-000001000000}">
      <formula1>"Choose one, Yes, No"</formula1>
    </dataValidation>
  </dataValidations>
  <hyperlinks>
    <hyperlink ref="D36" r:id="rId1" xr:uid="{00000000-0004-0000-0100-000000000000}"/>
    <hyperlink ref="C29" r:id="rId2" xr:uid="{00000000-0004-0000-0100-000001000000}"/>
  </hyperlinks>
  <pageMargins left="0.25" right="0.25" top="0.5" bottom="0.5" header="0.3" footer="0.3"/>
  <pageSetup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 validation'!$D$5:$D$92</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249977111117893"/>
    <pageSetUpPr fitToPage="1"/>
  </sheetPr>
  <dimension ref="B1:W52"/>
  <sheetViews>
    <sheetView showGridLines="0" zoomScaleNormal="100" zoomScaleSheetLayoutView="100" workbookViewId="0">
      <selection activeCell="B2" sqref="B2:Q2"/>
    </sheetView>
  </sheetViews>
  <sheetFormatPr defaultRowHeight="15" x14ac:dyDescent="0.25"/>
  <cols>
    <col min="1" max="1" width="4.28515625" customWidth="1"/>
    <col min="2" max="7" width="8.140625" customWidth="1"/>
    <col min="8" max="8" width="9.28515625" customWidth="1"/>
    <col min="9" max="10" width="8.140625" customWidth="1"/>
    <col min="11" max="11" width="11" customWidth="1"/>
    <col min="12" max="12" width="9.42578125" customWidth="1"/>
    <col min="13" max="17" width="8.140625" customWidth="1"/>
    <col min="18" max="18" width="10" customWidth="1"/>
  </cols>
  <sheetData>
    <row r="1" spans="2:19" x14ac:dyDescent="0.25">
      <c r="B1" s="439" t="str">
        <f>Instructions!O3</f>
        <v>p-sbap5-25  •  12/13/23</v>
      </c>
      <c r="C1" s="439"/>
      <c r="D1" s="439"/>
      <c r="E1" s="439"/>
      <c r="F1" s="439"/>
      <c r="G1" s="439"/>
      <c r="H1" s="439"/>
      <c r="I1" s="439"/>
      <c r="J1" s="439"/>
      <c r="K1" s="439"/>
      <c r="L1" s="439"/>
      <c r="M1" s="439"/>
      <c r="N1" s="439"/>
      <c r="O1" s="439"/>
      <c r="P1" s="439"/>
      <c r="Q1" s="439"/>
      <c r="R1" s="285"/>
    </row>
    <row r="2" spans="2:19" ht="19.5" thickBot="1" x14ac:dyDescent="0.3">
      <c r="B2" s="413" t="s">
        <v>527</v>
      </c>
      <c r="C2" s="413"/>
      <c r="D2" s="413"/>
      <c r="E2" s="413"/>
      <c r="F2" s="413"/>
      <c r="G2" s="413"/>
      <c r="H2" s="413"/>
      <c r="I2" s="413"/>
      <c r="J2" s="413"/>
      <c r="K2" s="413"/>
      <c r="L2" s="413"/>
      <c r="M2" s="413"/>
      <c r="N2" s="413"/>
      <c r="O2" s="413"/>
      <c r="P2" s="413"/>
      <c r="Q2" s="413"/>
      <c r="R2" s="315"/>
    </row>
    <row r="3" spans="2:19" s="6" customFormat="1" ht="14.25" customHeight="1" x14ac:dyDescent="0.2">
      <c r="B3" s="448" t="s">
        <v>528</v>
      </c>
      <c r="C3" s="448"/>
      <c r="D3" s="448"/>
      <c r="E3" s="448"/>
      <c r="F3" s="448"/>
      <c r="G3" s="448"/>
      <c r="H3" s="448"/>
      <c r="I3" s="448"/>
      <c r="J3" s="448"/>
      <c r="K3" s="448"/>
      <c r="L3" s="448"/>
      <c r="M3" s="448"/>
      <c r="N3" s="448"/>
      <c r="O3" s="448"/>
      <c r="P3" s="448"/>
      <c r="Q3" s="448"/>
      <c r="R3" s="369"/>
    </row>
    <row r="4" spans="2:19" s="6" customFormat="1" ht="14.25" customHeight="1" x14ac:dyDescent="0.2">
      <c r="B4" s="449"/>
      <c r="C4" s="449"/>
      <c r="D4" s="449"/>
      <c r="E4" s="449"/>
      <c r="F4" s="449"/>
      <c r="G4" s="449"/>
      <c r="H4" s="449"/>
      <c r="I4" s="449"/>
      <c r="J4" s="449"/>
      <c r="K4" s="449"/>
      <c r="L4" s="449"/>
      <c r="M4" s="449"/>
      <c r="N4" s="449"/>
      <c r="O4" s="449"/>
      <c r="P4" s="449"/>
      <c r="Q4" s="449"/>
      <c r="R4" s="352"/>
    </row>
    <row r="5" spans="2:19" s="6" customFormat="1" x14ac:dyDescent="0.25">
      <c r="B5" s="304"/>
      <c r="C5" s="303"/>
      <c r="D5" s="303"/>
      <c r="E5" s="303"/>
      <c r="F5" s="303"/>
      <c r="G5" s="303"/>
      <c r="H5" s="303"/>
      <c r="I5" s="303"/>
      <c r="J5" s="303"/>
      <c r="K5" s="303"/>
      <c r="L5" s="303"/>
      <c r="M5" s="303"/>
      <c r="N5" s="303"/>
      <c r="O5" s="303"/>
    </row>
    <row r="6" spans="2:19" s="6" customFormat="1" x14ac:dyDescent="0.25">
      <c r="B6" s="291" t="s">
        <v>427</v>
      </c>
      <c r="C6" s="3"/>
      <c r="D6" s="3"/>
      <c r="E6" s="3"/>
      <c r="F6" s="3"/>
      <c r="G6" s="3"/>
      <c r="H6" s="3"/>
      <c r="I6" s="3"/>
      <c r="J6" s="3"/>
      <c r="K6" s="3"/>
      <c r="L6" s="3"/>
      <c r="M6" s="3"/>
      <c r="N6" s="3"/>
      <c r="O6" s="3"/>
    </row>
    <row r="7" spans="2:19" s="6" customFormat="1" ht="14.25" customHeight="1" x14ac:dyDescent="0.2">
      <c r="B7" s="440" t="s">
        <v>154</v>
      </c>
      <c r="C7" s="440"/>
      <c r="D7" s="440"/>
      <c r="E7" s="440"/>
      <c r="F7" s="440"/>
      <c r="G7" s="440"/>
      <c r="H7" s="440"/>
      <c r="I7" s="440"/>
      <c r="J7" s="440"/>
      <c r="K7" s="440"/>
      <c r="L7" s="440"/>
      <c r="M7" s="440"/>
      <c r="N7" s="440"/>
      <c r="O7" s="440"/>
      <c r="P7" s="440"/>
      <c r="Q7" s="440"/>
      <c r="R7" s="238"/>
    </row>
    <row r="8" spans="2:19" s="6" customFormat="1" ht="15" customHeight="1" x14ac:dyDescent="0.2">
      <c r="B8" s="440"/>
      <c r="C8" s="440"/>
      <c r="D8" s="440"/>
      <c r="E8" s="440"/>
      <c r="F8" s="440"/>
      <c r="G8" s="440"/>
      <c r="H8" s="440"/>
      <c r="I8" s="440"/>
      <c r="J8" s="440"/>
      <c r="K8" s="440"/>
      <c r="L8" s="440"/>
      <c r="M8" s="440"/>
      <c r="N8" s="440"/>
      <c r="O8" s="440"/>
      <c r="P8" s="440"/>
      <c r="Q8" s="440"/>
      <c r="R8" s="238"/>
    </row>
    <row r="9" spans="2:19" s="6" customFormat="1" ht="15" customHeight="1" x14ac:dyDescent="0.2">
      <c r="B9" s="237"/>
      <c r="C9" s="237"/>
      <c r="D9" s="237"/>
      <c r="E9" s="237"/>
      <c r="F9" s="237"/>
      <c r="G9" s="237"/>
      <c r="H9" s="237"/>
      <c r="I9" s="237"/>
      <c r="J9" s="237"/>
      <c r="K9" s="237"/>
      <c r="L9" s="237"/>
      <c r="M9" s="237"/>
      <c r="N9" s="237"/>
      <c r="O9" s="237"/>
    </row>
    <row r="10" spans="2:19" s="6" customFormat="1" ht="15" customHeight="1" x14ac:dyDescent="0.2">
      <c r="B10" s="414" t="s">
        <v>428</v>
      </c>
      <c r="C10" s="414"/>
      <c r="D10" s="442" t="s">
        <v>429</v>
      </c>
      <c r="E10" s="442"/>
      <c r="F10" s="442"/>
      <c r="G10" s="442"/>
      <c r="H10" s="442"/>
      <c r="I10" s="442"/>
      <c r="J10" s="442" t="s">
        <v>153</v>
      </c>
      <c r="K10" s="442"/>
      <c r="L10" s="442"/>
      <c r="M10" s="442"/>
      <c r="N10" s="442"/>
      <c r="O10" s="442"/>
      <c r="P10" s="442"/>
      <c r="Q10" s="442"/>
      <c r="R10" s="307"/>
      <c r="S10" s="237"/>
    </row>
    <row r="11" spans="2:19" s="6" customFormat="1" ht="15" customHeight="1" x14ac:dyDescent="0.2">
      <c r="B11" s="415"/>
      <c r="C11" s="415"/>
      <c r="D11" s="443"/>
      <c r="E11" s="443"/>
      <c r="F11" s="443"/>
      <c r="G11" s="443"/>
      <c r="H11" s="443"/>
      <c r="I11" s="443"/>
      <c r="J11" s="443"/>
      <c r="K11" s="443"/>
      <c r="L11" s="443"/>
      <c r="M11" s="443"/>
      <c r="N11" s="443"/>
      <c r="O11" s="443"/>
      <c r="P11" s="443"/>
      <c r="Q11" s="443"/>
      <c r="R11" s="307"/>
      <c r="S11" s="237"/>
    </row>
    <row r="12" spans="2:19" s="6" customFormat="1" ht="15" customHeight="1" x14ac:dyDescent="0.2">
      <c r="B12" s="416" t="s">
        <v>430</v>
      </c>
      <c r="C12" s="417"/>
      <c r="D12" s="435" t="s">
        <v>431</v>
      </c>
      <c r="E12" s="436"/>
      <c r="F12" s="436"/>
      <c r="G12" s="436"/>
      <c r="H12" s="436"/>
      <c r="I12" s="437"/>
      <c r="J12" s="436" t="s">
        <v>436</v>
      </c>
      <c r="K12" s="436"/>
      <c r="L12" s="436"/>
      <c r="M12" s="436"/>
      <c r="N12" s="436"/>
      <c r="O12" s="436"/>
      <c r="P12" s="436"/>
      <c r="Q12" s="436"/>
      <c r="R12" s="307"/>
      <c r="S12" s="237"/>
    </row>
    <row r="13" spans="2:19" s="6" customFormat="1" ht="15" customHeight="1" x14ac:dyDescent="0.2">
      <c r="B13" s="418"/>
      <c r="C13" s="419"/>
      <c r="D13" s="426"/>
      <c r="E13" s="427"/>
      <c r="F13" s="427"/>
      <c r="G13" s="427"/>
      <c r="H13" s="427"/>
      <c r="I13" s="428"/>
      <c r="J13" s="427"/>
      <c r="K13" s="427"/>
      <c r="L13" s="427"/>
      <c r="M13" s="427"/>
      <c r="N13" s="427"/>
      <c r="O13" s="427"/>
      <c r="P13" s="427"/>
      <c r="Q13" s="427"/>
      <c r="R13" s="307"/>
      <c r="S13" s="237"/>
    </row>
    <row r="14" spans="2:19" s="6" customFormat="1" ht="15" customHeight="1" x14ac:dyDescent="0.2">
      <c r="B14" s="418" t="s">
        <v>432</v>
      </c>
      <c r="C14" s="419"/>
      <c r="D14" s="426" t="s">
        <v>55</v>
      </c>
      <c r="E14" s="427"/>
      <c r="F14" s="427"/>
      <c r="G14" s="427"/>
      <c r="H14" s="427"/>
      <c r="I14" s="428"/>
      <c r="J14" s="427" t="s">
        <v>437</v>
      </c>
      <c r="K14" s="427"/>
      <c r="L14" s="427"/>
      <c r="M14" s="427"/>
      <c r="N14" s="427" t="s">
        <v>438</v>
      </c>
      <c r="O14" s="427"/>
      <c r="P14" s="427"/>
      <c r="Q14" s="427"/>
      <c r="R14" s="307"/>
      <c r="S14" s="237"/>
    </row>
    <row r="15" spans="2:19" s="6" customFormat="1" ht="15" customHeight="1" x14ac:dyDescent="0.2">
      <c r="B15" s="418"/>
      <c r="C15" s="419"/>
      <c r="D15" s="426"/>
      <c r="E15" s="427"/>
      <c r="F15" s="427"/>
      <c r="G15" s="427"/>
      <c r="H15" s="427"/>
      <c r="I15" s="428"/>
      <c r="J15" s="427"/>
      <c r="K15" s="427"/>
      <c r="L15" s="427"/>
      <c r="M15" s="427"/>
      <c r="N15" s="427"/>
      <c r="O15" s="427"/>
      <c r="P15" s="427"/>
      <c r="Q15" s="427"/>
      <c r="R15" s="307"/>
      <c r="S15" s="237"/>
    </row>
    <row r="16" spans="2:19" s="6" customFormat="1" ht="15" customHeight="1" x14ac:dyDescent="0.2">
      <c r="B16" s="418" t="s">
        <v>434</v>
      </c>
      <c r="C16" s="419"/>
      <c r="D16" s="444" t="s">
        <v>433</v>
      </c>
      <c r="E16" s="423"/>
      <c r="F16" s="423"/>
      <c r="G16" s="423"/>
      <c r="H16" s="423"/>
      <c r="I16" s="445"/>
      <c r="J16" s="423" t="s">
        <v>439</v>
      </c>
      <c r="K16" s="423"/>
      <c r="L16" s="423"/>
      <c r="M16" s="423"/>
      <c r="N16" s="423" t="s">
        <v>440</v>
      </c>
      <c r="O16" s="423"/>
      <c r="P16" s="423"/>
      <c r="Q16" s="423"/>
      <c r="R16" s="307"/>
      <c r="S16" s="237"/>
    </row>
    <row r="17" spans="2:22" s="6" customFormat="1" ht="15" customHeight="1" x14ac:dyDescent="0.2">
      <c r="B17" s="418"/>
      <c r="C17" s="419"/>
      <c r="D17" s="444"/>
      <c r="E17" s="423"/>
      <c r="F17" s="423"/>
      <c r="G17" s="423"/>
      <c r="H17" s="423"/>
      <c r="I17" s="445"/>
      <c r="J17" s="423"/>
      <c r="K17" s="423"/>
      <c r="L17" s="423"/>
      <c r="M17" s="423"/>
      <c r="N17" s="423"/>
      <c r="O17" s="423"/>
      <c r="P17" s="423"/>
      <c r="Q17" s="423"/>
      <c r="R17" s="307"/>
      <c r="S17" s="237"/>
    </row>
    <row r="18" spans="2:22" s="6" customFormat="1" ht="15" customHeight="1" x14ac:dyDescent="0.2">
      <c r="B18" s="450" t="s">
        <v>443</v>
      </c>
      <c r="C18" s="451"/>
      <c r="D18" s="420" t="s">
        <v>463</v>
      </c>
      <c r="E18" s="421"/>
      <c r="F18" s="421"/>
      <c r="G18" s="421"/>
      <c r="H18" s="421"/>
      <c r="I18" s="422"/>
      <c r="J18" s="446" t="s">
        <v>461</v>
      </c>
      <c r="K18" s="447"/>
      <c r="L18" s="447"/>
      <c r="M18" s="447"/>
      <c r="N18" s="447" t="s">
        <v>462</v>
      </c>
      <c r="O18" s="447"/>
      <c r="P18" s="447"/>
      <c r="Q18" s="447"/>
      <c r="R18" s="311"/>
      <c r="S18" s="311"/>
      <c r="T18" s="311"/>
      <c r="U18" s="311"/>
      <c r="V18" s="311"/>
    </row>
    <row r="19" spans="2:22" s="6" customFormat="1" ht="15" customHeight="1" x14ac:dyDescent="0.2">
      <c r="B19" s="450"/>
      <c r="C19" s="451"/>
      <c r="D19" s="420"/>
      <c r="E19" s="421"/>
      <c r="F19" s="421"/>
      <c r="G19" s="421"/>
      <c r="H19" s="421"/>
      <c r="I19" s="422"/>
      <c r="J19" s="446"/>
      <c r="K19" s="447"/>
      <c r="L19" s="447"/>
      <c r="M19" s="447"/>
      <c r="N19" s="447"/>
      <c r="O19" s="447"/>
      <c r="P19" s="447"/>
      <c r="Q19" s="447"/>
      <c r="R19" s="311"/>
      <c r="S19" s="311"/>
      <c r="T19" s="311"/>
      <c r="U19" s="311"/>
      <c r="V19" s="311"/>
    </row>
    <row r="20" spans="2:22" s="6" customFormat="1" ht="15" customHeight="1" x14ac:dyDescent="0.2">
      <c r="B20" s="450"/>
      <c r="C20" s="451"/>
      <c r="D20" s="420"/>
      <c r="E20" s="421"/>
      <c r="F20" s="421"/>
      <c r="G20" s="421"/>
      <c r="H20" s="421"/>
      <c r="I20" s="422"/>
      <c r="J20" s="446"/>
      <c r="K20" s="447"/>
      <c r="L20" s="447"/>
      <c r="M20" s="447"/>
      <c r="N20" s="447"/>
      <c r="O20" s="447"/>
      <c r="P20" s="447"/>
      <c r="Q20" s="447"/>
      <c r="R20" s="327"/>
      <c r="S20" s="327"/>
      <c r="T20" s="327"/>
      <c r="U20" s="327"/>
      <c r="V20" s="327"/>
    </row>
    <row r="21" spans="2:22" s="6" customFormat="1" ht="15" customHeight="1" x14ac:dyDescent="0.2">
      <c r="B21" s="450"/>
      <c r="C21" s="451"/>
      <c r="D21" s="420"/>
      <c r="E21" s="421"/>
      <c r="F21" s="421"/>
      <c r="G21" s="421"/>
      <c r="H21" s="421"/>
      <c r="I21" s="422"/>
      <c r="J21" s="446"/>
      <c r="K21" s="447"/>
      <c r="L21" s="447"/>
      <c r="M21" s="447"/>
      <c r="N21" s="447"/>
      <c r="O21" s="447"/>
      <c r="P21" s="447"/>
      <c r="Q21" s="447"/>
      <c r="R21" s="327"/>
      <c r="S21" s="327"/>
      <c r="T21" s="327"/>
      <c r="U21" s="327"/>
      <c r="V21" s="327"/>
    </row>
    <row r="22" spans="2:22" s="6" customFormat="1" ht="15" customHeight="1" x14ac:dyDescent="0.2">
      <c r="B22" s="441" t="s">
        <v>435</v>
      </c>
      <c r="C22" s="418"/>
      <c r="D22" s="426" t="s">
        <v>441</v>
      </c>
      <c r="E22" s="427"/>
      <c r="F22" s="427"/>
      <c r="G22" s="427"/>
      <c r="H22" s="427"/>
      <c r="I22" s="428"/>
      <c r="J22" s="427" t="s">
        <v>442</v>
      </c>
      <c r="K22" s="427"/>
      <c r="L22" s="427"/>
      <c r="M22" s="427"/>
      <c r="N22" s="427"/>
      <c r="O22" s="427"/>
      <c r="P22" s="427"/>
      <c r="Q22" s="427"/>
      <c r="R22" s="313"/>
      <c r="S22" s="311"/>
    </row>
    <row r="23" spans="2:22" s="6" customFormat="1" ht="15" customHeight="1" x14ac:dyDescent="0.2">
      <c r="B23" s="441"/>
      <c r="C23" s="418"/>
      <c r="D23" s="426"/>
      <c r="E23" s="427"/>
      <c r="F23" s="427"/>
      <c r="G23" s="427"/>
      <c r="H23" s="427"/>
      <c r="I23" s="428"/>
      <c r="J23" s="427"/>
      <c r="K23" s="427"/>
      <c r="L23" s="427"/>
      <c r="M23" s="427"/>
      <c r="N23" s="427"/>
      <c r="O23" s="427"/>
      <c r="P23" s="427"/>
      <c r="Q23" s="427"/>
      <c r="R23" s="313"/>
      <c r="S23" s="311"/>
    </row>
    <row r="24" spans="2:22" s="6" customFormat="1" ht="15" customHeight="1" x14ac:dyDescent="0.2">
      <c r="B24" s="314"/>
      <c r="C24" s="310"/>
      <c r="D24" s="310"/>
      <c r="E24" s="310"/>
      <c r="F24" s="310"/>
      <c r="G24" s="308"/>
      <c r="H24" s="308"/>
      <c r="I24" s="308"/>
      <c r="J24" s="308"/>
      <c r="K24" s="308"/>
      <c r="L24" s="308"/>
      <c r="M24" s="308"/>
      <c r="N24" s="308"/>
      <c r="O24" s="308"/>
      <c r="P24" s="308"/>
      <c r="Q24" s="308"/>
      <c r="R24" s="312"/>
    </row>
    <row r="25" spans="2:22" s="6" customFormat="1" ht="15" customHeight="1" x14ac:dyDescent="0.25">
      <c r="B25" s="321" t="s">
        <v>219</v>
      </c>
      <c r="C25" s="237"/>
      <c r="E25" s="305" t="s">
        <v>123</v>
      </c>
      <c r="F25"/>
      <c r="G25"/>
      <c r="H25"/>
      <c r="I25" s="305"/>
      <c r="J25" s="237"/>
      <c r="K25" s="237"/>
      <c r="L25" s="237"/>
      <c r="M25" s="237"/>
      <c r="N25" s="237"/>
      <c r="O25" s="237"/>
    </row>
    <row r="26" spans="2:22" s="6" customFormat="1" ht="15" customHeight="1" x14ac:dyDescent="0.2">
      <c r="B26" s="321"/>
      <c r="C26" s="237"/>
      <c r="E26" s="305"/>
      <c r="F26" s="305"/>
      <c r="G26" s="305"/>
      <c r="H26" s="305"/>
      <c r="I26" s="305"/>
      <c r="J26" s="237"/>
      <c r="K26" s="237"/>
      <c r="L26" s="237"/>
      <c r="M26" s="237"/>
      <c r="N26" s="237"/>
      <c r="O26" s="237"/>
    </row>
    <row r="27" spans="2:22" s="6" customFormat="1" ht="15" customHeight="1" x14ac:dyDescent="0.2">
      <c r="B27" s="237"/>
      <c r="C27" s="237"/>
      <c r="D27" s="237"/>
      <c r="E27" s="237"/>
      <c r="F27" s="237"/>
      <c r="G27" s="237"/>
      <c r="H27" s="237"/>
      <c r="I27" s="237"/>
      <c r="J27" s="237"/>
      <c r="K27" s="237"/>
      <c r="L27" s="237"/>
      <c r="M27" s="237"/>
      <c r="N27" s="237"/>
      <c r="O27" s="237"/>
      <c r="T27" s="309"/>
    </row>
    <row r="28" spans="2:22" s="6" customFormat="1" ht="15" customHeight="1" x14ac:dyDescent="0.2">
      <c r="B28" s="431" t="s">
        <v>152</v>
      </c>
      <c r="C28" s="431"/>
      <c r="D28" s="431"/>
      <c r="E28" s="431"/>
      <c r="F28" s="431"/>
      <c r="G28" s="431"/>
      <c r="H28" s="431"/>
      <c r="I28" s="431"/>
      <c r="J28" s="431"/>
      <c r="K28" s="431"/>
      <c r="L28" s="431"/>
      <c r="M28" s="431"/>
      <c r="N28" s="431"/>
      <c r="O28" s="431"/>
    </row>
    <row r="29" spans="2:22" s="3" customFormat="1" ht="15" customHeight="1" x14ac:dyDescent="0.2">
      <c r="B29" s="432" t="s">
        <v>534</v>
      </c>
      <c r="C29" s="432"/>
      <c r="D29" s="432"/>
      <c r="E29" s="432"/>
      <c r="F29" s="432"/>
      <c r="G29" s="432"/>
      <c r="H29" s="432"/>
      <c r="I29" s="432"/>
      <c r="J29" s="432"/>
      <c r="K29" s="432"/>
      <c r="L29" s="432"/>
      <c r="M29" s="432"/>
      <c r="N29" s="432"/>
      <c r="O29" s="432"/>
      <c r="P29" s="333"/>
      <c r="Q29" s="333"/>
    </row>
    <row r="30" spans="2:22" s="3" customFormat="1" ht="15" customHeight="1" x14ac:dyDescent="0.2">
      <c r="B30" s="432"/>
      <c r="C30" s="432"/>
      <c r="D30" s="432"/>
      <c r="E30" s="432"/>
      <c r="F30" s="432"/>
      <c r="G30" s="432"/>
      <c r="H30" s="432"/>
      <c r="I30" s="432"/>
      <c r="J30" s="432"/>
      <c r="K30" s="432"/>
      <c r="L30" s="432"/>
      <c r="M30" s="432"/>
      <c r="N30" s="432"/>
      <c r="O30" s="432"/>
      <c r="P30" s="333"/>
      <c r="Q30" s="333"/>
    </row>
    <row r="31" spans="2:22" s="3" customFormat="1" ht="15" customHeight="1" x14ac:dyDescent="0.2">
      <c r="B31" s="8" t="s">
        <v>145</v>
      </c>
      <c r="C31" s="433" t="s">
        <v>529</v>
      </c>
      <c r="D31" s="433"/>
      <c r="E31" s="433"/>
      <c r="F31" s="433"/>
      <c r="G31" s="433"/>
      <c r="H31" s="433"/>
      <c r="I31" s="433"/>
      <c r="J31" s="433"/>
      <c r="K31" s="433"/>
      <c r="L31" s="433"/>
      <c r="M31" s="433"/>
      <c r="N31" s="433"/>
      <c r="O31" s="433"/>
      <c r="P31" s="333"/>
      <c r="Q31" s="333"/>
    </row>
    <row r="32" spans="2:22" s="3" customFormat="1" ht="15" customHeight="1" x14ac:dyDescent="0.2">
      <c r="B32" s="434" t="s">
        <v>145</v>
      </c>
      <c r="C32" s="433" t="s">
        <v>146</v>
      </c>
      <c r="D32" s="433"/>
      <c r="E32" s="433"/>
      <c r="F32" s="433"/>
      <c r="G32" s="433"/>
      <c r="H32" s="433"/>
      <c r="I32" s="433"/>
      <c r="J32" s="433"/>
      <c r="K32" s="433"/>
      <c r="L32" s="433"/>
      <c r="M32" s="433"/>
      <c r="N32" s="433"/>
      <c r="O32" s="433"/>
      <c r="P32" s="433"/>
      <c r="Q32" s="333"/>
    </row>
    <row r="33" spans="2:17" s="3" customFormat="1" ht="15" customHeight="1" x14ac:dyDescent="0.2">
      <c r="B33" s="434"/>
      <c r="C33" s="433"/>
      <c r="D33" s="433"/>
      <c r="E33" s="433"/>
      <c r="F33" s="433"/>
      <c r="G33" s="433"/>
      <c r="H33" s="433"/>
      <c r="I33" s="433"/>
      <c r="J33" s="433"/>
      <c r="K33" s="433"/>
      <c r="L33" s="433"/>
      <c r="M33" s="433"/>
      <c r="N33" s="433"/>
      <c r="O33" s="433"/>
      <c r="P33" s="433"/>
      <c r="Q33" s="333"/>
    </row>
    <row r="34" spans="2:17" s="3" customFormat="1" ht="15" customHeight="1" x14ac:dyDescent="0.2">
      <c r="B34" s="8" t="s">
        <v>145</v>
      </c>
      <c r="C34" s="433" t="s">
        <v>147</v>
      </c>
      <c r="D34" s="433"/>
      <c r="E34" s="433"/>
      <c r="F34" s="433"/>
      <c r="G34" s="433"/>
      <c r="H34" s="433"/>
      <c r="I34" s="433"/>
      <c r="J34" s="433"/>
      <c r="K34" s="433"/>
      <c r="L34" s="433"/>
      <c r="M34" s="433"/>
      <c r="N34" s="433"/>
      <c r="O34" s="433"/>
      <c r="P34" s="433"/>
      <c r="Q34" s="333"/>
    </row>
    <row r="35" spans="2:17" s="3" customFormat="1" ht="15" customHeight="1" x14ac:dyDescent="0.2">
      <c r="B35" s="424" t="s">
        <v>148</v>
      </c>
      <c r="C35" s="424"/>
      <c r="D35" s="424"/>
      <c r="E35" s="424"/>
      <c r="F35" s="424"/>
      <c r="G35" s="424"/>
      <c r="H35" s="424"/>
      <c r="I35" s="454" t="s">
        <v>149</v>
      </c>
      <c r="J35" s="454"/>
      <c r="K35" s="425" t="s">
        <v>150</v>
      </c>
      <c r="L35" s="425"/>
      <c r="M35" s="400" t="s">
        <v>151</v>
      </c>
      <c r="N35" s="400"/>
    </row>
    <row r="36" spans="2:17" s="3" customFormat="1" ht="15" customHeight="1" x14ac:dyDescent="0.25">
      <c r="B36" s="306"/>
      <c r="C36" s="306"/>
      <c r="D36" s="306"/>
      <c r="E36" s="306"/>
      <c r="F36" s="306"/>
      <c r="G36" s="306"/>
      <c r="N36" s="229"/>
      <c r="O36" s="229"/>
    </row>
    <row r="37" spans="2:17" s="3" customFormat="1" ht="15" customHeight="1" x14ac:dyDescent="0.2">
      <c r="B37" s="438"/>
      <c r="C37" s="438"/>
      <c r="D37" s="438"/>
      <c r="E37" s="438"/>
      <c r="F37" s="438"/>
      <c r="G37" s="438"/>
      <c r="H37" s="438"/>
      <c r="I37" s="438"/>
      <c r="J37" s="438"/>
      <c r="K37" s="438"/>
      <c r="L37" s="438"/>
      <c r="M37" s="438"/>
      <c r="N37" s="229"/>
      <c r="O37" s="229"/>
    </row>
    <row r="38" spans="2:17" s="3" customFormat="1" ht="15" customHeight="1" x14ac:dyDescent="0.2">
      <c r="B38" s="431" t="s">
        <v>454</v>
      </c>
      <c r="C38" s="431"/>
      <c r="D38" s="431"/>
      <c r="E38" s="431"/>
      <c r="F38" s="431"/>
      <c r="G38" s="431"/>
      <c r="H38" s="431"/>
      <c r="I38" s="431"/>
      <c r="J38" s="431"/>
      <c r="K38" s="431"/>
      <c r="L38" s="431"/>
      <c r="M38" s="431"/>
      <c r="N38" s="431"/>
      <c r="O38" s="431"/>
    </row>
    <row r="39" spans="2:17" s="3" customFormat="1" ht="15" customHeight="1" x14ac:dyDescent="0.2">
      <c r="B39" s="440" t="s">
        <v>455</v>
      </c>
      <c r="C39" s="440"/>
      <c r="D39" s="440"/>
      <c r="E39" s="440"/>
      <c r="F39" s="440"/>
      <c r="G39" s="440"/>
      <c r="H39" s="440"/>
      <c r="I39" s="440"/>
      <c r="J39" s="440"/>
      <c r="K39" s="440"/>
      <c r="L39" s="440"/>
      <c r="M39" s="440"/>
      <c r="N39" s="440"/>
      <c r="O39" s="440"/>
      <c r="P39" s="440"/>
      <c r="Q39" s="440"/>
    </row>
    <row r="40" spans="2:17" s="3" customFormat="1" ht="15" customHeight="1" x14ac:dyDescent="0.2">
      <c r="B40" s="414" t="s">
        <v>428</v>
      </c>
      <c r="C40" s="414"/>
      <c r="D40" s="442" t="s">
        <v>429</v>
      </c>
      <c r="E40" s="442"/>
      <c r="F40" s="442"/>
      <c r="G40" s="442"/>
      <c r="H40" s="442"/>
      <c r="I40" s="442"/>
      <c r="J40" s="441" t="s">
        <v>153</v>
      </c>
      <c r="K40" s="441"/>
      <c r="L40" s="441"/>
      <c r="M40" s="441"/>
      <c r="N40" s="441"/>
      <c r="O40" s="441"/>
    </row>
    <row r="41" spans="2:17" s="3" customFormat="1" ht="15" customHeight="1" x14ac:dyDescent="0.2">
      <c r="B41" s="415"/>
      <c r="C41" s="415"/>
      <c r="D41" s="443"/>
      <c r="E41" s="443"/>
      <c r="F41" s="443"/>
      <c r="G41" s="443"/>
      <c r="H41" s="443"/>
      <c r="I41" s="443"/>
      <c r="J41" s="442"/>
      <c r="K41" s="442"/>
      <c r="L41" s="442"/>
      <c r="M41" s="442"/>
      <c r="N41" s="442"/>
      <c r="O41" s="442"/>
    </row>
    <row r="42" spans="2:17" s="3" customFormat="1" ht="15" customHeight="1" x14ac:dyDescent="0.2">
      <c r="B42" s="416" t="s">
        <v>456</v>
      </c>
      <c r="C42" s="417"/>
      <c r="D42" s="435" t="s">
        <v>457</v>
      </c>
      <c r="E42" s="436"/>
      <c r="F42" s="436"/>
      <c r="G42" s="436"/>
      <c r="H42" s="436"/>
      <c r="I42" s="437"/>
      <c r="J42" s="435" t="s">
        <v>459</v>
      </c>
      <c r="K42" s="436"/>
      <c r="L42" s="436"/>
      <c r="M42" s="436"/>
      <c r="N42" s="436"/>
      <c r="O42" s="436"/>
      <c r="P42" s="308"/>
    </row>
    <row r="43" spans="2:17" s="3" customFormat="1" ht="15" customHeight="1" x14ac:dyDescent="0.2">
      <c r="B43" s="418"/>
      <c r="C43" s="419"/>
      <c r="D43" s="426"/>
      <c r="E43" s="427"/>
      <c r="F43" s="427"/>
      <c r="G43" s="427"/>
      <c r="H43" s="427"/>
      <c r="I43" s="428"/>
      <c r="J43" s="426"/>
      <c r="K43" s="427"/>
      <c r="L43" s="427"/>
      <c r="M43" s="427"/>
      <c r="N43" s="427"/>
      <c r="O43" s="427"/>
      <c r="P43" s="308"/>
    </row>
    <row r="44" spans="2:17" s="3" customFormat="1" ht="15" customHeight="1" x14ac:dyDescent="0.2">
      <c r="B44" s="418"/>
      <c r="C44" s="419"/>
      <c r="D44" s="426"/>
      <c r="E44" s="427"/>
      <c r="F44" s="427"/>
      <c r="G44" s="427"/>
      <c r="H44" s="427"/>
      <c r="I44" s="428"/>
      <c r="J44" s="426"/>
      <c r="K44" s="427"/>
      <c r="L44" s="427"/>
      <c r="M44" s="427"/>
      <c r="N44" s="427"/>
      <c r="O44" s="427"/>
      <c r="P44" s="308"/>
    </row>
    <row r="45" spans="2:17" s="3" customFormat="1" ht="15" customHeight="1" x14ac:dyDescent="0.2">
      <c r="B45" s="441" t="s">
        <v>458</v>
      </c>
      <c r="C45" s="418"/>
      <c r="D45" s="426" t="s">
        <v>537</v>
      </c>
      <c r="E45" s="427"/>
      <c r="F45" s="427"/>
      <c r="G45" s="427"/>
      <c r="H45" s="427"/>
      <c r="I45" s="428"/>
      <c r="J45" s="452" t="s">
        <v>530</v>
      </c>
      <c r="K45" s="452"/>
      <c r="L45" s="452"/>
      <c r="M45" s="452"/>
      <c r="N45" s="452"/>
      <c r="O45" s="452"/>
    </row>
    <row r="46" spans="2:17" s="3" customFormat="1" ht="15" customHeight="1" x14ac:dyDescent="0.2">
      <c r="B46" s="441"/>
      <c r="C46" s="418"/>
      <c r="D46" s="426"/>
      <c r="E46" s="427"/>
      <c r="F46" s="427"/>
      <c r="G46" s="427"/>
      <c r="H46" s="427"/>
      <c r="I46" s="428"/>
      <c r="J46" s="452"/>
      <c r="K46" s="452"/>
      <c r="L46" s="452"/>
      <c r="M46" s="452"/>
      <c r="N46" s="452"/>
      <c r="O46" s="452"/>
    </row>
    <row r="47" spans="2:17" s="3" customFormat="1" ht="15" customHeight="1" x14ac:dyDescent="0.2">
      <c r="B47" s="441"/>
      <c r="C47" s="418"/>
      <c r="D47" s="444" t="s">
        <v>538</v>
      </c>
      <c r="E47" s="423"/>
      <c r="F47" s="423"/>
      <c r="G47" s="423"/>
      <c r="H47" s="423"/>
      <c r="I47" s="445"/>
      <c r="J47" s="429" t="s">
        <v>13</v>
      </c>
      <c r="K47" s="430"/>
      <c r="L47" s="430"/>
      <c r="M47" s="430"/>
      <c r="N47" s="430"/>
      <c r="O47" s="430"/>
    </row>
    <row r="48" spans="2:17" s="3" customFormat="1" ht="15" customHeight="1" x14ac:dyDescent="0.2">
      <c r="B48" s="382"/>
      <c r="C48" s="383"/>
      <c r="D48" s="444"/>
      <c r="E48" s="423"/>
      <c r="F48" s="423"/>
      <c r="G48" s="423"/>
      <c r="H48" s="423"/>
      <c r="I48" s="445"/>
      <c r="J48" s="429"/>
      <c r="K48" s="430"/>
      <c r="L48" s="430"/>
      <c r="M48" s="430"/>
      <c r="N48" s="430"/>
      <c r="O48" s="430"/>
    </row>
    <row r="49" spans="2:23" s="3" customFormat="1" ht="15" customHeight="1" x14ac:dyDescent="0.2">
      <c r="B49" s="350"/>
      <c r="C49" s="351"/>
      <c r="D49" s="444"/>
      <c r="E49" s="423"/>
      <c r="F49" s="423"/>
      <c r="G49" s="423"/>
      <c r="H49" s="423"/>
      <c r="I49" s="445"/>
      <c r="J49" s="429"/>
      <c r="K49" s="430"/>
      <c r="L49" s="430"/>
      <c r="M49" s="430"/>
      <c r="N49" s="430"/>
      <c r="O49" s="430"/>
    </row>
    <row r="50" spans="2:23" s="3" customFormat="1" ht="15" customHeight="1" x14ac:dyDescent="0.2">
      <c r="B50" s="441" t="s">
        <v>460</v>
      </c>
      <c r="C50" s="418"/>
      <c r="D50" s="426" t="s">
        <v>216</v>
      </c>
      <c r="E50" s="427"/>
      <c r="F50" s="427"/>
      <c r="G50" s="427"/>
      <c r="H50" s="427"/>
      <c r="I50" s="428"/>
      <c r="J50" s="452" t="s">
        <v>517</v>
      </c>
      <c r="K50" s="452"/>
      <c r="L50" s="452"/>
      <c r="M50" s="452"/>
      <c r="N50" s="452"/>
      <c r="O50" s="452"/>
    </row>
    <row r="51" spans="2:23" s="3" customFormat="1" ht="15" customHeight="1" x14ac:dyDescent="0.2">
      <c r="B51" s="441"/>
      <c r="C51" s="418"/>
      <c r="D51" s="426"/>
      <c r="E51" s="427"/>
      <c r="F51" s="427"/>
      <c r="G51" s="427"/>
      <c r="H51" s="427"/>
      <c r="I51" s="428"/>
      <c r="J51" s="452"/>
      <c r="K51" s="452"/>
      <c r="L51" s="452"/>
      <c r="M51" s="452"/>
      <c r="N51" s="452"/>
      <c r="O51" s="452"/>
      <c r="P51" s="332"/>
      <c r="Q51" s="330"/>
      <c r="R51" s="330"/>
      <c r="S51" s="330"/>
      <c r="T51" s="330"/>
      <c r="U51" s="330"/>
      <c r="V51" s="330"/>
      <c r="W51" s="330"/>
    </row>
    <row r="52" spans="2:23" s="3" customFormat="1" ht="15" customHeight="1" x14ac:dyDescent="0.2">
      <c r="B52" s="441"/>
      <c r="C52" s="418"/>
      <c r="D52" s="426"/>
      <c r="E52" s="427"/>
      <c r="F52" s="427"/>
      <c r="G52" s="427"/>
      <c r="H52" s="427"/>
      <c r="I52" s="428"/>
      <c r="J52" s="453" t="s">
        <v>217</v>
      </c>
      <c r="K52" s="453"/>
      <c r="L52" s="453"/>
      <c r="M52" s="453"/>
      <c r="N52" s="453"/>
      <c r="O52" s="453"/>
      <c r="P52" s="330"/>
      <c r="Q52" s="330"/>
      <c r="R52" s="330"/>
      <c r="S52" s="330"/>
      <c r="T52" s="330"/>
      <c r="U52" s="330"/>
      <c r="V52" s="330"/>
      <c r="W52" s="330"/>
    </row>
  </sheetData>
  <protectedRanges>
    <protectedRange sqref="H47:I49 X40:AU52 P1:AY9 O35:AX35 P25:AY34 P36:AY37 T10:BA24 N50:O50 N38:AW39 V51:W52 A53:AY143 P40:W50 O47:O49" name="Blank"/>
    <protectedRange sqref="D22 B22 J22 B24:S24" name="Blank_1"/>
  </protectedRanges>
  <mergeCells count="53">
    <mergeCell ref="D50:I52"/>
    <mergeCell ref="B18:C21"/>
    <mergeCell ref="B45:C47"/>
    <mergeCell ref="J40:O41"/>
    <mergeCell ref="J50:O51"/>
    <mergeCell ref="J52:O52"/>
    <mergeCell ref="B50:C52"/>
    <mergeCell ref="B39:Q39"/>
    <mergeCell ref="B40:C41"/>
    <mergeCell ref="D40:I41"/>
    <mergeCell ref="B42:C44"/>
    <mergeCell ref="D45:I46"/>
    <mergeCell ref="J45:O46"/>
    <mergeCell ref="M35:N35"/>
    <mergeCell ref="I35:J35"/>
    <mergeCell ref="D47:I49"/>
    <mergeCell ref="B1:Q1"/>
    <mergeCell ref="B7:Q8"/>
    <mergeCell ref="B22:C23"/>
    <mergeCell ref="D10:I11"/>
    <mergeCell ref="D12:I13"/>
    <mergeCell ref="D14:I15"/>
    <mergeCell ref="D16:I17"/>
    <mergeCell ref="J10:Q11"/>
    <mergeCell ref="J12:Q13"/>
    <mergeCell ref="J14:M15"/>
    <mergeCell ref="N14:Q15"/>
    <mergeCell ref="J16:M17"/>
    <mergeCell ref="J18:M21"/>
    <mergeCell ref="B16:C17"/>
    <mergeCell ref="N18:Q21"/>
    <mergeCell ref="B3:Q4"/>
    <mergeCell ref="B35:H35"/>
    <mergeCell ref="K35:L35"/>
    <mergeCell ref="D22:I23"/>
    <mergeCell ref="J22:Q23"/>
    <mergeCell ref="J47:O49"/>
    <mergeCell ref="B28:O28"/>
    <mergeCell ref="B29:O30"/>
    <mergeCell ref="C31:O31"/>
    <mergeCell ref="B32:B33"/>
    <mergeCell ref="C34:P34"/>
    <mergeCell ref="C32:P33"/>
    <mergeCell ref="J42:O44"/>
    <mergeCell ref="D42:I44"/>
    <mergeCell ref="B38:O38"/>
    <mergeCell ref="B37:M37"/>
    <mergeCell ref="B2:Q2"/>
    <mergeCell ref="B10:C11"/>
    <mergeCell ref="B12:C13"/>
    <mergeCell ref="D18:I21"/>
    <mergeCell ref="N16:Q17"/>
    <mergeCell ref="B14:C15"/>
  </mergeCells>
  <conditionalFormatting sqref="B36:G36 E26:I26 F25:I25">
    <cfRule type="expression" dxfId="41" priority="3">
      <formula>AND(OR(#REF!="Choose Y/N",#REF!="No"),OR(#REF!="Choose Y/N",#REF!="No"))</formula>
    </cfRule>
  </conditionalFormatting>
  <conditionalFormatting sqref="B25:B26">
    <cfRule type="expression" dxfId="40" priority="2">
      <formula>AND(OR(#REF!="Choose Y/N",#REF!="No"),OR(#REF!="Choose Y/N",#REF!="No"))</formula>
    </cfRule>
  </conditionalFormatting>
  <conditionalFormatting sqref="E25">
    <cfRule type="expression" dxfId="39" priority="1">
      <formula>AND(OR(#REF!="Choose Y/N",#REF!="No"),OR(#REF!="Choose Y/N",#REF!="No"))</formula>
    </cfRule>
  </conditionalFormatting>
  <hyperlinks>
    <hyperlink ref="D47" r:id="rId1" xr:uid="{00000000-0004-0000-0200-000000000000}"/>
    <hyperlink ref="I35" r:id="rId2" xr:uid="{00000000-0004-0000-0200-000001000000}"/>
    <hyperlink ref="M35:N35" r:id="rId3" display="40 CFR § 60.15" xr:uid="{00000000-0004-0000-0200-000002000000}"/>
    <hyperlink ref="J52:N52" r:id="rId4" display="Sources not required to obtain a permit: Minn. R. 7007.0300" xr:uid="{00000000-0004-0000-0200-000003000000}"/>
    <hyperlink ref="D16:I17" r:id="rId5" display="https://www.ecfr.gov/cgi-bin/text-idx?SID=4e15dfbee32ab71c4b44aecaaece2742&amp;mc=true&amp;node=sp40.15.63.zzzz&amp;rgn=div6" xr:uid="{00000000-0004-0000-0200-000004000000}"/>
    <hyperlink ref="J16:M17" r:id="rId6" display="https://www.ecfr.gov/cgi-bin/text-idx?node=sp40.7.60.iiii" xr:uid="{00000000-0004-0000-0200-000005000000}"/>
    <hyperlink ref="N16:Q17" r:id="rId7" display="https://www.ecfr.gov/cgi-bin/retrieveECFR?gp=&amp;SID=87f74a3ea24524bcc9d1bb68983d5d72&amp;mc=true&amp;r=SUBPART&amp;n=sp40.8.60.jjjj" xr:uid="{00000000-0004-0000-0200-000006000000}"/>
    <hyperlink ref="J47" r:id="rId8" xr:uid="{00000000-0004-0000-0200-000007000000}"/>
    <hyperlink ref="D18" r:id="rId9" xr:uid="{00000000-0004-0000-0200-000008000000}"/>
    <hyperlink ref="E25" r:id="rId10" xr:uid="{00000000-0004-0000-0200-000009000000}"/>
    <hyperlink ref="D47:I49" r:id="rId11" display="https://www.pca.state.mn.us/sites/default/files/aq-f3-rp07.doc" xr:uid="{6920853C-8B06-4676-8088-EC61EB08672F}"/>
  </hyperlinks>
  <pageMargins left="0.25" right="0.25" top="0.5" bottom="0.5" header="0.3" footer="0.3"/>
  <pageSetup scale="75" fitToHeight="0" orientation="portrait" r:id="rId12"/>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6"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tint="-0.249977111117893"/>
    <pageSetUpPr fitToPage="1"/>
  </sheetPr>
  <dimension ref="B1:R56"/>
  <sheetViews>
    <sheetView showGridLines="0" zoomScaleNormal="100" zoomScaleSheetLayoutView="100" workbookViewId="0">
      <selection activeCell="B2" sqref="B2:O2"/>
    </sheetView>
  </sheetViews>
  <sheetFormatPr defaultRowHeight="15" x14ac:dyDescent="0.25"/>
  <cols>
    <col min="1" max="1" width="4.28515625" customWidth="1"/>
    <col min="2" max="2" width="9.28515625" customWidth="1"/>
    <col min="3" max="3" width="4" customWidth="1"/>
    <col min="4" max="4" width="4.5703125" customWidth="1"/>
    <col min="5" max="5" width="9.28515625" customWidth="1"/>
    <col min="6" max="6" width="8.5703125" customWidth="1"/>
    <col min="7" max="7" width="5.42578125" customWidth="1"/>
    <col min="8" max="8" width="9.28515625" customWidth="1"/>
    <col min="9" max="9" width="10.7109375" customWidth="1"/>
    <col min="10" max="13" width="9.28515625" customWidth="1"/>
    <col min="15" max="15" width="9.5703125" customWidth="1"/>
  </cols>
  <sheetData>
    <row r="1" spans="2:18" ht="15" customHeight="1" x14ac:dyDescent="0.25">
      <c r="B1" s="370"/>
      <c r="C1" s="370"/>
      <c r="D1" s="370"/>
      <c r="E1" s="370"/>
      <c r="F1" s="370"/>
      <c r="G1" s="230"/>
      <c r="H1" s="230"/>
      <c r="I1" s="230"/>
      <c r="J1" s="230"/>
      <c r="K1" s="230"/>
      <c r="L1" s="230"/>
      <c r="M1" s="230"/>
      <c r="O1" s="329" t="str">
        <f>Instructions!O3</f>
        <v>p-sbap5-25  •  12/13/23</v>
      </c>
    </row>
    <row r="2" spans="2:18" ht="15" customHeight="1" thickBot="1" x14ac:dyDescent="0.3">
      <c r="B2" s="457" t="s">
        <v>499</v>
      </c>
      <c r="C2" s="457"/>
      <c r="D2" s="457"/>
      <c r="E2" s="457"/>
      <c r="F2" s="457"/>
      <c r="G2" s="457"/>
      <c r="H2" s="457"/>
      <c r="I2" s="457"/>
      <c r="J2" s="457"/>
      <c r="K2" s="457"/>
      <c r="L2" s="457"/>
      <c r="M2" s="457"/>
      <c r="N2" s="457"/>
      <c r="O2" s="457"/>
    </row>
    <row r="3" spans="2:18" ht="9" customHeight="1" x14ac:dyDescent="0.25"/>
    <row r="4" spans="2:18" ht="15" customHeight="1" x14ac:dyDescent="0.25">
      <c r="B4" s="431" t="s">
        <v>498</v>
      </c>
      <c r="C4" s="431"/>
      <c r="D4" s="431"/>
      <c r="E4" s="431"/>
      <c r="F4" s="431"/>
      <c r="G4" s="431"/>
      <c r="H4" s="431"/>
      <c r="I4" s="431"/>
      <c r="J4" s="431"/>
      <c r="K4" s="431"/>
      <c r="L4" s="431"/>
      <c r="M4" s="431"/>
      <c r="N4" s="431"/>
      <c r="O4" s="431"/>
    </row>
    <row r="5" spans="2:18" ht="15" customHeight="1" x14ac:dyDescent="0.25">
      <c r="B5" s="455" t="s">
        <v>489</v>
      </c>
      <c r="C5" s="455"/>
      <c r="D5" s="455"/>
      <c r="E5" s="455"/>
      <c r="F5" s="455"/>
      <c r="G5" s="455"/>
      <c r="H5" s="455"/>
      <c r="I5" s="455"/>
      <c r="J5" s="455"/>
      <c r="K5" s="455"/>
      <c r="L5" s="455"/>
      <c r="M5" s="455"/>
      <c r="N5" s="455"/>
      <c r="O5" s="455"/>
    </row>
    <row r="6" spans="2:18" ht="9" customHeight="1" x14ac:dyDescent="0.25"/>
    <row r="7" spans="2:18" ht="15" customHeight="1" x14ac:dyDescent="0.25">
      <c r="B7" s="431" t="s">
        <v>488</v>
      </c>
      <c r="C7" s="431"/>
      <c r="D7" s="431"/>
      <c r="E7" s="431"/>
      <c r="F7" s="431"/>
      <c r="G7" s="431"/>
      <c r="H7" s="431"/>
      <c r="I7" s="431"/>
      <c r="J7" s="431"/>
      <c r="K7" s="431"/>
      <c r="L7" s="431"/>
      <c r="M7" s="431"/>
      <c r="N7" s="431"/>
      <c r="O7" s="431"/>
      <c r="R7" s="3"/>
    </row>
    <row r="8" spans="2:18" s="3" customFormat="1" ht="29.25" customHeight="1" x14ac:dyDescent="0.2">
      <c r="B8" s="455" t="s">
        <v>497</v>
      </c>
      <c r="C8" s="455"/>
      <c r="D8" s="455"/>
      <c r="E8" s="455"/>
      <c r="F8" s="455"/>
      <c r="G8" s="455"/>
      <c r="H8" s="455"/>
      <c r="I8" s="455"/>
      <c r="J8" s="455"/>
      <c r="K8" s="455"/>
      <c r="L8" s="455"/>
      <c r="M8" s="455"/>
      <c r="N8" s="455"/>
      <c r="O8" s="455"/>
    </row>
    <row r="9" spans="2:18" s="3" customFormat="1" ht="9" customHeight="1" x14ac:dyDescent="0.2">
      <c r="B9" s="338"/>
      <c r="C9" s="338"/>
      <c r="D9" s="341"/>
      <c r="E9" s="338"/>
      <c r="F9" s="338"/>
      <c r="G9" s="338"/>
      <c r="H9" s="338"/>
      <c r="I9" s="338"/>
      <c r="J9" s="338"/>
      <c r="K9" s="338"/>
      <c r="L9" s="338"/>
      <c r="M9" s="338"/>
      <c r="N9" s="338"/>
      <c r="O9" s="338"/>
    </row>
    <row r="10" spans="2:18" s="3" customFormat="1" x14ac:dyDescent="0.2">
      <c r="C10" s="342" t="s">
        <v>491</v>
      </c>
      <c r="D10" s="338"/>
      <c r="E10" s="338"/>
      <c r="F10" s="338"/>
      <c r="G10" s="338"/>
      <c r="H10" s="338"/>
      <c r="I10" s="338"/>
      <c r="J10" s="338"/>
      <c r="K10" s="338"/>
      <c r="L10" s="338"/>
      <c r="M10" s="338"/>
      <c r="N10" s="338"/>
      <c r="O10" s="338"/>
      <c r="P10" s="338"/>
    </row>
    <row r="11" spans="2:18" s="227" customFormat="1" ht="12.75" x14ac:dyDescent="0.2">
      <c r="C11" s="461" t="s">
        <v>494</v>
      </c>
      <c r="D11" s="461"/>
      <c r="E11" s="461"/>
      <c r="F11" s="461"/>
      <c r="G11" s="461"/>
      <c r="H11" s="461"/>
      <c r="I11" s="461"/>
      <c r="J11" s="461"/>
      <c r="K11" s="461"/>
      <c r="L11" s="461"/>
      <c r="M11" s="461"/>
      <c r="N11" s="461"/>
      <c r="O11" s="461"/>
      <c r="R11" s="3"/>
    </row>
    <row r="12" spans="2:18" s="227" customFormat="1" ht="29.25" customHeight="1" x14ac:dyDescent="0.2">
      <c r="C12" s="328" t="s">
        <v>145</v>
      </c>
      <c r="D12" s="455" t="s">
        <v>492</v>
      </c>
      <c r="E12" s="455"/>
      <c r="F12" s="455"/>
      <c r="G12" s="455"/>
      <c r="H12" s="455"/>
      <c r="I12" s="455"/>
      <c r="J12" s="455"/>
      <c r="K12" s="455"/>
      <c r="L12" s="455"/>
      <c r="M12" s="455"/>
      <c r="N12" s="455"/>
      <c r="O12" s="455"/>
      <c r="R12" s="3"/>
    </row>
    <row r="13" spans="2:18" s="227" customFormat="1" ht="18.75" customHeight="1" x14ac:dyDescent="0.2">
      <c r="C13" s="328" t="s">
        <v>145</v>
      </c>
      <c r="D13" s="461" t="s">
        <v>493</v>
      </c>
      <c r="E13" s="461"/>
      <c r="F13" s="461"/>
      <c r="G13" s="461"/>
      <c r="H13" s="461"/>
      <c r="I13" s="461"/>
      <c r="J13" s="461"/>
      <c r="K13" s="461"/>
      <c r="L13" s="461"/>
      <c r="M13" s="461"/>
      <c r="N13" s="461"/>
      <c r="O13" s="461"/>
      <c r="R13" s="3"/>
    </row>
    <row r="14" spans="2:18" s="227" customFormat="1" ht="39.75" customHeight="1" x14ac:dyDescent="0.2">
      <c r="C14" s="455" t="s">
        <v>490</v>
      </c>
      <c r="D14" s="455"/>
      <c r="E14" s="455"/>
      <c r="F14" s="455"/>
      <c r="G14" s="455"/>
      <c r="H14" s="455"/>
      <c r="I14" s="455"/>
      <c r="J14" s="455"/>
      <c r="K14" s="455"/>
      <c r="L14" s="455"/>
      <c r="M14" s="455"/>
      <c r="N14" s="455"/>
      <c r="O14" s="455"/>
      <c r="R14" s="3"/>
    </row>
    <row r="15" spans="2:18" s="227" customFormat="1" ht="9" customHeight="1" x14ac:dyDescent="0.2">
      <c r="C15" s="338"/>
      <c r="D15" s="338"/>
      <c r="E15" s="338"/>
      <c r="F15" s="338"/>
      <c r="G15" s="338"/>
      <c r="H15" s="338"/>
      <c r="I15" s="338"/>
      <c r="J15" s="338"/>
      <c r="K15" s="338"/>
      <c r="L15" s="338"/>
      <c r="M15" s="338"/>
      <c r="N15" s="338"/>
      <c r="O15" s="338"/>
      <c r="R15" s="3"/>
    </row>
    <row r="16" spans="2:18" s="3" customFormat="1" ht="29.25" customHeight="1" x14ac:dyDescent="0.2">
      <c r="B16" s="338"/>
      <c r="C16" s="462" t="s">
        <v>495</v>
      </c>
      <c r="D16" s="462"/>
      <c r="E16" s="462"/>
      <c r="F16" s="462"/>
      <c r="G16" s="462"/>
      <c r="H16" s="462"/>
      <c r="I16" s="462"/>
      <c r="J16" s="462"/>
      <c r="K16" s="462"/>
      <c r="L16" s="462"/>
      <c r="M16" s="462"/>
      <c r="N16" s="462"/>
      <c r="O16" s="462"/>
    </row>
    <row r="17" spans="2:18" s="3" customFormat="1" ht="27" customHeight="1" x14ac:dyDescent="0.2">
      <c r="B17" s="338"/>
      <c r="C17" s="328" t="s">
        <v>145</v>
      </c>
      <c r="D17" s="455" t="s">
        <v>519</v>
      </c>
      <c r="E17" s="455"/>
      <c r="F17" s="455"/>
      <c r="G17" s="455"/>
      <c r="H17" s="455"/>
      <c r="I17" s="455"/>
      <c r="J17" s="455"/>
      <c r="K17" s="455"/>
      <c r="L17" s="455"/>
      <c r="M17" s="455"/>
      <c r="N17" s="455"/>
      <c r="O17" s="455"/>
    </row>
    <row r="18" spans="2:18" s="3" customFormat="1" ht="28.5" customHeight="1" x14ac:dyDescent="0.2">
      <c r="B18" s="338"/>
      <c r="C18" s="328" t="s">
        <v>145</v>
      </c>
      <c r="D18" s="455" t="s">
        <v>496</v>
      </c>
      <c r="E18" s="455"/>
      <c r="F18" s="455"/>
      <c r="G18" s="455"/>
      <c r="H18" s="455"/>
      <c r="I18" s="455"/>
      <c r="J18" s="455"/>
      <c r="K18" s="455"/>
      <c r="L18" s="455"/>
      <c r="M18" s="455"/>
      <c r="N18" s="455"/>
      <c r="O18" s="455"/>
      <c r="P18" s="335"/>
    </row>
    <row r="19" spans="2:18" s="3" customFormat="1" ht="9" customHeight="1" x14ac:dyDescent="0.2">
      <c r="B19" s="338"/>
    </row>
    <row r="20" spans="2:18" ht="15" customHeight="1" x14ac:dyDescent="0.25">
      <c r="B20" s="431" t="s">
        <v>487</v>
      </c>
      <c r="C20" s="431"/>
      <c r="D20" s="431"/>
      <c r="E20" s="431"/>
      <c r="F20" s="431"/>
      <c r="G20" s="431"/>
      <c r="H20" s="431"/>
      <c r="I20" s="431"/>
      <c r="J20" s="431"/>
      <c r="K20" s="431"/>
      <c r="L20" s="431"/>
      <c r="M20" s="431"/>
      <c r="N20" s="431"/>
      <c r="O20" s="431"/>
      <c r="R20" s="3"/>
    </row>
    <row r="21" spans="2:18" ht="15" customHeight="1" x14ac:dyDescent="0.25">
      <c r="B21" s="461" t="s">
        <v>479</v>
      </c>
      <c r="C21" s="461"/>
      <c r="D21" s="461"/>
      <c r="E21" s="461"/>
      <c r="F21" s="461"/>
      <c r="G21" s="461"/>
      <c r="H21" s="461"/>
      <c r="I21" s="461"/>
      <c r="J21" s="461"/>
      <c r="K21" s="461"/>
      <c r="L21" s="461"/>
      <c r="M21" s="461"/>
      <c r="N21" s="461"/>
      <c r="O21" s="461"/>
      <c r="R21" s="3"/>
    </row>
    <row r="22" spans="2:18" ht="9" customHeight="1" x14ac:dyDescent="0.25">
      <c r="B22" s="341"/>
      <c r="C22" s="341"/>
      <c r="D22" s="341"/>
      <c r="E22" s="341"/>
      <c r="F22" s="341"/>
      <c r="G22" s="341"/>
      <c r="H22" s="341"/>
      <c r="I22" s="341"/>
      <c r="J22" s="341"/>
      <c r="K22" s="341"/>
      <c r="L22" s="341"/>
      <c r="M22" s="341"/>
      <c r="N22" s="341"/>
      <c r="O22" s="341"/>
      <c r="R22" s="3"/>
    </row>
    <row r="23" spans="2:18" s="3" customFormat="1" ht="15" customHeight="1" x14ac:dyDescent="0.2">
      <c r="B23" s="431" t="s">
        <v>464</v>
      </c>
      <c r="C23" s="431"/>
      <c r="D23" s="431"/>
      <c r="E23" s="431"/>
      <c r="F23" s="431"/>
      <c r="G23" s="431"/>
      <c r="H23" s="431"/>
      <c r="I23" s="431"/>
      <c r="J23" s="431"/>
      <c r="K23" s="431"/>
      <c r="L23" s="431"/>
      <c r="M23" s="431"/>
      <c r="N23" s="431"/>
      <c r="O23" s="431"/>
    </row>
    <row r="24" spans="2:18" s="3" customFormat="1" ht="15" customHeight="1" x14ac:dyDescent="0.2">
      <c r="B24" s="3" t="s">
        <v>477</v>
      </c>
    </row>
    <row r="25" spans="2:18" s="3" customFormat="1" ht="12.75" x14ac:dyDescent="0.2">
      <c r="C25" s="337" t="s">
        <v>482</v>
      </c>
      <c r="D25" s="337"/>
    </row>
    <row r="26" spans="2:18" s="3" customFormat="1" ht="39" customHeight="1" x14ac:dyDescent="0.2">
      <c r="C26" s="455" t="s">
        <v>478</v>
      </c>
      <c r="D26" s="455"/>
      <c r="E26" s="455"/>
      <c r="F26" s="455"/>
      <c r="G26" s="455"/>
      <c r="H26" s="455"/>
      <c r="I26" s="455"/>
      <c r="J26" s="455"/>
      <c r="K26" s="455"/>
      <c r="L26" s="455"/>
      <c r="M26" s="455"/>
      <c r="N26" s="455"/>
      <c r="O26" s="455"/>
    </row>
    <row r="27" spans="2:18" s="3" customFormat="1" ht="9" customHeight="1" x14ac:dyDescent="0.2"/>
    <row r="28" spans="2:18" s="3" customFormat="1" ht="15" customHeight="1" x14ac:dyDescent="0.2">
      <c r="C28" s="460" t="s">
        <v>480</v>
      </c>
      <c r="D28" s="460"/>
      <c r="E28" s="460"/>
    </row>
    <row r="29" spans="2:18" s="3" customFormat="1" ht="15" customHeight="1" x14ac:dyDescent="0.2">
      <c r="C29" s="340" t="s">
        <v>483</v>
      </c>
      <c r="D29" s="3" t="s">
        <v>481</v>
      </c>
    </row>
    <row r="30" spans="2:18" s="3" customFormat="1" ht="15" customHeight="1" x14ac:dyDescent="0.2">
      <c r="C30" s="340" t="s">
        <v>484</v>
      </c>
      <c r="D30" s="3" t="s">
        <v>465</v>
      </c>
    </row>
    <row r="31" spans="2:18" s="3" customFormat="1" ht="104.25" customHeight="1" x14ac:dyDescent="0.2">
      <c r="C31" s="340"/>
      <c r="D31" s="336"/>
      <c r="E31" s="456" t="s">
        <v>486</v>
      </c>
      <c r="F31" s="459"/>
      <c r="G31" s="458" t="s">
        <v>466</v>
      </c>
      <c r="H31" s="458"/>
      <c r="I31" s="458"/>
      <c r="J31" s="458"/>
      <c r="K31" s="458"/>
      <c r="L31" s="458"/>
      <c r="M31" s="458"/>
      <c r="N31" s="458"/>
      <c r="O31" s="458"/>
    </row>
    <row r="32" spans="2:18" s="3" customFormat="1" ht="15" customHeight="1" x14ac:dyDescent="0.2">
      <c r="C32" s="340" t="s">
        <v>485</v>
      </c>
      <c r="D32" s="3" t="s">
        <v>467</v>
      </c>
      <c r="E32" s="332"/>
      <c r="G32" s="334"/>
      <c r="H32" s="334"/>
      <c r="I32" s="334"/>
      <c r="J32" s="334"/>
      <c r="K32" s="334"/>
      <c r="L32" s="334"/>
      <c r="M32" s="334"/>
      <c r="N32" s="334"/>
      <c r="O32" s="334"/>
    </row>
    <row r="33" spans="3:18" s="3" customFormat="1" ht="44.25" customHeight="1" x14ac:dyDescent="0.2">
      <c r="C33" s="339"/>
      <c r="D33" s="331"/>
      <c r="E33" s="456" t="s">
        <v>469</v>
      </c>
      <c r="F33" s="456"/>
      <c r="G33" s="455" t="s">
        <v>468</v>
      </c>
      <c r="H33" s="455"/>
      <c r="I33" s="455"/>
      <c r="J33" s="455"/>
      <c r="K33" s="455"/>
      <c r="L33" s="455"/>
      <c r="M33" s="455"/>
      <c r="N33" s="455"/>
      <c r="O33" s="455"/>
    </row>
    <row r="34" spans="3:18" s="3" customFormat="1" ht="29.25" customHeight="1" x14ac:dyDescent="0.2">
      <c r="D34" s="331"/>
      <c r="E34" s="456" t="s">
        <v>470</v>
      </c>
      <c r="F34" s="456"/>
      <c r="G34" s="455" t="s">
        <v>476</v>
      </c>
      <c r="H34" s="455"/>
      <c r="I34" s="455"/>
      <c r="J34" s="455"/>
      <c r="K34" s="455"/>
      <c r="L34" s="455"/>
      <c r="M34" s="455"/>
      <c r="N34" s="455"/>
      <c r="O34" s="455"/>
    </row>
    <row r="35" spans="3:18" s="3" customFormat="1" ht="26.25" customHeight="1" x14ac:dyDescent="0.2">
      <c r="D35" s="331"/>
      <c r="E35" s="332"/>
      <c r="G35" s="328" t="s">
        <v>145</v>
      </c>
      <c r="H35" s="455" t="s">
        <v>471</v>
      </c>
      <c r="I35" s="455"/>
      <c r="J35" s="455"/>
      <c r="K35" s="455"/>
      <c r="L35" s="455"/>
      <c r="M35" s="455"/>
      <c r="N35" s="455"/>
      <c r="O35" s="455"/>
    </row>
    <row r="36" spans="3:18" s="3" customFormat="1" ht="39" customHeight="1" x14ac:dyDescent="0.2">
      <c r="D36" s="331"/>
      <c r="E36" s="332"/>
      <c r="G36" s="328" t="s">
        <v>145</v>
      </c>
      <c r="H36" s="455" t="s">
        <v>472</v>
      </c>
      <c r="I36" s="455"/>
      <c r="J36" s="455"/>
      <c r="K36" s="455"/>
      <c r="L36" s="455"/>
      <c r="M36" s="455"/>
      <c r="N36" s="455"/>
      <c r="O36" s="455"/>
    </row>
    <row r="37" spans="3:18" s="3" customFormat="1" ht="28.5" customHeight="1" x14ac:dyDescent="0.2">
      <c r="G37" s="328" t="s">
        <v>145</v>
      </c>
      <c r="H37" s="455" t="s">
        <v>473</v>
      </c>
      <c r="I37" s="455"/>
      <c r="J37" s="455"/>
      <c r="K37" s="455"/>
      <c r="L37" s="455"/>
      <c r="M37" s="455"/>
      <c r="N37" s="455"/>
      <c r="O37" s="455"/>
    </row>
    <row r="38" spans="3:18" s="3" customFormat="1" ht="25.5" customHeight="1" x14ac:dyDescent="0.2">
      <c r="G38" s="328" t="s">
        <v>145</v>
      </c>
      <c r="H38" s="455" t="s">
        <v>474</v>
      </c>
      <c r="I38" s="455"/>
      <c r="J38" s="455"/>
      <c r="K38" s="455"/>
      <c r="L38" s="455"/>
      <c r="M38" s="455"/>
      <c r="N38" s="455"/>
      <c r="O38" s="455"/>
    </row>
    <row r="39" spans="3:18" s="3" customFormat="1" ht="65.25" customHeight="1" x14ac:dyDescent="0.2">
      <c r="G39" s="328" t="s">
        <v>145</v>
      </c>
      <c r="H39" s="455" t="s">
        <v>475</v>
      </c>
      <c r="I39" s="455"/>
      <c r="J39" s="455"/>
      <c r="K39" s="455"/>
      <c r="L39" s="455"/>
      <c r="M39" s="455"/>
      <c r="N39" s="455"/>
      <c r="O39" s="455"/>
    </row>
    <row r="40" spans="3:18" s="3" customFormat="1" ht="12.75" x14ac:dyDescent="0.2"/>
    <row r="41" spans="3:18" s="3" customFormat="1" x14ac:dyDescent="0.25">
      <c r="R41"/>
    </row>
    <row r="42" spans="3:18" s="3" customFormat="1" x14ac:dyDescent="0.25">
      <c r="R42"/>
    </row>
    <row r="43" spans="3:18" s="3" customFormat="1" x14ac:dyDescent="0.25">
      <c r="R43"/>
    </row>
    <row r="44" spans="3:18" s="3" customFormat="1" x14ac:dyDescent="0.25">
      <c r="R44"/>
    </row>
    <row r="45" spans="3:18" s="3" customFormat="1" x14ac:dyDescent="0.25">
      <c r="R45"/>
    </row>
    <row r="46" spans="3:18" s="3" customFormat="1" x14ac:dyDescent="0.25">
      <c r="R46"/>
    </row>
    <row r="47" spans="3:18" s="3" customFormat="1" x14ac:dyDescent="0.25">
      <c r="R47"/>
    </row>
    <row r="48" spans="3:18" s="3" customFormat="1" x14ac:dyDescent="0.25">
      <c r="R48"/>
    </row>
    <row r="49" spans="18:18" s="3" customFormat="1" x14ac:dyDescent="0.25">
      <c r="R49"/>
    </row>
    <row r="50" spans="18:18" s="3" customFormat="1" x14ac:dyDescent="0.25">
      <c r="R50"/>
    </row>
    <row r="51" spans="18:18" s="3" customFormat="1" x14ac:dyDescent="0.25">
      <c r="R51"/>
    </row>
    <row r="52" spans="18:18" s="3" customFormat="1" x14ac:dyDescent="0.25">
      <c r="R52"/>
    </row>
    <row r="53" spans="18:18" s="3" customFormat="1" x14ac:dyDescent="0.25">
      <c r="R53"/>
    </row>
    <row r="54" spans="18:18" s="3" customFormat="1" x14ac:dyDescent="0.25">
      <c r="R54"/>
    </row>
    <row r="55" spans="18:18" s="3" customFormat="1" x14ac:dyDescent="0.25">
      <c r="R55"/>
    </row>
    <row r="56" spans="18:18" s="3" customFormat="1" x14ac:dyDescent="0.25">
      <c r="R56"/>
    </row>
  </sheetData>
  <mergeCells count="28">
    <mergeCell ref="C14:O14"/>
    <mergeCell ref="C16:O16"/>
    <mergeCell ref="D17:O17"/>
    <mergeCell ref="D18:O18"/>
    <mergeCell ref="B5:O5"/>
    <mergeCell ref="B2:O2"/>
    <mergeCell ref="B23:O23"/>
    <mergeCell ref="B8:O8"/>
    <mergeCell ref="H36:O36"/>
    <mergeCell ref="H37:O37"/>
    <mergeCell ref="G31:O31"/>
    <mergeCell ref="E31:F31"/>
    <mergeCell ref="C28:E28"/>
    <mergeCell ref="C26:O26"/>
    <mergeCell ref="D12:O12"/>
    <mergeCell ref="C11:O11"/>
    <mergeCell ref="D13:O13"/>
    <mergeCell ref="B21:O21"/>
    <mergeCell ref="B20:O20"/>
    <mergeCell ref="B4:O4"/>
    <mergeCell ref="B7:O7"/>
    <mergeCell ref="H38:O38"/>
    <mergeCell ref="H39:O39"/>
    <mergeCell ref="G33:O33"/>
    <mergeCell ref="E33:F33"/>
    <mergeCell ref="E34:F34"/>
    <mergeCell ref="H35:O35"/>
    <mergeCell ref="G34:O34"/>
  </mergeCells>
  <pageMargins left="0.25" right="0.25" top="0.5" bottom="0.5" header="0.3" footer="0.3"/>
  <pageSetup scale="87" fitToHeight="0" orientation="portrait" r:id="rId1"/>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1"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D1EAFF"/>
    <pageSetUpPr fitToPage="1"/>
  </sheetPr>
  <dimension ref="A1:T413"/>
  <sheetViews>
    <sheetView showGridLines="0" zoomScaleNormal="100" zoomScaleSheetLayoutView="100" zoomScalePageLayoutView="85" workbookViewId="0">
      <selection activeCell="C5" sqref="C5:D5"/>
    </sheetView>
  </sheetViews>
  <sheetFormatPr defaultRowHeight="15" x14ac:dyDescent="0.25"/>
  <cols>
    <col min="1" max="1" width="5.140625" customWidth="1"/>
    <col min="2" max="2" width="21.140625" customWidth="1"/>
    <col min="3" max="3" width="9" customWidth="1"/>
    <col min="4" max="5" width="17.85546875" customWidth="1"/>
    <col min="6" max="6" width="19.28515625" customWidth="1"/>
    <col min="7" max="9" width="17.85546875" customWidth="1"/>
    <col min="10" max="10" width="16" customWidth="1"/>
    <col min="11" max="13" width="12" style="3" customWidth="1"/>
    <col min="14" max="18" width="9.140625" style="3"/>
    <col min="19" max="20" width="9.140625" style="210"/>
  </cols>
  <sheetData>
    <row r="1" spans="1:20" x14ac:dyDescent="0.25">
      <c r="B1" s="439" t="str">
        <f>Instructions!O3</f>
        <v>p-sbap5-25  •  12/13/23</v>
      </c>
      <c r="C1" s="439"/>
      <c r="D1" s="439"/>
      <c r="E1" s="439"/>
      <c r="F1" s="439"/>
      <c r="G1" s="439"/>
      <c r="H1" s="439"/>
      <c r="I1" s="439"/>
      <c r="J1" s="439"/>
    </row>
    <row r="2" spans="1:20" ht="19.5" thickBot="1" x14ac:dyDescent="0.3">
      <c r="B2" s="413" t="s">
        <v>129</v>
      </c>
      <c r="C2" s="413"/>
      <c r="D2" s="413"/>
      <c r="E2" s="413"/>
      <c r="F2" s="413"/>
      <c r="G2" s="413"/>
      <c r="H2" s="413"/>
      <c r="I2" s="413"/>
      <c r="J2" s="413"/>
      <c r="K2"/>
      <c r="L2"/>
      <c r="M2"/>
      <c r="N2"/>
      <c r="O2"/>
      <c r="P2"/>
      <c r="Q2"/>
      <c r="R2"/>
      <c r="S2"/>
      <c r="T2"/>
    </row>
    <row r="3" spans="1:20" s="6" customFormat="1" ht="14.25" x14ac:dyDescent="0.2">
      <c r="B3" s="486" t="s">
        <v>277</v>
      </c>
      <c r="C3" s="486"/>
      <c r="D3" s="486"/>
      <c r="E3" s="486"/>
      <c r="F3" s="486"/>
      <c r="G3" s="486"/>
      <c r="H3" s="486"/>
      <c r="I3" s="486"/>
      <c r="J3" s="9"/>
    </row>
    <row r="4" spans="1:20" s="6" customFormat="1" x14ac:dyDescent="0.25">
      <c r="B4" s="278"/>
      <c r="C4" s="233"/>
      <c r="D4" s="233"/>
      <c r="E4" s="233"/>
      <c r="F4" s="233"/>
      <c r="G4" s="233"/>
      <c r="H4" s="233"/>
      <c r="I4" s="233"/>
      <c r="J4" s="9"/>
    </row>
    <row r="5" spans="1:20" s="6" customFormat="1" ht="14.25" x14ac:dyDescent="0.2">
      <c r="B5" s="234" t="s">
        <v>267</v>
      </c>
      <c r="C5" s="484" t="s">
        <v>73</v>
      </c>
      <c r="D5" s="485"/>
      <c r="E5" s="3"/>
      <c r="F5" s="234" t="s">
        <v>270</v>
      </c>
      <c r="G5" s="301"/>
      <c r="H5" s="3" t="s">
        <v>420</v>
      </c>
      <c r="I5" s="226"/>
    </row>
    <row r="6" spans="1:20" s="6" customFormat="1" ht="14.25" x14ac:dyDescent="0.2">
      <c r="B6" s="234" t="s">
        <v>226</v>
      </c>
      <c r="C6" s="484"/>
      <c r="D6" s="485"/>
      <c r="E6" s="3"/>
      <c r="F6" s="234" t="s">
        <v>271</v>
      </c>
      <c r="G6" s="301"/>
      <c r="H6" s="3" t="s">
        <v>274</v>
      </c>
      <c r="I6" s="226"/>
    </row>
    <row r="7" spans="1:20" s="6" customFormat="1" ht="14.25" x14ac:dyDescent="0.2">
      <c r="B7" s="234" t="s">
        <v>227</v>
      </c>
      <c r="C7" s="484"/>
      <c r="D7" s="485"/>
      <c r="E7" s="3"/>
      <c r="F7" s="234" t="s">
        <v>272</v>
      </c>
      <c r="G7" s="301"/>
      <c r="H7" s="3" t="s">
        <v>275</v>
      </c>
      <c r="I7" s="226"/>
    </row>
    <row r="8" spans="1:20" s="6" customFormat="1" ht="14.25" x14ac:dyDescent="0.2">
      <c r="B8" s="234" t="s">
        <v>269</v>
      </c>
      <c r="C8" s="484"/>
      <c r="D8" s="485"/>
      <c r="E8" s="3" t="s">
        <v>268</v>
      </c>
      <c r="F8" s="234" t="s">
        <v>273</v>
      </c>
      <c r="G8" s="301" t="s">
        <v>178</v>
      </c>
      <c r="H8" s="3" t="s">
        <v>276</v>
      </c>
      <c r="I8" s="226"/>
    </row>
    <row r="9" spans="1:20" s="6" customFormat="1" ht="14.25" x14ac:dyDescent="0.2">
      <c r="B9" s="3"/>
      <c r="C9" s="275"/>
      <c r="D9" s="275"/>
      <c r="E9" s="275"/>
      <c r="F9" s="275"/>
      <c r="G9" s="275"/>
      <c r="H9" s="275"/>
      <c r="I9" s="275"/>
      <c r="J9" s="9"/>
      <c r="K9" s="9"/>
    </row>
    <row r="10" spans="1:20" s="6" customFormat="1" ht="14.25" x14ac:dyDescent="0.2">
      <c r="B10" s="276" t="s">
        <v>500</v>
      </c>
      <c r="C10" s="275"/>
      <c r="D10" s="275"/>
      <c r="E10" s="275"/>
      <c r="G10" s="9"/>
    </row>
    <row r="11" spans="1:20" s="6" customFormat="1" ht="14.25" x14ac:dyDescent="0.2">
      <c r="B11" s="277" t="s">
        <v>178</v>
      </c>
      <c r="C11" s="232" t="s">
        <v>263</v>
      </c>
      <c r="D11" s="275"/>
      <c r="E11" s="275"/>
      <c r="G11" s="9"/>
      <c r="H11" s="276"/>
    </row>
    <row r="12" spans="1:20" s="6" customFormat="1" ht="14.25" x14ac:dyDescent="0.2">
      <c r="B12" s="216" t="s">
        <v>178</v>
      </c>
      <c r="C12" s="232" t="s">
        <v>264</v>
      </c>
      <c r="D12" s="275"/>
      <c r="E12" s="275"/>
      <c r="G12" s="9"/>
      <c r="H12" s="239"/>
    </row>
    <row r="13" spans="1:20" s="6" customFormat="1" ht="15.75" customHeight="1" x14ac:dyDescent="0.2">
      <c r="B13" s="216" t="s">
        <v>178</v>
      </c>
      <c r="C13" s="232" t="s">
        <v>265</v>
      </c>
      <c r="D13" s="275"/>
      <c r="E13" s="275"/>
      <c r="G13" s="9"/>
    </row>
    <row r="14" spans="1:20" s="6" customFormat="1" ht="15.75" customHeight="1" x14ac:dyDescent="0.2">
      <c r="A14" s="239"/>
      <c r="B14" s="275"/>
      <c r="C14" s="275"/>
      <c r="D14" s="275"/>
      <c r="E14" s="275"/>
      <c r="F14" s="275"/>
      <c r="G14" s="275"/>
      <c r="H14" s="9"/>
      <c r="I14" s="9"/>
    </row>
    <row r="15" spans="1:20" s="6" customFormat="1" ht="15.75" customHeight="1" x14ac:dyDescent="0.2">
      <c r="A15" s="239"/>
      <c r="B15" s="276" t="s">
        <v>421</v>
      </c>
      <c r="C15" s="275"/>
      <c r="D15" s="275"/>
      <c r="E15" s="275"/>
      <c r="F15" s="275"/>
      <c r="G15" s="275"/>
      <c r="H15" s="9"/>
      <c r="I15" s="9"/>
    </row>
    <row r="16" spans="1:20" s="6" customFormat="1" ht="15.75" customHeight="1" x14ac:dyDescent="0.2">
      <c r="A16" s="239"/>
      <c r="B16" s="277" t="s">
        <v>178</v>
      </c>
      <c r="C16" s="239" t="s">
        <v>422</v>
      </c>
      <c r="D16" s="275"/>
      <c r="E16" s="275"/>
      <c r="F16" s="275"/>
      <c r="G16" s="275"/>
      <c r="H16" s="9"/>
      <c r="I16" s="9"/>
    </row>
    <row r="17" spans="1:20" s="6" customFormat="1" ht="15.75" customHeight="1" x14ac:dyDescent="0.2">
      <c r="A17" s="239"/>
      <c r="B17" s="276"/>
      <c r="C17" s="286"/>
      <c r="D17" s="275"/>
      <c r="E17" s="275"/>
      <c r="F17" s="275"/>
      <c r="G17" s="275"/>
      <c r="H17" s="9"/>
      <c r="I17" s="9"/>
    </row>
    <row r="18" spans="1:20" s="6" customFormat="1" ht="15.75" customHeight="1" x14ac:dyDescent="0.25">
      <c r="A18" s="239"/>
      <c r="B18" s="287" t="s">
        <v>423</v>
      </c>
      <c r="C18" s="286"/>
      <c r="D18" s="275"/>
      <c r="E18" s="275"/>
      <c r="F18" s="275"/>
      <c r="G18" s="275"/>
      <c r="H18" s="9"/>
      <c r="I18" s="9"/>
    </row>
    <row r="19" spans="1:20" s="6" customFormat="1" ht="15.75" customHeight="1" x14ac:dyDescent="0.25">
      <c r="A19" s="239"/>
      <c r="B19" s="357"/>
      <c r="C19" s="357"/>
      <c r="D19" s="346" t="s">
        <v>130</v>
      </c>
      <c r="E19" s="480" t="s">
        <v>178</v>
      </c>
      <c r="F19" s="481"/>
      <c r="G19" s="482"/>
      <c r="H19" s="482"/>
      <c r="I19" s="233"/>
    </row>
    <row r="20" spans="1:20" s="6" customFormat="1" ht="15" customHeight="1" x14ac:dyDescent="0.2">
      <c r="B20" s="357"/>
      <c r="C20" s="357"/>
      <c r="D20" s="346" t="s">
        <v>131</v>
      </c>
      <c r="E20" s="216" t="s">
        <v>178</v>
      </c>
      <c r="F20" s="359"/>
      <c r="G20" s="358"/>
      <c r="H20" s="358"/>
      <c r="I20" s="358"/>
      <c r="J20" s="9"/>
      <c r="K20" s="3"/>
    </row>
    <row r="21" spans="1:20" s="6" customFormat="1" ht="15" customHeight="1" x14ac:dyDescent="0.2">
      <c r="C21" s="357"/>
      <c r="D21" s="346" t="str">
        <f>IF($E$19='Data validation'!$A$6," ",IF(OR($E$19=rd,$E$19=rg),"Rated mechanical output",IF(OR($E$19=pro,OR($E$19=ngl,OR($E$19=ngr,OR($E$19=tng,$E$19=ng2l)))),"Rated fuel input"," ")))</f>
        <v xml:space="preserve"> </v>
      </c>
      <c r="E21" s="74">
        <v>0</v>
      </c>
      <c r="F21" s="358" t="str">
        <f>IF($D$21=" "," ",IF($D$21="Rated mechanical output",'Data validation'!$A$24,IF(AND($D$21="Rated fuel input",$E$19=pro),'Data validation'!$A$26,'Data validation'!$A$25)))</f>
        <v xml:space="preserve"> </v>
      </c>
      <c r="G21" s="358"/>
      <c r="H21" s="358"/>
      <c r="I21" s="358"/>
      <c r="J21" s="9"/>
      <c r="K21" s="9"/>
      <c r="R21" s="3"/>
      <c r="S21" s="3"/>
      <c r="T21" s="3"/>
    </row>
    <row r="22" spans="1:20" s="6" customFormat="1" ht="15" customHeight="1" x14ac:dyDescent="0.2">
      <c r="B22" s="477" t="s">
        <v>214</v>
      </c>
      <c r="C22" s="478"/>
      <c r="D22" s="479"/>
      <c r="E22" s="74">
        <v>0</v>
      </c>
      <c r="F22" s="359" t="str">
        <f>IF($B$22='Data validation'!$B$5," ",IF($B$22='Data validation'!$B$6,'Data validation'!$B$11,IF(AND($B$22='Data validation'!$B$7,OR($E$19=tng,OR($E$19=ngl,OR($E$19=ngr,OR($E$19=ng2l))))),'Data validation'!$B$12,IF(AND($B$22='Data validation'!$B$7,OR($E$19=rd,OR($E$19=rg,OR($E$19=pro)))),'Data validation'!$B$13," "))))</f>
        <v xml:space="preserve"> </v>
      </c>
      <c r="G22" s="358"/>
      <c r="H22" s="358"/>
      <c r="I22" s="358"/>
      <c r="J22" s="9"/>
      <c r="K22" s="9"/>
      <c r="R22" s="3"/>
      <c r="S22" s="3"/>
      <c r="T22" s="3"/>
    </row>
    <row r="23" spans="1:20" s="6" customFormat="1" ht="15" customHeight="1" x14ac:dyDescent="0.2">
      <c r="C23" s="332"/>
      <c r="D23" s="345" t="str">
        <f>IF($F$21=" "," ",IF($F$21='Data validation'!$A$24,'Data validation'!$A$29,IF(OR($F$21='Data validation'!$A$25,$F$21='Data validation'!$A$26),'Data validation'!$A$30)))</f>
        <v xml:space="preserve"> </v>
      </c>
      <c r="E23" s="145" t="str">
        <f>IF(E19='Data validation'!A6," ",IF(E19=rd,'Engine emission factors'!F53,IF(E19=rg,'Engine emission factors'!F54,IF(OR(E19=ngl,OR(E19=ngr,OR(E19=tng,E19=NGC2))),'Engine emission factors'!G52,IF(E19=pro,'Engine emission factors'!H55," ")))))</f>
        <v xml:space="preserve"> </v>
      </c>
      <c r="F23" s="280" t="str">
        <f>IF($D$23=" "," ",IF($D$23='Data validation'!$A$29,"(Btu/HP-hr)",IF(AND($D$23='Data validation'!$A$30,$E$19=pro),"(Btu/gal)",IF($D$23='Data validation'!$A$30,"(Btu/scf)"))))</f>
        <v xml:space="preserve"> </v>
      </c>
      <c r="G23" s="280"/>
      <c r="H23" s="280"/>
      <c r="I23" s="280"/>
      <c r="J23" s="9"/>
      <c r="K23" s="9"/>
      <c r="M23" s="3"/>
      <c r="N23" s="3"/>
      <c r="O23" s="3"/>
      <c r="P23" s="3"/>
      <c r="Q23" s="3"/>
      <c r="R23" s="3"/>
      <c r="S23" s="3"/>
      <c r="T23" s="3"/>
    </row>
    <row r="24" spans="1:20" s="6" customFormat="1" ht="15" customHeight="1" x14ac:dyDescent="0.2">
      <c r="C24" s="332"/>
      <c r="D24" s="345" t="str">
        <f>IF($E$19='Data validation'!$A$6," ",IF($E$19=rd,"Heat value of fuel",IF($E$19=rg,"Heat value of fuel"," ")))</f>
        <v xml:space="preserve"> </v>
      </c>
      <c r="E24" s="145" t="str">
        <f>IF(E19=rd,'Engine emission factors'!H53,IF(E19=rg,'Engine emission factors'!H54," "))</f>
        <v xml:space="preserve"> </v>
      </c>
      <c r="F24" s="280" t="str">
        <f>IF($E$19='Data validation'!$A$6," ",IF($E$19=rd,"(Btu/gal)",IF($E$19=rg,"(Btu/gal)"," ")))</f>
        <v xml:space="preserve"> </v>
      </c>
      <c r="G24" s="280"/>
      <c r="H24" s="280"/>
      <c r="I24" s="280"/>
      <c r="J24" s="9"/>
      <c r="K24" s="9"/>
      <c r="P24" s="3"/>
      <c r="Q24" s="3"/>
      <c r="R24" s="3"/>
      <c r="S24" s="3"/>
      <c r="T24" s="3"/>
    </row>
    <row r="25" spans="1:20" s="6" customFormat="1" ht="15" customHeight="1" x14ac:dyDescent="0.2">
      <c r="B25" s="483" t="s">
        <v>132</v>
      </c>
      <c r="C25" s="483"/>
      <c r="D25" s="483"/>
      <c r="E25" s="207" t="str">
        <f>IF(E19=rd,"0.0015",IF(E19=pro,"0.54",IF(E19=tng,"0.00065","NA")))</f>
        <v>NA</v>
      </c>
      <c r="F25" s="358" t="str">
        <f>IF(OR(E19=rd,E19=tng),"%",IF(E19=pro,"gr/100ft3",""))</f>
        <v/>
      </c>
      <c r="G25" s="358"/>
      <c r="H25" s="358"/>
      <c r="I25" s="358"/>
      <c r="J25" s="9"/>
      <c r="K25" s="9"/>
      <c r="P25" s="3"/>
      <c r="Q25" s="3"/>
      <c r="R25" s="3"/>
      <c r="S25" s="3"/>
      <c r="T25" s="3"/>
    </row>
    <row r="26" spans="1:20" s="6" customFormat="1" ht="15" customHeight="1" x14ac:dyDescent="0.2">
      <c r="B26" s="464"/>
      <c r="C26" s="464"/>
      <c r="D26" s="464"/>
      <c r="E26" s="464"/>
      <c r="F26" s="464"/>
      <c r="G26" s="464"/>
      <c r="H26" s="464"/>
      <c r="I26" s="464"/>
      <c r="J26" s="9"/>
      <c r="K26" s="9"/>
      <c r="P26" s="3"/>
      <c r="Q26" s="3"/>
      <c r="R26" s="3"/>
      <c r="S26" s="3"/>
      <c r="T26" s="3"/>
    </row>
    <row r="27" spans="1:20" s="6" customFormat="1" ht="15" customHeight="1" thickBot="1" x14ac:dyDescent="0.25">
      <c r="B27" s="465" t="s">
        <v>133</v>
      </c>
      <c r="C27" s="465"/>
      <c r="D27" s="465"/>
      <c r="E27" s="465"/>
      <c r="F27" s="465"/>
      <c r="G27" s="465"/>
      <c r="H27" s="465"/>
      <c r="I27" s="465"/>
      <c r="J27" s="9"/>
      <c r="K27" s="9"/>
      <c r="P27" s="3"/>
      <c r="Q27" s="3"/>
      <c r="R27" s="3"/>
      <c r="S27" s="3"/>
      <c r="T27" s="3"/>
    </row>
    <row r="28" spans="1:20" s="6" customFormat="1" ht="15" customHeight="1" x14ac:dyDescent="0.2">
      <c r="B28" s="10"/>
      <c r="C28" s="11" t="s">
        <v>16</v>
      </c>
      <c r="D28" s="12" t="s">
        <v>17</v>
      </c>
      <c r="E28" s="12" t="s">
        <v>18</v>
      </c>
      <c r="F28" s="11" t="s">
        <v>19</v>
      </c>
      <c r="G28" s="11" t="s">
        <v>20</v>
      </c>
      <c r="H28" s="13"/>
      <c r="I28" s="14"/>
      <c r="J28" s="15"/>
      <c r="K28" s="9"/>
      <c r="N28" s="3"/>
      <c r="O28" s="3"/>
      <c r="P28" s="3"/>
      <c r="Q28" s="3"/>
      <c r="R28" s="3"/>
      <c r="S28" s="3"/>
      <c r="T28" s="3"/>
    </row>
    <row r="29" spans="1:20" s="6" customFormat="1" ht="15" customHeight="1" x14ac:dyDescent="0.2">
      <c r="B29" s="472" t="s">
        <v>21</v>
      </c>
      <c r="C29" s="473" t="s">
        <v>205</v>
      </c>
      <c r="D29" s="471" t="s">
        <v>186</v>
      </c>
      <c r="E29" s="471" t="s">
        <v>213</v>
      </c>
      <c r="F29" s="471" t="s">
        <v>207</v>
      </c>
      <c r="G29" s="471" t="s">
        <v>22</v>
      </c>
      <c r="H29" s="469" t="s">
        <v>23</v>
      </c>
      <c r="I29" s="470" t="s">
        <v>24</v>
      </c>
      <c r="J29" s="468" t="s">
        <v>204</v>
      </c>
      <c r="K29" s="9"/>
      <c r="N29" s="3"/>
      <c r="O29" s="3"/>
      <c r="P29" s="3"/>
      <c r="Q29" s="3"/>
      <c r="R29" s="3"/>
      <c r="S29" s="3"/>
      <c r="T29" s="3"/>
    </row>
    <row r="30" spans="1:20" s="6" customFormat="1" ht="15" customHeight="1" x14ac:dyDescent="0.2">
      <c r="B30" s="472"/>
      <c r="C30" s="473"/>
      <c r="D30" s="471"/>
      <c r="E30" s="471"/>
      <c r="F30" s="471"/>
      <c r="G30" s="471"/>
      <c r="H30" s="469"/>
      <c r="I30" s="470"/>
      <c r="J30" s="468"/>
      <c r="K30" s="9"/>
      <c r="N30" s="3"/>
      <c r="O30" s="3"/>
      <c r="P30" s="3"/>
      <c r="Q30" s="3"/>
      <c r="R30" s="3"/>
      <c r="S30" s="3"/>
      <c r="T30" s="3"/>
    </row>
    <row r="31" spans="1:20" s="6" customFormat="1" ht="15" customHeight="1" x14ac:dyDescent="0.2">
      <c r="B31" s="16"/>
      <c r="C31" s="17"/>
      <c r="D31" s="18" t="s">
        <v>222</v>
      </c>
      <c r="E31" s="18" t="s">
        <v>209</v>
      </c>
      <c r="F31" s="19" t="s">
        <v>25</v>
      </c>
      <c r="G31" s="19" t="s">
        <v>94</v>
      </c>
      <c r="H31" s="20" t="s">
        <v>26</v>
      </c>
      <c r="I31" s="21" t="s">
        <v>27</v>
      </c>
      <c r="J31" s="466" t="s">
        <v>27</v>
      </c>
      <c r="K31" s="3"/>
      <c r="N31" s="3"/>
      <c r="O31" s="3"/>
      <c r="P31" s="3"/>
      <c r="Q31" s="3"/>
      <c r="R31" s="3"/>
      <c r="S31" s="3"/>
      <c r="T31" s="3"/>
    </row>
    <row r="32" spans="1:20" s="7" customFormat="1" ht="15" customHeight="1" thickBot="1" x14ac:dyDescent="0.25">
      <c r="B32" s="22"/>
      <c r="C32" s="23"/>
      <c r="D32" s="24">
        <f>IF(E19=select,0,IF(OR(E19=rd,E19=rg),(E21*E23/10^6),IF(E19=pro,(E21*E23/10^6),IF(OR(E19=ngl,OR(E19=ngr,OR(E19=tng,E19=NGC2))),(E21*E23/(10^6))))))</f>
        <v>0</v>
      </c>
      <c r="E32" s="24">
        <f>IF(F22='Data validation'!B12,E22,IF(AND(F22='Data validation'!B13,E19=rd),(('Engine emission factors'!H53*E22)/1000000),IF(AND(F22='Data validation'!B13,E19=rg),(('Engine emission factors'!H54*E22)/1000000),IF(AND(F22='Data validation'!B13,E19=pro),(('Engine emission factors'!H55*E22)/1000000),IF(F22='Data validation'!B11,(E22*D32),IF(F22=" ",0))))))</f>
        <v>0</v>
      </c>
      <c r="F32" s="144">
        <f>IF($E$20=so,0,IF(OR($E$20=Routine,AND($E$20=Emer,$B$12="Yes")),8760,IF($E$20=Emer,500)))</f>
        <v>0</v>
      </c>
      <c r="G32" s="25" t="s">
        <v>41</v>
      </c>
      <c r="H32" s="20" t="s">
        <v>177</v>
      </c>
      <c r="I32" s="21" t="s">
        <v>223</v>
      </c>
      <c r="J32" s="467"/>
      <c r="K32" s="3"/>
      <c r="M32" s="3"/>
      <c r="N32" s="3"/>
      <c r="O32" s="3"/>
      <c r="P32" s="3"/>
      <c r="Q32" s="3"/>
      <c r="R32" s="3"/>
      <c r="S32" s="3"/>
      <c r="T32" s="3"/>
    </row>
    <row r="33" spans="2:20" s="6" customFormat="1" ht="15" customHeight="1" x14ac:dyDescent="0.2">
      <c r="B33" s="75" t="s">
        <v>44</v>
      </c>
      <c r="C33" s="26"/>
      <c r="D33" s="27"/>
      <c r="E33" s="28"/>
      <c r="F33" s="29"/>
      <c r="G33" s="30"/>
      <c r="H33" s="31"/>
      <c r="I33" s="32" t="s">
        <v>144</v>
      </c>
      <c r="J33" s="33"/>
      <c r="K33" s="3"/>
      <c r="M33" s="3"/>
      <c r="N33" s="3"/>
      <c r="O33" s="3"/>
      <c r="P33" s="3"/>
      <c r="Q33" s="3"/>
      <c r="R33" s="3"/>
      <c r="S33" s="3"/>
      <c r="T33" s="3"/>
    </row>
    <row r="34" spans="2:20" s="6" customFormat="1" ht="15" customHeight="1" x14ac:dyDescent="0.2">
      <c r="B34" s="34" t="s">
        <v>28</v>
      </c>
      <c r="D34" s="35"/>
      <c r="E34" s="36"/>
      <c r="F34" s="37"/>
      <c r="G34" s="38">
        <f>IF($E$19=rd,IF($E$21&gt;=600,'Engine emission factors'!$C5,'Engine emission factors'!$B5),IF($E$19=rg,'Engine emission factors'!$E5,IF($E$19=tng,'Engine emission factors'!$D5,IF($E$19=ngr,'Engine emission factors'!$F5,IF($E$19=ngl,'Engine emission factors'!$G5,IF($E$19=ng2l,'Engine emission factors'!$H5,IF($E$19=pro,'Engine emission factors'!$I5,IF($E$19=select,'Engine emission factors'!$AA5))))))))</f>
        <v>0</v>
      </c>
      <c r="H34" s="39">
        <f>$D$32*$F$32*$G34/2000</f>
        <v>0</v>
      </c>
      <c r="I34" s="40">
        <f>($E$32*$G34)/2000</f>
        <v>0</v>
      </c>
      <c r="J34" s="41">
        <v>1</v>
      </c>
      <c r="K34" s="3"/>
      <c r="L34" s="9"/>
      <c r="M34" s="3"/>
      <c r="N34" s="3"/>
      <c r="O34" s="3"/>
      <c r="P34" s="3"/>
      <c r="Q34" s="3"/>
      <c r="R34" s="3"/>
      <c r="S34" s="3"/>
      <c r="T34" s="3"/>
    </row>
    <row r="35" spans="2:20" s="6" customFormat="1" ht="15" customHeight="1" x14ac:dyDescent="0.2">
      <c r="B35" s="34" t="s">
        <v>29</v>
      </c>
      <c r="D35" s="35"/>
      <c r="E35" s="36"/>
      <c r="F35" s="37"/>
      <c r="G35" s="38">
        <f>IF($E$19=rd,IF($E$21&gt;=600,'Engine emission factors'!$C6,'Engine emission factors'!$B6),IF($E$19=rg,'Engine emission factors'!$E6,IF($E$19=tng,'Engine emission factors'!$D6,IF($E$19=ngr,'Engine emission factors'!$F6,IF($E$19=ngl,'Engine emission factors'!$G6,IF($E$19=ng2l,'Engine emission factors'!$H6,IF($E$19=pro,'Engine emission factors'!$I6,IF($E$19=select,'Engine emission factors'!$AA6))))))))</f>
        <v>0</v>
      </c>
      <c r="H35" s="42">
        <f t="shared" ref="H35:H40" si="0">$D$32*$F$32*$G35/2000</f>
        <v>0</v>
      </c>
      <c r="I35" s="40">
        <f t="shared" ref="I35:I40" si="1">($E$32*$G35)/2000</f>
        <v>0</v>
      </c>
      <c r="J35" s="43">
        <v>1</v>
      </c>
      <c r="K35" s="3"/>
      <c r="L35" s="3"/>
      <c r="M35" s="3"/>
      <c r="N35" s="3"/>
      <c r="O35" s="3"/>
      <c r="P35" s="3"/>
      <c r="Q35" s="3"/>
      <c r="R35" s="3"/>
      <c r="S35" s="3"/>
      <c r="T35" s="3"/>
    </row>
    <row r="36" spans="2:20" s="6" customFormat="1" ht="15" customHeight="1" x14ac:dyDescent="0.2">
      <c r="B36" s="34" t="s">
        <v>72</v>
      </c>
      <c r="D36" s="35"/>
      <c r="E36" s="36"/>
      <c r="F36" s="37"/>
      <c r="G36" s="38">
        <f>IF($E$19=rd,IF($E$21&gt;=600,'Engine emission factors'!$C7,'Engine emission factors'!$B7),IF($E$19=rg,'Engine emission factors'!$E7,IF($E$19=tng,'Engine emission factors'!$D7,IF($E$19=ngr,'Engine emission factors'!$F7,IF($E$19=ngl,'Engine emission factors'!$G7,IF($E$19=ng2l,'Engine emission factors'!$H7,IF($E$19=pro,'Engine emission factors'!$I7,IF($E$19=select,'Engine emission factors'!$AA7))))))))</f>
        <v>0</v>
      </c>
      <c r="H36" s="42">
        <f t="shared" si="0"/>
        <v>0</v>
      </c>
      <c r="I36" s="40">
        <f t="shared" si="1"/>
        <v>0</v>
      </c>
      <c r="J36" s="44"/>
      <c r="K36" s="3"/>
      <c r="L36" s="3"/>
      <c r="M36" s="211"/>
      <c r="N36" s="3"/>
      <c r="O36" s="3"/>
      <c r="P36" s="3"/>
      <c r="Q36" s="3"/>
      <c r="R36" s="3"/>
      <c r="S36" s="3"/>
      <c r="T36" s="3"/>
    </row>
    <row r="37" spans="2:20" s="6" customFormat="1" ht="15" customHeight="1" x14ac:dyDescent="0.2">
      <c r="B37" s="34" t="s">
        <v>30</v>
      </c>
      <c r="D37" s="35"/>
      <c r="E37" s="36"/>
      <c r="F37" s="37"/>
      <c r="G37" s="38">
        <f>IF($E$19=rd,IF($E$21&gt;=600,'Engine emission factors'!$C8*$E$25,'Engine emission factors'!$B8*$E$25),IF($E$19=rg,'Engine emission factors'!$E8,IF($E$19=tng,'Engine emission factors'!$D8*$E$25,IF($E$19=ngr,'Engine emission factors'!$F8,IF($E$19=ngl,'Engine emission factors'!$G8,IF($E$19=ng2l,'Engine emission factors'!$H8,IF($E$19=pro,'Engine emission factors'!$I8*$E$25,IF($E$19=select,'Engine emission factors'!$AA8))))))))</f>
        <v>0</v>
      </c>
      <c r="H37" s="42">
        <f t="shared" si="0"/>
        <v>0</v>
      </c>
      <c r="I37" s="40">
        <f t="shared" si="1"/>
        <v>0</v>
      </c>
      <c r="J37" s="43">
        <v>1</v>
      </c>
      <c r="K37" s="3"/>
      <c r="L37" s="3"/>
      <c r="M37" s="3"/>
      <c r="N37" s="3"/>
      <c r="O37" s="3"/>
      <c r="P37" s="3"/>
      <c r="Q37" s="3"/>
      <c r="R37" s="3"/>
      <c r="S37" s="3"/>
      <c r="T37" s="3"/>
    </row>
    <row r="38" spans="2:20" s="6" customFormat="1" ht="15" customHeight="1" x14ac:dyDescent="0.2">
      <c r="B38" s="34" t="s">
        <v>31</v>
      </c>
      <c r="D38" s="35"/>
      <c r="E38" s="36"/>
      <c r="F38" s="37"/>
      <c r="G38" s="38">
        <f>IF($E$19=rd,IF($E$21&gt;=600,'Engine emission factors'!$C9,'Engine emission factors'!$B9),IF($E$19=rg,'Engine emission factors'!$E9,IF($E$19=tng,'Engine emission factors'!$D9,IF($E$19=ngr,'Engine emission factors'!$F9,IF($E$19=ngl,'Engine emission factors'!$G9,IF($E$19=ng2l,'Engine emission factors'!$H9,IF($E$19=pro,'Engine emission factors'!$I9,IF($E$19=select,'Engine emission factors'!$AA9))))))))</f>
        <v>0</v>
      </c>
      <c r="H38" s="42">
        <f t="shared" si="0"/>
        <v>0</v>
      </c>
      <c r="I38" s="40">
        <f t="shared" si="1"/>
        <v>0</v>
      </c>
      <c r="J38" s="43">
        <v>1</v>
      </c>
      <c r="K38" s="3"/>
      <c r="L38" s="3"/>
      <c r="M38" s="3"/>
      <c r="N38" s="3"/>
      <c r="O38" s="3"/>
      <c r="P38" s="3"/>
      <c r="Q38" s="3"/>
      <c r="R38" s="3"/>
      <c r="S38" s="3"/>
      <c r="T38" s="3"/>
    </row>
    <row r="39" spans="2:20" s="6" customFormat="1" ht="15" customHeight="1" x14ac:dyDescent="0.2">
      <c r="B39" s="34" t="s">
        <v>32</v>
      </c>
      <c r="D39" s="35"/>
      <c r="E39" s="36"/>
      <c r="F39" s="37"/>
      <c r="G39" s="38">
        <f>IF($E$19=rd,IF($E$21&gt;=600,'Engine emission factors'!$C10,'Engine emission factors'!$B10),IF($E$19=rg,'Engine emission factors'!$E10,IF($E$19=tng,'Engine emission factors'!$D10,IF($E$19=ngr,'Engine emission factors'!$F10,IF($E$19=ngl,'Engine emission factors'!$G10,IF($E$19=ng2l,'Engine emission factors'!$H10,IF($E$19=pro,'Engine emission factors'!$I10,IF($E$19=select,'Engine emission factors'!$AA10))))))))</f>
        <v>0</v>
      </c>
      <c r="H39" s="42">
        <f t="shared" si="0"/>
        <v>0</v>
      </c>
      <c r="I39" s="40">
        <f t="shared" si="1"/>
        <v>0</v>
      </c>
      <c r="J39" s="43">
        <v>1</v>
      </c>
      <c r="K39" s="3"/>
      <c r="L39" s="3"/>
      <c r="M39" s="3"/>
      <c r="N39" s="3"/>
      <c r="O39" s="3"/>
      <c r="P39" s="3"/>
      <c r="Q39" s="3"/>
      <c r="R39" s="3"/>
      <c r="S39" s="3"/>
      <c r="T39" s="3"/>
    </row>
    <row r="40" spans="2:20" s="6" customFormat="1" ht="15" customHeight="1" x14ac:dyDescent="0.2">
      <c r="B40" s="34" t="s">
        <v>33</v>
      </c>
      <c r="D40" s="35"/>
      <c r="E40" s="36"/>
      <c r="F40" s="37"/>
      <c r="G40" s="38">
        <f>IF($E$19=rd,IF($E$21&gt;=600,'Engine emission factors'!$C11,'Engine emission factors'!$B11),IF($E$19=rg,'Engine emission factors'!$E11,IF($E$19=tng,'Engine emission factors'!$D11,IF($E$19=ngr,'Engine emission factors'!$F11,IF($E$19=ngl,'Engine emission factors'!$G11,IF($E$19=ng2l,'Engine emission factors'!$H11,IF($E$19=pro,'Engine emission factors'!$I11,IF($E$19=select,'Engine emission factors'!$AA11))))))))</f>
        <v>0</v>
      </c>
      <c r="H40" s="42">
        <f t="shared" si="0"/>
        <v>0</v>
      </c>
      <c r="I40" s="40">
        <f t="shared" si="1"/>
        <v>0</v>
      </c>
      <c r="J40" s="43">
        <v>2</v>
      </c>
      <c r="K40" s="3"/>
      <c r="L40" s="3"/>
      <c r="M40" s="3"/>
      <c r="N40" s="3"/>
      <c r="O40" s="3"/>
      <c r="P40" s="3"/>
      <c r="Q40" s="3"/>
      <c r="R40" s="3"/>
      <c r="S40" s="3"/>
      <c r="T40" s="3"/>
    </row>
    <row r="41" spans="2:20" s="6" customFormat="1" ht="15" customHeight="1" thickBot="1" x14ac:dyDescent="0.25">
      <c r="B41" s="45" t="s">
        <v>34</v>
      </c>
      <c r="C41" s="46"/>
      <c r="D41" s="47"/>
      <c r="E41" s="48"/>
      <c r="F41" s="49"/>
      <c r="G41" s="50" t="s">
        <v>45</v>
      </c>
      <c r="H41" s="51">
        <v>0</v>
      </c>
      <c r="I41" s="52">
        <v>0</v>
      </c>
      <c r="J41" s="53"/>
      <c r="K41" s="3"/>
      <c r="M41" s="3"/>
      <c r="N41" s="3"/>
      <c r="O41" s="3"/>
      <c r="P41" s="3"/>
      <c r="Q41" s="3"/>
      <c r="R41" s="3"/>
      <c r="S41" s="3"/>
      <c r="T41" s="3"/>
    </row>
    <row r="42" spans="2:20" s="6" customFormat="1" ht="15" customHeight="1" x14ac:dyDescent="0.2">
      <c r="B42" s="75" t="s">
        <v>43</v>
      </c>
      <c r="C42" s="26"/>
      <c r="D42" s="27"/>
      <c r="E42" s="28"/>
      <c r="F42" s="29"/>
      <c r="G42" s="30"/>
      <c r="H42" s="31"/>
      <c r="I42" s="76" t="s">
        <v>54</v>
      </c>
      <c r="J42" s="54"/>
      <c r="K42" s="3"/>
      <c r="L42" s="3"/>
      <c r="M42" s="3"/>
      <c r="N42" s="3"/>
      <c r="O42" s="3"/>
      <c r="P42" s="3"/>
      <c r="Q42" s="3"/>
      <c r="R42" s="3"/>
      <c r="S42" s="3"/>
      <c r="T42" s="3"/>
    </row>
    <row r="43" spans="2:20" s="6" customFormat="1" ht="15" customHeight="1" x14ac:dyDescent="0.3">
      <c r="B43" s="55" t="s">
        <v>156</v>
      </c>
      <c r="C43" s="3">
        <v>1</v>
      </c>
      <c r="D43" s="56"/>
      <c r="E43" s="56"/>
      <c r="F43" s="56"/>
      <c r="G43" s="38">
        <f>IF($E$19=rd,IF($E$21&gt;=600,'Engine emission factors'!$C13,'Engine emission factors'!$B13),IF($E$19=rg,'Engine emission factors'!$E13,IF($E$19=tng,'Engine emission factors'!$D13,IF($E$19=ngr,'Engine emission factors'!$F13,IF($E$19=ngl,'Engine emission factors'!$G13,IF($E$19=ng2l,'Engine emission factors'!$H13,IF($E$19=pro,'Engine emission factors'!$I13,IF($E$19=select,'Engine emission factors'!$AA13))))))))</f>
        <v>0</v>
      </c>
      <c r="H43" s="39">
        <f>$D$32*$F$32*$G43/2000</f>
        <v>0</v>
      </c>
      <c r="I43" s="40">
        <f>($E$32*$G43)/2000</f>
        <v>0</v>
      </c>
      <c r="J43" s="57"/>
      <c r="K43" s="3"/>
      <c r="L43" s="3"/>
      <c r="M43" s="3"/>
      <c r="N43" s="3"/>
      <c r="O43" s="3"/>
      <c r="P43" s="3"/>
      <c r="Q43" s="3"/>
      <c r="R43" s="3"/>
      <c r="S43" s="3"/>
      <c r="T43" s="3"/>
    </row>
    <row r="44" spans="2:20" s="6" customFormat="1" ht="15" customHeight="1" x14ac:dyDescent="0.3">
      <c r="B44" s="55" t="s">
        <v>157</v>
      </c>
      <c r="C44" s="3">
        <v>25</v>
      </c>
      <c r="D44" s="56"/>
      <c r="E44" s="56"/>
      <c r="F44" s="56"/>
      <c r="G44" s="38">
        <f>IF($E$19=rd,IF($E$21&gt;=600,'Engine emission factors'!$C14,'Engine emission factors'!$B14),IF($E$19=rg,'Engine emission factors'!$E14,IF($E$19=tng,'Engine emission factors'!$D14,IF($E$19=ngr,'Engine emission factors'!$F14,IF($E$19=ngl,'Engine emission factors'!$G14,IF($E$19=ng2l,'Engine emission factors'!$H14,IF($E$19=pro,'Engine emission factors'!$I14,IF($E$19=select,'Engine emission factors'!$AA14))))))))</f>
        <v>0</v>
      </c>
      <c r="H44" s="58">
        <f>$D$32*$F$32*$G44/2000</f>
        <v>0</v>
      </c>
      <c r="I44" s="59">
        <f>($E$32*$G44)/2000</f>
        <v>0</v>
      </c>
      <c r="J44" s="57"/>
      <c r="K44" s="212"/>
      <c r="L44" s="212"/>
      <c r="M44" s="3"/>
      <c r="N44" s="3"/>
      <c r="O44" s="3"/>
      <c r="P44" s="3"/>
      <c r="Q44" s="3"/>
      <c r="R44" s="3"/>
      <c r="S44" s="3"/>
      <c r="T44" s="3"/>
    </row>
    <row r="45" spans="2:20" s="6" customFormat="1" ht="15" customHeight="1" x14ac:dyDescent="0.3">
      <c r="B45" s="55" t="s">
        <v>158</v>
      </c>
      <c r="C45" s="3">
        <v>298</v>
      </c>
      <c r="D45" s="56"/>
      <c r="E45" s="56"/>
      <c r="F45" s="56"/>
      <c r="G45" s="38">
        <f>IF($E$19=rd,IF($E$21&gt;=600,'Engine emission factors'!$C15,'Engine emission factors'!$B15),IF($E$19=rg,'Engine emission factors'!$E15,IF($E$19=tng,'Engine emission factors'!$D15,IF($E$19=ngr,'Engine emission factors'!$F15,IF($E$19=ngl,'Engine emission factors'!$G15,IF($E$19=ng2l,'Engine emission factors'!$H15,IF($E$19=pro,'Engine emission factors'!$I15,IF($E$19=select,'Engine emission factors'!$Q15))))))))</f>
        <v>0</v>
      </c>
      <c r="H45" s="58">
        <f>$D$32*$F$32*$G45/2000</f>
        <v>0</v>
      </c>
      <c r="I45" s="59">
        <f>($E$32*$G45)/2000</f>
        <v>0</v>
      </c>
      <c r="J45" s="60"/>
      <c r="K45" s="212"/>
      <c r="L45" s="3"/>
      <c r="O45" s="3"/>
      <c r="P45" s="3"/>
      <c r="Q45" s="3"/>
      <c r="R45" s="3"/>
      <c r="S45" s="3"/>
      <c r="T45" s="3"/>
    </row>
    <row r="46" spans="2:20" s="6" customFormat="1" ht="15" customHeight="1" thickBot="1" x14ac:dyDescent="0.25">
      <c r="B46" s="61"/>
      <c r="C46" s="62"/>
      <c r="D46" s="62"/>
      <c r="E46" s="62"/>
      <c r="F46" s="63" t="s">
        <v>206</v>
      </c>
      <c r="G46" s="64"/>
      <c r="H46" s="51">
        <f>(C43*H43)+(C44*H44)+(C45*H45)</f>
        <v>0</v>
      </c>
      <c r="I46" s="52">
        <f>(C43*I43)+(C44*I44)+(C45*I45)</f>
        <v>0</v>
      </c>
      <c r="J46" s="65">
        <v>1000</v>
      </c>
      <c r="K46" s="212"/>
      <c r="L46" s="3"/>
      <c r="M46" s="3"/>
      <c r="N46" s="3"/>
      <c r="O46" s="3"/>
      <c r="P46" s="3"/>
      <c r="Q46" s="3"/>
      <c r="R46" s="3"/>
      <c r="S46" s="3"/>
      <c r="T46" s="3"/>
    </row>
    <row r="47" spans="2:20" s="6" customFormat="1" ht="15" customHeight="1" x14ac:dyDescent="0.2">
      <c r="B47" s="75" t="s">
        <v>42</v>
      </c>
      <c r="C47" s="26"/>
      <c r="D47" s="27"/>
      <c r="E47" s="28"/>
      <c r="F47" s="29"/>
      <c r="G47" s="474" t="s">
        <v>144</v>
      </c>
      <c r="H47" s="474"/>
      <c r="I47" s="475"/>
      <c r="K47" s="3"/>
      <c r="L47" s="3"/>
      <c r="M47" s="3"/>
      <c r="N47" s="3"/>
      <c r="O47" s="3"/>
      <c r="P47" s="3"/>
      <c r="Q47" s="3"/>
      <c r="R47" s="3"/>
      <c r="S47" s="3"/>
      <c r="T47" s="3"/>
    </row>
    <row r="48" spans="2:20" s="6" customFormat="1" ht="15" customHeight="1" x14ac:dyDescent="0.2">
      <c r="B48" s="66" t="s">
        <v>98</v>
      </c>
      <c r="D48" s="67"/>
      <c r="E48" s="68"/>
      <c r="F48" s="69"/>
      <c r="G48" s="38">
        <f>IF($E$19=rd,IF($E$21&gt;=600,'Engine emission factors'!$C17,'Engine emission factors'!$B17),IF($E$19=rg,'Engine emission factors'!$E17,IF($E$19=tng,'Engine emission factors'!$D17,IF($E$19=ngr,'Engine emission factors'!$F17,IF($E$19=ngl,'Engine emission factors'!$G17,IF($E$19=ng2l,'Engine emission factors'!$H17,IF($E$19=pro,'Engine emission factors'!$I17,IF($E$19=select,'Engine emission factors'!$Q17))))))))</f>
        <v>0</v>
      </c>
      <c r="H48" s="58">
        <f t="shared" ref="H48:H72" si="2">$D$32*$F$32*$G48/2000</f>
        <v>0</v>
      </c>
      <c r="I48" s="59">
        <f>($E$32*$G48)/2000</f>
        <v>0</v>
      </c>
      <c r="K48" s="3"/>
      <c r="L48" s="3"/>
      <c r="M48" s="3"/>
      <c r="N48" s="3"/>
      <c r="O48" s="3"/>
      <c r="P48" s="3"/>
      <c r="Q48" s="3"/>
      <c r="R48" s="3"/>
      <c r="S48" s="3"/>
      <c r="T48" s="3"/>
    </row>
    <row r="49" spans="2:20" s="6" customFormat="1" ht="15" customHeight="1" x14ac:dyDescent="0.2">
      <c r="B49" s="70" t="s">
        <v>99</v>
      </c>
      <c r="D49" s="67"/>
      <c r="E49" s="68"/>
      <c r="F49" s="69"/>
      <c r="G49" s="38">
        <f>IF($E$19=rd,IF($E$21&gt;=600,'Engine emission factors'!$C18,'Engine emission factors'!$B18),IF($E$19=rg,'Engine emission factors'!$E18,IF($E$19=tng,'Engine emission factors'!$D18,IF($E$19=ngr,'Engine emission factors'!$F18,IF($E$19=ngl,'Engine emission factors'!$G18,IF($E$19=ng2l,'Engine emission factors'!$H18,IF($E$19=pro,'Engine emission factors'!$I18,IF($E$19=select,'Engine emission factors'!$Q18))))))))</f>
        <v>0</v>
      </c>
      <c r="H49" s="58">
        <f t="shared" si="2"/>
        <v>0</v>
      </c>
      <c r="I49" s="59">
        <f t="shared" ref="I49:I72" si="3">($E$32*$G49)/2000</f>
        <v>0</v>
      </c>
      <c r="K49" s="3"/>
      <c r="L49" s="3"/>
      <c r="M49" s="3"/>
      <c r="N49" s="3"/>
      <c r="O49" s="3"/>
      <c r="P49" s="3"/>
      <c r="Q49" s="3"/>
      <c r="R49" s="3"/>
      <c r="S49" s="3"/>
      <c r="T49" s="3"/>
    </row>
    <row r="50" spans="2:20" s="6" customFormat="1" ht="15" customHeight="1" x14ac:dyDescent="0.2">
      <c r="B50" s="70" t="s">
        <v>97</v>
      </c>
      <c r="D50" s="67"/>
      <c r="E50" s="68"/>
      <c r="F50" s="69"/>
      <c r="G50" s="38">
        <f>IF($E$19=rd,IF($E$21&gt;=600,'Engine emission factors'!$C19,'Engine emission factors'!$B19),IF($E$19=rg,'Engine emission factors'!$E19,IF($E$19=tng,'Engine emission factors'!$D19,IF($E$19=ngr,'Engine emission factors'!$F19,IF($E$19=ngl,'Engine emission factors'!$G19,IF($E$19=ng2l,'Engine emission factors'!$H19,IF($E$19=pro,'Engine emission factors'!$I19,IF($E$19=select,'Engine emission factors'!$Q19))))))))</f>
        <v>0</v>
      </c>
      <c r="H50" s="58">
        <f t="shared" si="2"/>
        <v>0</v>
      </c>
      <c r="I50" s="59">
        <f t="shared" si="3"/>
        <v>0</v>
      </c>
      <c r="K50" s="3"/>
      <c r="L50" s="3"/>
      <c r="M50" s="3"/>
      <c r="N50" s="3"/>
      <c r="O50" s="3"/>
      <c r="P50" s="3"/>
      <c r="Q50" s="3"/>
      <c r="R50" s="3"/>
      <c r="S50" s="3"/>
      <c r="T50" s="3"/>
    </row>
    <row r="51" spans="2:20" s="6" customFormat="1" ht="15" customHeight="1" x14ac:dyDescent="0.2">
      <c r="B51" s="70" t="s">
        <v>100</v>
      </c>
      <c r="D51" s="67"/>
      <c r="E51" s="68"/>
      <c r="F51" s="69"/>
      <c r="G51" s="38">
        <f>IF($E$19=rd,IF($E$21&gt;=600,'Engine emission factors'!$C20,'Engine emission factors'!$B20),IF($E$19=rg,'Engine emission factors'!$E20,IF($E$19=tng,'Engine emission factors'!$D20,IF($E$19=ngr,'Engine emission factors'!$F20,IF($E$19=ngl,'Engine emission factors'!$G20,IF($E$19=ng2l,'Engine emission factors'!$H20,IF($E$19=pro,'Engine emission factors'!$I20,IF($E$19=select,'Engine emission factors'!$AA20))))))))</f>
        <v>0</v>
      </c>
      <c r="H51" s="58">
        <f t="shared" si="2"/>
        <v>0</v>
      </c>
      <c r="I51" s="59">
        <f t="shared" si="3"/>
        <v>0</v>
      </c>
      <c r="K51" s="3"/>
      <c r="L51" s="3"/>
      <c r="M51" s="3"/>
      <c r="N51" s="3"/>
      <c r="O51" s="3"/>
      <c r="P51" s="3"/>
      <c r="Q51" s="3"/>
      <c r="R51" s="3"/>
      <c r="S51" s="3"/>
      <c r="T51" s="3"/>
    </row>
    <row r="52" spans="2:20" s="6" customFormat="1" ht="15" customHeight="1" x14ac:dyDescent="0.2">
      <c r="B52" s="71" t="s">
        <v>85</v>
      </c>
      <c r="D52" s="67"/>
      <c r="E52" s="68"/>
      <c r="F52" s="69"/>
      <c r="G52" s="38">
        <f>IF($E$19=rd,IF($E$21&gt;=600,'Engine emission factors'!$C21,'Engine emission factors'!$B21),IF($E$19=rg,'Engine emission factors'!$E21,IF($E$19=tng,'Engine emission factors'!$D21,IF($E$19=ngr,'Engine emission factors'!$F21,IF($E$19=ngl,'Engine emission factors'!$G21,IF($E$19=ng2l,'Engine emission factors'!$H21,IF($E$19=pro,'Engine emission factors'!$I21,IF($E$19=select,'Engine emission factors'!$AA21))))))))</f>
        <v>0</v>
      </c>
      <c r="H52" s="58">
        <f t="shared" si="2"/>
        <v>0</v>
      </c>
      <c r="I52" s="59">
        <f t="shared" si="3"/>
        <v>0</v>
      </c>
      <c r="K52" s="3"/>
      <c r="L52" s="3"/>
      <c r="M52" s="3"/>
      <c r="N52" s="3"/>
      <c r="O52" s="3"/>
      <c r="P52" s="3"/>
      <c r="Q52" s="3"/>
      <c r="R52" s="3"/>
      <c r="S52" s="3"/>
      <c r="T52" s="3"/>
    </row>
    <row r="53" spans="2:20" s="6" customFormat="1" ht="15" customHeight="1" x14ac:dyDescent="0.2">
      <c r="B53" s="71" t="s">
        <v>87</v>
      </c>
      <c r="D53" s="67"/>
      <c r="E53" s="68"/>
      <c r="F53" s="69"/>
      <c r="G53" s="38">
        <f>IF($E$19=rd,IF($E$21&gt;=600,'Engine emission factors'!$C22,'Engine emission factors'!$B22),IF($E$19=rg,'Engine emission factors'!$E22,IF($E$19=tng,'Engine emission factors'!$D22,IF($E$19=ngr,'Engine emission factors'!$F22,IF($E$19=ngl,'Engine emission factors'!$G22,IF($E$19=ng2l,'Engine emission factors'!$H22,IF($E$19=pro,'Engine emission factors'!$I22,IF($E$19=select,'Engine emission factors'!$AA22))))))))</f>
        <v>0</v>
      </c>
      <c r="H53" s="58">
        <f t="shared" si="2"/>
        <v>0</v>
      </c>
      <c r="I53" s="59">
        <f t="shared" si="3"/>
        <v>0</v>
      </c>
      <c r="K53" s="3"/>
      <c r="L53" s="3"/>
      <c r="M53" s="3"/>
      <c r="N53" s="3"/>
      <c r="O53" s="3"/>
      <c r="P53" s="3"/>
      <c r="Q53" s="3"/>
      <c r="R53" s="3"/>
      <c r="S53" s="3"/>
      <c r="T53" s="3"/>
    </row>
    <row r="54" spans="2:20" s="6" customFormat="1" ht="15" customHeight="1" x14ac:dyDescent="0.2">
      <c r="B54" s="71" t="s">
        <v>35</v>
      </c>
      <c r="D54" s="67"/>
      <c r="E54" s="68"/>
      <c r="F54" s="69"/>
      <c r="G54" s="38">
        <f>IF($E$19=rd,IF($E$21&gt;=600,'Engine emission factors'!$C23,'Engine emission factors'!$B23),IF($E$19=rg,'Engine emission factors'!$E23,IF($E$19=tng,'Engine emission factors'!$D23,IF($E$19=ngr,'Engine emission factors'!$F23,IF($E$19=ngl,'Engine emission factors'!$G23,IF($E$19=ng2l,'Engine emission factors'!$H23,IF($E$19=pro,'Engine emission factors'!$I23,IF($E$19=select,'Engine emission factors'!$AA23))))))))</f>
        <v>0</v>
      </c>
      <c r="H54" s="58">
        <f t="shared" si="2"/>
        <v>0</v>
      </c>
      <c r="I54" s="59">
        <f t="shared" si="3"/>
        <v>0</v>
      </c>
      <c r="K54" s="3"/>
      <c r="L54" s="3"/>
      <c r="M54" s="3"/>
      <c r="N54" s="3"/>
      <c r="O54" s="3"/>
      <c r="P54" s="3"/>
      <c r="Q54" s="3"/>
      <c r="R54" s="3"/>
      <c r="S54" s="3"/>
      <c r="T54" s="3"/>
    </row>
    <row r="55" spans="2:20" s="6" customFormat="1" ht="15" customHeight="1" x14ac:dyDescent="0.2">
      <c r="B55" s="70" t="s">
        <v>102</v>
      </c>
      <c r="D55" s="67"/>
      <c r="E55" s="68"/>
      <c r="F55" s="69"/>
      <c r="G55" s="38">
        <f>IF($E$19=rd,IF($E$21&gt;=600,'Engine emission factors'!$C24,'Engine emission factors'!$B24),IF($E$19=rg,'Engine emission factors'!$E24,IF($E$19=tng,'Engine emission factors'!$D24,IF($E$19=ngr,'Engine emission factors'!$F24,IF($E$19=ngl,'Engine emission factors'!$G24,IF($E$19=ng2l,'Engine emission factors'!$H24,IF($E$19=pro,'Engine emission factors'!$I24,IF($E$19=select,'Engine emission factors'!$AA24))))))))</f>
        <v>0</v>
      </c>
      <c r="H55" s="58">
        <f t="shared" si="2"/>
        <v>0</v>
      </c>
      <c r="I55" s="59">
        <f t="shared" si="3"/>
        <v>0</v>
      </c>
      <c r="K55" s="3"/>
      <c r="L55" s="3"/>
      <c r="M55" s="3"/>
      <c r="N55" s="3"/>
      <c r="O55" s="3"/>
      <c r="P55" s="3"/>
      <c r="Q55" s="3"/>
      <c r="R55" s="3"/>
      <c r="S55" s="3"/>
      <c r="T55" s="3"/>
    </row>
    <row r="56" spans="2:20" s="6" customFormat="1" ht="15" customHeight="1" x14ac:dyDescent="0.2">
      <c r="B56" s="70" t="s">
        <v>112</v>
      </c>
      <c r="D56" s="67"/>
      <c r="E56" s="68"/>
      <c r="F56" s="69"/>
      <c r="G56" s="38">
        <f>IF($E$19=rd,IF($E$21&gt;=600,'Engine emission factors'!$C25,'Engine emission factors'!$B25),IF($E$19=rg,'Engine emission factors'!$E25,IF($E$19=tng,'Engine emission factors'!$D25,IF($E$19=ngr,'Engine emission factors'!$F25,IF($E$19=ngl,'Engine emission factors'!$G25,IF($E$19=ng2l,'Engine emission factors'!$H25,IF($E$19=pro,'Engine emission factors'!$I25,IF($E$19=select,'Engine emission factors'!$AA25))))))))</f>
        <v>0</v>
      </c>
      <c r="H56" s="58">
        <f t="shared" si="2"/>
        <v>0</v>
      </c>
      <c r="I56" s="59">
        <f t="shared" si="3"/>
        <v>0</v>
      </c>
      <c r="K56" s="3"/>
      <c r="L56" s="3"/>
      <c r="M56" s="3"/>
      <c r="N56" s="3"/>
      <c r="O56" s="3"/>
      <c r="P56" s="3"/>
      <c r="Q56" s="3"/>
      <c r="R56" s="3"/>
      <c r="S56" s="3"/>
      <c r="T56" s="3"/>
    </row>
    <row r="57" spans="2:20" s="6" customFormat="1" ht="15" customHeight="1" x14ac:dyDescent="0.2">
      <c r="B57" s="70" t="s">
        <v>104</v>
      </c>
      <c r="D57" s="67"/>
      <c r="E57" s="68"/>
      <c r="F57" s="69"/>
      <c r="G57" s="38">
        <f>IF($E$19=rd,IF($E$21&gt;=600,'Engine emission factors'!$C26,'Engine emission factors'!$B26),IF($E$19=rg,'Engine emission factors'!$E26,IF($E$19=tng,'Engine emission factors'!$D26,IF($E$19=ngr,'Engine emission factors'!$F26,IF($E$19=ngl,'Engine emission factors'!$G26,IF($E$19=ng2l,'Engine emission factors'!$H26,IF($E$19=pro,'Engine emission factors'!$I26,IF($E$19=select,'Engine emission factors'!$AA26))))))))</f>
        <v>0</v>
      </c>
      <c r="H57" s="58">
        <f t="shared" si="2"/>
        <v>0</v>
      </c>
      <c r="I57" s="59">
        <f t="shared" si="3"/>
        <v>0</v>
      </c>
      <c r="K57" s="3"/>
      <c r="L57" s="3"/>
      <c r="M57" s="3"/>
      <c r="N57" s="3"/>
      <c r="O57" s="3"/>
      <c r="P57" s="3"/>
      <c r="Q57" s="3"/>
      <c r="R57" s="3"/>
      <c r="S57" s="3"/>
      <c r="T57" s="3"/>
    </row>
    <row r="58" spans="2:20" s="6" customFormat="1" ht="15" customHeight="1" x14ac:dyDescent="0.2">
      <c r="B58" s="70" t="s">
        <v>105</v>
      </c>
      <c r="D58" s="67"/>
      <c r="E58" s="68"/>
      <c r="F58" s="69"/>
      <c r="G58" s="38">
        <f>IF($E$19=rd,IF($E$21&gt;=600,'Engine emission factors'!$C27,'Engine emission factors'!$B27),IF($E$19=rg,'Engine emission factors'!$E27,IF($E$19=tng,'Engine emission factors'!$D27,IF($E$19=ngr,'Engine emission factors'!$F27,IF($E$19=ngl,'Engine emission factors'!$G27,IF($E$19=ng2l,'Engine emission factors'!$H27,IF($E$19=pro,'Engine emission factors'!$I27,IF($E$19=select,'Engine emission factors'!$AA27))))))))</f>
        <v>0</v>
      </c>
      <c r="H58" s="58">
        <f t="shared" si="2"/>
        <v>0</v>
      </c>
      <c r="I58" s="59">
        <f t="shared" si="3"/>
        <v>0</v>
      </c>
      <c r="K58" s="3"/>
      <c r="L58" s="3"/>
      <c r="M58" s="3"/>
      <c r="N58" s="3"/>
      <c r="O58" s="3"/>
      <c r="P58" s="3"/>
      <c r="Q58" s="3"/>
      <c r="R58" s="3"/>
      <c r="S58" s="3"/>
      <c r="T58" s="3"/>
    </row>
    <row r="59" spans="2:20" s="6" customFormat="1" ht="15" customHeight="1" x14ac:dyDescent="0.2">
      <c r="B59" s="71" t="s">
        <v>83</v>
      </c>
      <c r="D59" s="67"/>
      <c r="E59" s="68"/>
      <c r="F59" s="69"/>
      <c r="G59" s="38">
        <f>IF($E$19=rd,IF($E$21&gt;=600,'Engine emission factors'!$C28,'Engine emission factors'!$B28),IF($E$19=rg,'Engine emission factors'!$E28,IF($E$19=tng,'Engine emission factors'!$D28,IF($E$19=ngr,'Engine emission factors'!$F28,IF($E$19=ngl,'Engine emission factors'!$G28,IF($E$19=ng2l,'Engine emission factors'!$H28,IF($E$19=pro,'Engine emission factors'!$I28,IF($E$19=select,'Engine emission factors'!$AA28))))))))</f>
        <v>0</v>
      </c>
      <c r="H59" s="58">
        <f t="shared" si="2"/>
        <v>0</v>
      </c>
      <c r="I59" s="59">
        <f t="shared" si="3"/>
        <v>0</v>
      </c>
      <c r="K59" s="3"/>
      <c r="L59" s="3"/>
      <c r="M59" s="3"/>
      <c r="N59" s="3"/>
      <c r="O59" s="3"/>
      <c r="P59" s="3"/>
      <c r="Q59" s="3"/>
      <c r="R59" s="3"/>
      <c r="S59" s="3"/>
      <c r="T59" s="3"/>
    </row>
    <row r="60" spans="2:20" s="6" customFormat="1" ht="15" customHeight="1" x14ac:dyDescent="0.2">
      <c r="B60" s="70" t="s">
        <v>106</v>
      </c>
      <c r="D60" s="67"/>
      <c r="E60" s="68"/>
      <c r="F60" s="69"/>
      <c r="G60" s="38">
        <f>IF($E$19=rd,IF($E$21&gt;=600,'Engine emission factors'!$C29,'Engine emission factors'!$B29),IF($E$19=rg,'Engine emission factors'!$E29,IF($E$19=tng,'Engine emission factors'!$D29,IF($E$19=ngr,'Engine emission factors'!$F29,IF($E$19=ngl,'Engine emission factors'!$G29,IF($E$19=ng2l,'Engine emission factors'!$H29,IF($E$19=pro,'Engine emission factors'!$I29,IF($E$19=select,'Engine emission factors'!$AA29))))))))</f>
        <v>0</v>
      </c>
      <c r="H60" s="58">
        <f t="shared" si="2"/>
        <v>0</v>
      </c>
      <c r="I60" s="59">
        <f t="shared" si="3"/>
        <v>0</v>
      </c>
      <c r="K60" s="3"/>
      <c r="L60" s="3"/>
      <c r="M60" s="3"/>
      <c r="N60" s="3"/>
      <c r="O60" s="3"/>
      <c r="P60" s="3"/>
      <c r="Q60" s="3"/>
      <c r="R60" s="3"/>
      <c r="S60" s="3"/>
      <c r="T60" s="3"/>
    </row>
    <row r="61" spans="2:20" s="6" customFormat="1" ht="15" customHeight="1" x14ac:dyDescent="0.2">
      <c r="B61" s="71" t="s">
        <v>36</v>
      </c>
      <c r="D61" s="67"/>
      <c r="E61" s="68"/>
      <c r="F61" s="69"/>
      <c r="G61" s="38">
        <f>IF($E$19=rd,IF($E$21&gt;=600,'Engine emission factors'!$C30,'Engine emission factors'!$B30),IF($E$19=rg,'Engine emission factors'!$E30,IF($E$19=tng,'Engine emission factors'!$D30,IF($E$19=ngr,'Engine emission factors'!$F30,IF($E$19=ngl,'Engine emission factors'!$G30,IF($E$19=ng2l,'Engine emission factors'!$H30,IF($E$19=pro,'Engine emission factors'!$I30,IF($E$19=select,'Engine emission factors'!$AA30))))))))</f>
        <v>0</v>
      </c>
      <c r="H61" s="58">
        <f t="shared" si="2"/>
        <v>0</v>
      </c>
      <c r="I61" s="59">
        <f t="shared" si="3"/>
        <v>0</v>
      </c>
      <c r="K61" s="3"/>
      <c r="L61" s="3"/>
      <c r="M61" s="3"/>
      <c r="N61" s="3"/>
      <c r="O61" s="3"/>
      <c r="P61" s="3"/>
      <c r="Q61" s="3"/>
      <c r="R61" s="3"/>
      <c r="S61" s="3"/>
      <c r="T61" s="3"/>
    </row>
    <row r="62" spans="2:20" s="6" customFormat="1" ht="15" customHeight="1" x14ac:dyDescent="0.2">
      <c r="B62" s="71" t="s">
        <v>37</v>
      </c>
      <c r="D62" s="67"/>
      <c r="E62" s="68"/>
      <c r="F62" s="69"/>
      <c r="G62" s="38">
        <f>IF($E$19=rd,IF($E$21&gt;=600,'Engine emission factors'!$C31,'Engine emission factors'!$B31),IF($E$19=rg,'Engine emission factors'!$E31,IF($E$19=tng,'Engine emission factors'!$D31,IF($E$19=ngr,'Engine emission factors'!$F31,IF($E$19=ngl,'Engine emission factors'!$G31,IF($E$19=ng2l,'Engine emission factors'!$H31,IF($E$19=pro,'Engine emission factors'!$I31,IF($E$19=select,'Engine emission factors'!$AA31))))))))</f>
        <v>0</v>
      </c>
      <c r="H62" s="58">
        <f t="shared" si="2"/>
        <v>0</v>
      </c>
      <c r="I62" s="59">
        <f t="shared" si="3"/>
        <v>0</v>
      </c>
      <c r="K62" s="3"/>
      <c r="L62" s="3"/>
      <c r="M62" s="3"/>
      <c r="N62" s="3"/>
      <c r="O62" s="3"/>
      <c r="P62" s="3"/>
      <c r="Q62" s="3"/>
      <c r="R62" s="3"/>
      <c r="S62" s="3"/>
      <c r="T62" s="3"/>
    </row>
    <row r="63" spans="2:20" s="6" customFormat="1" ht="15" customHeight="1" x14ac:dyDescent="0.2">
      <c r="B63" s="70" t="s">
        <v>103</v>
      </c>
      <c r="D63" s="67"/>
      <c r="E63" s="68"/>
      <c r="F63" s="69"/>
      <c r="G63" s="38">
        <f>IF($E$19=rd,IF($E$21&gt;=600,'Engine emission factors'!$C32,'Engine emission factors'!$B32),IF($E$19=rg,'Engine emission factors'!$E32,IF($E$19=tng,'Engine emission factors'!$D32,IF($E$19=ngr,'Engine emission factors'!$F32,IF($E$19=ngl,'Engine emission factors'!$G32,IF($E$19=ng2l,'Engine emission factors'!$H32,IF($E$19=pro,'Engine emission factors'!$I32,IF($E$19=select,'Engine emission factors'!$AA32))))))))</f>
        <v>0</v>
      </c>
      <c r="H63" s="58">
        <f t="shared" si="2"/>
        <v>0</v>
      </c>
      <c r="I63" s="59">
        <f t="shared" si="3"/>
        <v>0</v>
      </c>
      <c r="K63" s="3"/>
      <c r="L63" s="3"/>
      <c r="M63" s="3"/>
      <c r="N63" s="3"/>
      <c r="O63" s="3"/>
      <c r="P63" s="3"/>
      <c r="Q63" s="3"/>
      <c r="R63" s="3"/>
      <c r="S63" s="3"/>
      <c r="T63" s="3"/>
    </row>
    <row r="64" spans="2:20" s="6" customFormat="1" ht="15" customHeight="1" x14ac:dyDescent="0.2">
      <c r="B64" s="70" t="s">
        <v>107</v>
      </c>
      <c r="D64" s="67"/>
      <c r="E64" s="68"/>
      <c r="F64" s="69"/>
      <c r="G64" s="38">
        <f>IF($E$19=rd,IF($E$21&gt;=600,'Engine emission factors'!$C33,'Engine emission factors'!$B33),IF($E$19=rg,'Engine emission factors'!$E33,IF($E$19=tng,'Engine emission factors'!$D33,IF($E$19=ngr,'Engine emission factors'!$F33,IF($E$19=ngl,'Engine emission factors'!$G33,IF($E$19=ng2l,'Engine emission factors'!$H33,IF($E$19=pro,'Engine emission factors'!$I33,IF($E$19=select,'Engine emission factors'!$AA33))))))))</f>
        <v>0</v>
      </c>
      <c r="H64" s="58">
        <f t="shared" si="2"/>
        <v>0</v>
      </c>
      <c r="I64" s="59">
        <f t="shared" si="3"/>
        <v>0</v>
      </c>
      <c r="K64" s="3"/>
      <c r="L64" s="3"/>
      <c r="M64" s="3"/>
      <c r="N64" s="3"/>
      <c r="O64" s="3"/>
      <c r="P64" s="3"/>
      <c r="Q64" s="3"/>
      <c r="R64" s="3"/>
      <c r="S64" s="3"/>
      <c r="T64" s="3"/>
    </row>
    <row r="65" spans="2:20" s="6" customFormat="1" ht="15" customHeight="1" x14ac:dyDescent="0.2">
      <c r="B65" s="71" t="s">
        <v>38</v>
      </c>
      <c r="D65" s="67"/>
      <c r="E65" s="68"/>
      <c r="F65" s="69"/>
      <c r="G65" s="38">
        <f>IF($E$19=rd,IF($E$21&gt;=600,'Engine emission factors'!$C34,'Engine emission factors'!$B34),IF($E$19=rg,'Engine emission factors'!$E34,IF($E$19=tng,'Engine emission factors'!$D34,IF($E$19=ngr,'Engine emission factors'!$F34,IF($E$19=ngl,'Engine emission factors'!$G34,IF($E$19=ng2l,'Engine emission factors'!$H34,IF($E$19=pro,'Engine emission factors'!$I34,IF($E$19=select,'Engine emission factors'!$AA34))))))))</f>
        <v>0</v>
      </c>
      <c r="H65" s="58">
        <f t="shared" si="2"/>
        <v>0</v>
      </c>
      <c r="I65" s="59">
        <f t="shared" si="3"/>
        <v>0</v>
      </c>
      <c r="K65" s="3"/>
      <c r="L65" s="3"/>
      <c r="M65" s="3"/>
      <c r="N65" s="3"/>
      <c r="O65" s="3"/>
      <c r="P65" s="3"/>
      <c r="Q65" s="3"/>
      <c r="R65" s="3"/>
      <c r="S65" s="3"/>
      <c r="T65" s="3"/>
    </row>
    <row r="66" spans="2:20" s="6" customFormat="1" ht="15" customHeight="1" x14ac:dyDescent="0.2">
      <c r="B66" s="70" t="s">
        <v>101</v>
      </c>
      <c r="G66" s="38">
        <f>IF($E$19=rd,IF($E$21&gt;=600,'Engine emission factors'!$C35,'Engine emission factors'!$B35),IF($E$19=rg,'Engine emission factors'!$E35,IF($E$19=tng,'Engine emission factors'!$D35,IF($E$19=ngr,'Engine emission factors'!$F35,IF($E$19=ngl,'Engine emission factors'!$G35,IF($E$19=ng2l,'Engine emission factors'!$H35,IF($E$19=pro,'Engine emission factors'!$I35,IF($E$19=select,'Engine emission factors'!$AA35))))))))</f>
        <v>0</v>
      </c>
      <c r="H66" s="58">
        <f t="shared" si="2"/>
        <v>0</v>
      </c>
      <c r="I66" s="59">
        <f t="shared" si="3"/>
        <v>0</v>
      </c>
      <c r="K66" s="3"/>
      <c r="L66" s="3"/>
      <c r="M66" s="3"/>
      <c r="N66" s="3"/>
      <c r="O66" s="3"/>
      <c r="P66" s="3"/>
      <c r="Q66" s="3"/>
      <c r="R66" s="3"/>
      <c r="S66" s="3"/>
      <c r="T66" s="3"/>
    </row>
    <row r="67" spans="2:20" s="6" customFormat="1" ht="15" customHeight="1" x14ac:dyDescent="0.2">
      <c r="B67" s="70" t="s">
        <v>108</v>
      </c>
      <c r="G67" s="38">
        <f>IF($E$19=rd,IF($E$21&gt;=600,'Engine emission factors'!$C36,'Engine emission factors'!$B36),IF($E$19=rg,'Engine emission factors'!$E36,IF($E$19=tng,'Engine emission factors'!$D36,IF($E$19=ngr,'Engine emission factors'!$F36,IF($E$19=ngl,'Engine emission factors'!$G36,IF($E$19=ng2l,'Engine emission factors'!$H36,IF($E$19=pro,'Engine emission factors'!$I36,IF($E$19=select,'Engine emission factors'!$AA36))))))))</f>
        <v>0</v>
      </c>
      <c r="H67" s="58">
        <f t="shared" si="2"/>
        <v>0</v>
      </c>
      <c r="I67" s="59">
        <f t="shared" si="3"/>
        <v>0</v>
      </c>
      <c r="K67" s="3"/>
      <c r="L67" s="3"/>
      <c r="M67" s="3"/>
      <c r="N67" s="3"/>
      <c r="O67" s="3"/>
      <c r="P67" s="3"/>
      <c r="Q67" s="3"/>
      <c r="R67" s="3"/>
      <c r="S67" s="3"/>
      <c r="T67" s="3"/>
    </row>
    <row r="68" spans="2:20" s="6" customFormat="1" ht="15" customHeight="1" x14ac:dyDescent="0.2">
      <c r="B68" s="70" t="s">
        <v>109</v>
      </c>
      <c r="G68" s="38">
        <f>IF($E$19=rd,IF($E$21&gt;=600,'Engine emission factors'!$C37,'Engine emission factors'!$B37),IF($E$19=rg,'Engine emission factors'!$E37,IF($E$19=tng,'Engine emission factors'!$D37,IF($E$19=ngr,'Engine emission factors'!$F37,IF($E$19=ngl,'Engine emission factors'!$G37,IF($E$19=ng2l,'Engine emission factors'!$H37,IF($E$19=pro,'Engine emission factors'!$I37,IF($E$19=select,'Engine emission factors'!$AA37))))))))</f>
        <v>0</v>
      </c>
      <c r="H68" s="58">
        <f t="shared" si="2"/>
        <v>0</v>
      </c>
      <c r="I68" s="59">
        <f t="shared" si="3"/>
        <v>0</v>
      </c>
      <c r="K68" s="3"/>
      <c r="L68" s="3"/>
      <c r="M68" s="3"/>
      <c r="N68" s="3"/>
      <c r="O68" s="3"/>
      <c r="P68" s="3"/>
      <c r="Q68" s="3"/>
      <c r="R68" s="3"/>
      <c r="S68" s="3"/>
      <c r="T68" s="3"/>
    </row>
    <row r="69" spans="2:20" s="6" customFormat="1" ht="15" customHeight="1" x14ac:dyDescent="0.2">
      <c r="B69" s="70" t="s">
        <v>110</v>
      </c>
      <c r="G69" s="38">
        <f>IF($E$19=rd,IF($E$21&gt;=600,'Engine emission factors'!$C38,'Engine emission factors'!$B38),IF($E$19=rg,'Engine emission factors'!$E38,IF($E$19=tng,'Engine emission factors'!$D38,IF($E$19=ngr,'Engine emission factors'!$F38,IF($E$19=ngl,'Engine emission factors'!$G38,IF($E$19=ng2l,'Engine emission factors'!$H38,IF($E$19=pro,'Engine emission factors'!$I38,IF($E$19=select,'Engine emission factors'!$AA38))))))))</f>
        <v>0</v>
      </c>
      <c r="H69" s="58">
        <f t="shared" si="2"/>
        <v>0</v>
      </c>
      <c r="I69" s="59">
        <f t="shared" si="3"/>
        <v>0</v>
      </c>
      <c r="K69" s="3"/>
      <c r="L69" s="3"/>
      <c r="M69" s="3"/>
      <c r="N69" s="3"/>
      <c r="O69" s="3"/>
      <c r="P69" s="3"/>
      <c r="Q69" s="3"/>
      <c r="R69" s="3"/>
      <c r="S69" s="3"/>
      <c r="T69" s="3"/>
    </row>
    <row r="70" spans="2:20" s="6" customFormat="1" ht="15" customHeight="1" x14ac:dyDescent="0.2">
      <c r="B70" s="71" t="s">
        <v>39</v>
      </c>
      <c r="G70" s="38">
        <f>IF($E$19=rd,IF($E$21&gt;=600,'Engine emission factors'!$C39,'Engine emission factors'!$B39),IF($E$19=rg,'Engine emission factors'!$E39,IF($E$19=tng,'Engine emission factors'!$D39,IF($E$19=ngr,'Engine emission factors'!$F39,IF($E$19=ngl,'Engine emission factors'!$G39,IF($E$19=ng2l,'Engine emission factors'!$H39,IF($E$19=pro,'Engine emission factors'!$I39,IF($E$19=select,'Engine emission factors'!$AA39))))))))</f>
        <v>0</v>
      </c>
      <c r="H70" s="58">
        <f t="shared" si="2"/>
        <v>0</v>
      </c>
      <c r="I70" s="59">
        <f t="shared" si="3"/>
        <v>0</v>
      </c>
      <c r="K70" s="3"/>
      <c r="L70" s="3"/>
      <c r="M70" s="3"/>
      <c r="N70" s="3"/>
      <c r="O70" s="3"/>
      <c r="P70" s="3"/>
      <c r="Q70" s="3"/>
      <c r="R70" s="3"/>
      <c r="S70" s="3"/>
      <c r="T70" s="3"/>
    </row>
    <row r="71" spans="2:20" s="6" customFormat="1" ht="15" customHeight="1" x14ac:dyDescent="0.2">
      <c r="B71" s="70" t="s">
        <v>111</v>
      </c>
      <c r="G71" s="38">
        <f>IF($E$19=rd,IF($E$21&gt;=600,'Engine emission factors'!$C40,'Engine emission factors'!$B40),IF($E$19=rg,'Engine emission factors'!$E40,IF($E$19=tng,'Engine emission factors'!$D40,IF($E$19=ngr,'Engine emission factors'!$F40,IF($E$19=ngl,'Engine emission factors'!$G40,IF($E$19=ng2l,'Engine emission factors'!$H40,IF($E$19=pro,'Engine emission factors'!$I40,IF($E$19=select,'Engine emission factors'!$AA40))))))))</f>
        <v>0</v>
      </c>
      <c r="H71" s="58">
        <f t="shared" si="2"/>
        <v>0</v>
      </c>
      <c r="I71" s="59">
        <f t="shared" si="3"/>
        <v>0</v>
      </c>
      <c r="K71" s="3"/>
      <c r="L71" s="3"/>
      <c r="M71" s="3"/>
      <c r="N71" s="3"/>
      <c r="O71" s="3"/>
      <c r="P71" s="3"/>
      <c r="Q71" s="3"/>
      <c r="R71" s="3"/>
      <c r="S71" s="3"/>
      <c r="T71" s="3"/>
    </row>
    <row r="72" spans="2:20" s="6" customFormat="1" ht="15" customHeight="1" x14ac:dyDescent="0.2">
      <c r="B72" s="71" t="s">
        <v>84</v>
      </c>
      <c r="G72" s="38">
        <f>IF($E$19=rd,IF($E$21&gt;=600,'Engine emission factors'!$C41,'Engine emission factors'!$B41),IF($E$19=rg,'Engine emission factors'!$E41,IF($E$19=tng,'Engine emission factors'!$D41,IF($E$19=ngr,'Engine emission factors'!$F41,IF($E$19=ngl,'Engine emission factors'!$G41,IF($E$19=ng2l,'Engine emission factors'!$H41,IF($E$19=pro,'Engine emission factors'!$I41,IF($E$19=select,'Engine emission factors'!$AA41))))))))</f>
        <v>0</v>
      </c>
      <c r="H72" s="58">
        <f t="shared" si="2"/>
        <v>0</v>
      </c>
      <c r="I72" s="59">
        <f t="shared" si="3"/>
        <v>0</v>
      </c>
      <c r="K72" s="3"/>
      <c r="L72" s="3"/>
      <c r="M72" s="3"/>
      <c r="N72" s="3"/>
      <c r="O72" s="3"/>
      <c r="P72" s="3"/>
      <c r="Q72" s="3"/>
      <c r="R72" s="3"/>
      <c r="S72" s="3"/>
      <c r="T72" s="3"/>
    </row>
    <row r="73" spans="2:20" s="6" customFormat="1" ht="15" customHeight="1" thickBot="1" x14ac:dyDescent="0.25">
      <c r="B73" s="61"/>
      <c r="C73" s="62"/>
      <c r="D73" s="62"/>
      <c r="E73" s="62"/>
      <c r="F73" s="63" t="s">
        <v>40</v>
      </c>
      <c r="G73" s="64"/>
      <c r="H73" s="72">
        <f>SUM(H48:H72)</f>
        <v>0</v>
      </c>
      <c r="I73" s="73">
        <f>SUM(I48:I72)</f>
        <v>0</v>
      </c>
      <c r="K73" s="3"/>
      <c r="L73" s="3"/>
      <c r="M73" s="3"/>
      <c r="N73" s="3"/>
      <c r="O73" s="3"/>
      <c r="P73" s="3"/>
      <c r="Q73" s="3"/>
      <c r="R73" s="3"/>
      <c r="S73" s="3"/>
      <c r="T73" s="3"/>
    </row>
    <row r="74" spans="2:20" s="6" customFormat="1" ht="15" customHeight="1" x14ac:dyDescent="0.2">
      <c r="B74" s="476" t="s">
        <v>187</v>
      </c>
      <c r="C74" s="476"/>
      <c r="D74" s="476"/>
      <c r="E74" s="476"/>
      <c r="F74" s="302"/>
      <c r="G74" s="302"/>
      <c r="H74" s="302"/>
      <c r="I74" s="302"/>
      <c r="K74" s="3"/>
      <c r="L74" s="3"/>
      <c r="M74" s="3"/>
      <c r="N74" s="3"/>
      <c r="O74" s="3"/>
      <c r="P74" s="3"/>
      <c r="Q74" s="3"/>
      <c r="R74" s="3"/>
      <c r="S74" s="3"/>
      <c r="T74" s="3"/>
    </row>
    <row r="75" spans="2:20" s="6" customFormat="1" ht="15" customHeight="1" x14ac:dyDescent="0.25">
      <c r="B75" s="463" t="s">
        <v>188</v>
      </c>
      <c r="C75" s="463"/>
      <c r="D75" s="463"/>
      <c r="E75" s="463"/>
      <c r="K75" s="3"/>
      <c r="L75" s="3"/>
      <c r="M75" s="3"/>
      <c r="N75" s="3"/>
      <c r="O75" s="3"/>
      <c r="P75" s="3"/>
      <c r="Q75" s="3"/>
      <c r="R75" s="3"/>
      <c r="S75" s="3"/>
      <c r="T75" s="3"/>
    </row>
    <row r="76" spans="2:20" s="6" customFormat="1" ht="15" customHeight="1" x14ac:dyDescent="0.2">
      <c r="B76" s="282" t="s">
        <v>531</v>
      </c>
      <c r="C76" s="282"/>
      <c r="D76" s="282"/>
      <c r="E76" s="282"/>
      <c r="K76" s="3"/>
      <c r="L76" s="3"/>
      <c r="M76" s="3"/>
      <c r="N76" s="3"/>
      <c r="O76" s="3"/>
      <c r="P76" s="3"/>
      <c r="Q76" s="3"/>
      <c r="R76" s="3"/>
      <c r="S76" s="3"/>
      <c r="T76" s="3"/>
    </row>
    <row r="77" spans="2:20" s="6" customFormat="1" ht="15" customHeight="1" x14ac:dyDescent="0.25">
      <c r="B77" s="283" t="s">
        <v>419</v>
      </c>
      <c r="C77" s="284"/>
      <c r="D77" s="284"/>
      <c r="E77" s="284"/>
      <c r="F77"/>
      <c r="G77" s="281" t="s">
        <v>190</v>
      </c>
      <c r="H77" s="281"/>
      <c r="I77"/>
      <c r="J77"/>
      <c r="K77" s="3"/>
      <c r="L77" s="3"/>
      <c r="M77" s="3"/>
      <c r="N77" s="3"/>
      <c r="O77" s="3"/>
      <c r="P77" s="3"/>
      <c r="Q77" s="3"/>
      <c r="R77" s="3"/>
      <c r="S77" s="3"/>
      <c r="T77" s="3"/>
    </row>
    <row r="78" spans="2:20" ht="15" customHeight="1" x14ac:dyDescent="0.25">
      <c r="B78" s="215"/>
      <c r="C78" s="215"/>
      <c r="D78" s="215"/>
      <c r="E78" s="215"/>
    </row>
    <row r="79" spans="2:20" x14ac:dyDescent="0.25">
      <c r="D79" s="215"/>
      <c r="E79" s="215"/>
      <c r="F79" s="1"/>
      <c r="G79" s="1"/>
      <c r="H79" s="1"/>
      <c r="I79" s="1"/>
    </row>
    <row r="413" hidden="1" x14ac:dyDescent="0.25"/>
  </sheetData>
  <protectedRanges>
    <protectedRange sqref="B22 N28:Q29 C11:C13 M33:M36 J21:J26 E21:E24 F5:F6 A14:A19 R22:W27 P24:Q27 K22:K27" name="Range2"/>
    <protectedRange sqref="O28:Q410 L42:L406 N28:N44 M32:M44 M46:N410 J25:J407 A5:B7 L34:L40 H11:H12 A26:A408 B25:I73 B80:I407 B74:E76 D77:I79 B77:C78 L6:L8 G5:I8 C5:D8 M5:XFD8 A1:XFD4 C10:E10 A8:A10 D11:E13 G11:G13 C9:XFD9 G10:L10 I11:L13 K14:L19 R10:XFD21 R26:XFD408 M10:Q23 M24:O27 B14:I18 A20:A21 K20:K21 K26:K408 B19:J20" name="Range1"/>
  </protectedRanges>
  <mergeCells count="26">
    <mergeCell ref="B1:J1"/>
    <mergeCell ref="G47:I47"/>
    <mergeCell ref="B74:E74"/>
    <mergeCell ref="B22:D22"/>
    <mergeCell ref="E19:F19"/>
    <mergeCell ref="G19:H19"/>
    <mergeCell ref="B25:D25"/>
    <mergeCell ref="C5:D5"/>
    <mergeCell ref="C6:D6"/>
    <mergeCell ref="C7:D7"/>
    <mergeCell ref="C8:D8"/>
    <mergeCell ref="B2:J2"/>
    <mergeCell ref="B3:I3"/>
    <mergeCell ref="B75:E75"/>
    <mergeCell ref="B26:I26"/>
    <mergeCell ref="B27:I27"/>
    <mergeCell ref="J31:J32"/>
    <mergeCell ref="J29:J30"/>
    <mergeCell ref="H29:H30"/>
    <mergeCell ref="I29:I30"/>
    <mergeCell ref="F29:F30"/>
    <mergeCell ref="G29:G30"/>
    <mergeCell ref="D29:D30"/>
    <mergeCell ref="E29:E30"/>
    <mergeCell ref="B29:B30"/>
    <mergeCell ref="C29:C30"/>
  </mergeCells>
  <conditionalFormatting sqref="G34:G41 G43:G45 G48:G72">
    <cfRule type="cellIs" dxfId="38" priority="14" operator="equal">
      <formula>0</formula>
    </cfRule>
  </conditionalFormatting>
  <conditionalFormatting sqref="E23:E24">
    <cfRule type="containsBlanks" dxfId="37" priority="21">
      <formula>LEN(TRIM(E23))=0</formula>
    </cfRule>
  </conditionalFormatting>
  <dataValidations count="4">
    <dataValidation allowBlank="1" showErrorMessage="1" sqref="D25:D31 C21:D21 E21:E31 F21:I32 D32:E32 B25:C32 C23:D24" xr:uid="{00000000-0002-0000-0400-000000000000}"/>
    <dataValidation type="list" allowBlank="1" showInputMessage="1" showErrorMessage="1" sqref="B11:B13" xr:uid="{00000000-0002-0000-0400-000001000000}">
      <formula1>"Choose one, Yes, No"</formula1>
    </dataValidation>
    <dataValidation type="list" allowBlank="1" showInputMessage="1" showErrorMessage="1" sqref="B16" xr:uid="{00000000-0002-0000-0400-000002000000}">
      <formula1>"Choose one, Yes - NSPS, Yes - NESHAP, No"</formula1>
    </dataValidation>
    <dataValidation type="list" allowBlank="1" showInputMessage="1" showErrorMessage="1" sqref="G8" xr:uid="{00000000-0002-0000-0400-000003000000}">
      <formula1>"Choose one, Tier 1, Tier 2, Tier 3, Tier 4, other"</formula1>
    </dataValidation>
  </dataValidations>
  <hyperlinks>
    <hyperlink ref="I42" r:id="rId1" xr:uid="{00000000-0004-0000-0400-000000000000}"/>
    <hyperlink ref="G77:H77" r:id="rId2" display="Minn. R. 7007.1300, subp. 3(I)" xr:uid="{00000000-0004-0000-0400-000001000000}"/>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47" min="1" max="9" man="1"/>
  </rowBreaks>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Incorrect Entry" error="Please choose from the drop down list._x000a__x000a_----&gt; Press CANCEL" xr:uid="{00000000-0002-0000-0400-000004000000}">
          <x14:formula1>
            <xm:f>'Data validation'!$A$6:$A$13</xm:f>
          </x14:formula1>
          <xm:sqref>E19:F19</xm:sqref>
        </x14:dataValidation>
        <x14:dataValidation type="list" errorStyle="information" allowBlank="1" showInputMessage="1" showErrorMessage="1" errorTitle="Incorrect Entry" error="Please choose from the drop down list._x000a__x000a_----&gt; Press CANCEL" xr:uid="{00000000-0002-0000-0400-000005000000}">
          <x14:formula1>
            <xm:f>'Data validation'!$A$17:$A$19</xm:f>
          </x14:formula1>
          <xm:sqref>E20</xm:sqref>
        </x14:dataValidation>
        <x14:dataValidation type="list" allowBlank="1" showErrorMessage="1" xr:uid="{00000000-0002-0000-0400-000006000000}">
          <x14:formula1>
            <xm:f>'Data validation'!$B$5:$B$7</xm:f>
          </x14:formula1>
          <xm:sqref>B22:D22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D1EAFF"/>
    <pageSetUpPr fitToPage="1"/>
  </sheetPr>
  <dimension ref="A1:T413"/>
  <sheetViews>
    <sheetView showGridLines="0" zoomScaleNormal="100" zoomScaleSheetLayoutView="100" zoomScalePageLayoutView="85" workbookViewId="0">
      <selection activeCell="C5" sqref="C5:D5"/>
    </sheetView>
  </sheetViews>
  <sheetFormatPr defaultRowHeight="15" x14ac:dyDescent="0.25"/>
  <cols>
    <col min="1" max="1" width="5.140625" customWidth="1"/>
    <col min="2" max="2" width="21.140625" customWidth="1"/>
    <col min="3" max="3" width="9" customWidth="1"/>
    <col min="4" max="5" width="17.85546875" customWidth="1"/>
    <col min="6" max="6" width="19.28515625" customWidth="1"/>
    <col min="7" max="9" width="17.85546875" customWidth="1"/>
    <col min="10" max="10" width="16" customWidth="1"/>
    <col min="11" max="13" width="12" style="3" customWidth="1"/>
    <col min="14" max="18" width="9.140625" style="3"/>
    <col min="19" max="20" width="9.140625" style="210"/>
  </cols>
  <sheetData>
    <row r="1" spans="1:20" x14ac:dyDescent="0.25">
      <c r="B1" s="439" t="str">
        <f>Instructions!O3</f>
        <v>p-sbap5-25  •  12/13/23</v>
      </c>
      <c r="C1" s="439"/>
      <c r="D1" s="439"/>
      <c r="E1" s="439"/>
      <c r="F1" s="439"/>
      <c r="G1" s="439"/>
      <c r="H1" s="439"/>
      <c r="I1" s="439"/>
      <c r="J1" s="439"/>
    </row>
    <row r="2" spans="1:20" ht="19.5" thickBot="1" x14ac:dyDescent="0.3">
      <c r="B2" s="413" t="s">
        <v>129</v>
      </c>
      <c r="C2" s="413"/>
      <c r="D2" s="413"/>
      <c r="E2" s="413"/>
      <c r="F2" s="413"/>
      <c r="G2" s="413"/>
      <c r="H2" s="413"/>
      <c r="I2" s="413"/>
      <c r="J2" s="413"/>
      <c r="K2"/>
      <c r="L2"/>
      <c r="M2"/>
      <c r="N2"/>
      <c r="O2"/>
      <c r="P2"/>
      <c r="Q2"/>
      <c r="R2"/>
      <c r="S2"/>
      <c r="T2"/>
    </row>
    <row r="3" spans="1:20" s="6" customFormat="1" ht="14.25" x14ac:dyDescent="0.2">
      <c r="B3" s="486" t="s">
        <v>277</v>
      </c>
      <c r="C3" s="486"/>
      <c r="D3" s="486"/>
      <c r="E3" s="486"/>
      <c r="F3" s="486"/>
      <c r="G3" s="486"/>
      <c r="H3" s="486"/>
      <c r="I3" s="486"/>
      <c r="J3" s="9"/>
    </row>
    <row r="4" spans="1:20" s="6" customFormat="1" x14ac:dyDescent="0.25">
      <c r="B4" s="278"/>
      <c r="C4" s="233"/>
      <c r="D4" s="233"/>
      <c r="E4" s="233"/>
      <c r="F4" s="233"/>
      <c r="G4" s="233"/>
      <c r="H4" s="233"/>
      <c r="I4" s="233"/>
      <c r="J4" s="9"/>
    </row>
    <row r="5" spans="1:20" s="6" customFormat="1" ht="14.25" x14ac:dyDescent="0.2">
      <c r="B5" s="347" t="s">
        <v>267</v>
      </c>
      <c r="C5" s="484" t="s">
        <v>74</v>
      </c>
      <c r="D5" s="485"/>
      <c r="E5" s="3"/>
      <c r="F5" s="347" t="s">
        <v>270</v>
      </c>
      <c r="G5" s="301"/>
      <c r="H5" s="3" t="s">
        <v>420</v>
      </c>
      <c r="I5" s="226"/>
    </row>
    <row r="6" spans="1:20" s="6" customFormat="1" ht="14.25" x14ac:dyDescent="0.2">
      <c r="B6" s="347" t="s">
        <v>226</v>
      </c>
      <c r="C6" s="484"/>
      <c r="D6" s="485"/>
      <c r="E6" s="3"/>
      <c r="F6" s="347" t="s">
        <v>271</v>
      </c>
      <c r="G6" s="301"/>
      <c r="H6" s="3" t="s">
        <v>274</v>
      </c>
      <c r="I6" s="226"/>
    </row>
    <row r="7" spans="1:20" s="6" customFormat="1" ht="14.25" x14ac:dyDescent="0.2">
      <c r="B7" s="347" t="s">
        <v>227</v>
      </c>
      <c r="C7" s="484"/>
      <c r="D7" s="485"/>
      <c r="E7" s="3"/>
      <c r="F7" s="347" t="s">
        <v>272</v>
      </c>
      <c r="G7" s="301"/>
      <c r="H7" s="3" t="s">
        <v>275</v>
      </c>
      <c r="I7" s="226"/>
    </row>
    <row r="8" spans="1:20" s="6" customFormat="1" ht="14.25" x14ac:dyDescent="0.2">
      <c r="B8" s="347" t="s">
        <v>269</v>
      </c>
      <c r="C8" s="484"/>
      <c r="D8" s="485"/>
      <c r="E8" s="3" t="s">
        <v>268</v>
      </c>
      <c r="F8" s="347" t="s">
        <v>273</v>
      </c>
      <c r="G8" s="301" t="s">
        <v>178</v>
      </c>
      <c r="H8" s="3" t="s">
        <v>276</v>
      </c>
      <c r="I8" s="226"/>
    </row>
    <row r="9" spans="1:20" s="6" customFormat="1" ht="14.25" x14ac:dyDescent="0.2">
      <c r="B9" s="3"/>
      <c r="C9" s="275"/>
      <c r="D9" s="275"/>
      <c r="E9" s="275"/>
      <c r="F9" s="275"/>
      <c r="G9" s="275"/>
      <c r="H9" s="275"/>
      <c r="I9" s="275"/>
      <c r="J9" s="9"/>
      <c r="K9" s="9"/>
    </row>
    <row r="10" spans="1:20" s="6" customFormat="1" ht="14.25" x14ac:dyDescent="0.2">
      <c r="B10" s="344" t="s">
        <v>500</v>
      </c>
      <c r="C10" s="275"/>
      <c r="D10" s="275"/>
      <c r="E10" s="275"/>
      <c r="G10" s="9"/>
    </row>
    <row r="11" spans="1:20" s="6" customFormat="1" ht="14.25" x14ac:dyDescent="0.2">
      <c r="B11" s="277" t="s">
        <v>178</v>
      </c>
      <c r="C11" s="348" t="s">
        <v>263</v>
      </c>
      <c r="D11" s="275"/>
      <c r="E11" s="275"/>
      <c r="G11" s="9"/>
      <c r="H11" s="344"/>
    </row>
    <row r="12" spans="1:20" s="6" customFormat="1" ht="14.25" x14ac:dyDescent="0.2">
      <c r="B12" s="216" t="s">
        <v>178</v>
      </c>
      <c r="C12" s="348" t="s">
        <v>264</v>
      </c>
      <c r="D12" s="275"/>
      <c r="E12" s="275"/>
      <c r="G12" s="9"/>
      <c r="H12" s="348"/>
    </row>
    <row r="13" spans="1:20" s="6" customFormat="1" ht="15.75" customHeight="1" x14ac:dyDescent="0.2">
      <c r="B13" s="216" t="s">
        <v>178</v>
      </c>
      <c r="C13" s="348" t="s">
        <v>265</v>
      </c>
      <c r="D13" s="275"/>
      <c r="E13" s="275"/>
      <c r="G13" s="9"/>
    </row>
    <row r="14" spans="1:20" s="6" customFormat="1" ht="15.75" customHeight="1" x14ac:dyDescent="0.2">
      <c r="A14" s="348"/>
      <c r="B14" s="275"/>
      <c r="C14" s="275"/>
      <c r="D14" s="275"/>
      <c r="E14" s="275"/>
      <c r="F14" s="275"/>
      <c r="G14" s="275"/>
      <c r="H14" s="9"/>
      <c r="I14" s="9"/>
    </row>
    <row r="15" spans="1:20" s="6" customFormat="1" ht="15.75" customHeight="1" x14ac:dyDescent="0.2">
      <c r="A15" s="348"/>
      <c r="B15" s="344" t="s">
        <v>421</v>
      </c>
      <c r="C15" s="275"/>
      <c r="D15" s="275"/>
      <c r="E15" s="275"/>
      <c r="F15" s="275"/>
      <c r="G15" s="275"/>
      <c r="H15" s="9"/>
      <c r="I15" s="9"/>
    </row>
    <row r="16" spans="1:20" s="6" customFormat="1" ht="15.75" customHeight="1" x14ac:dyDescent="0.2">
      <c r="A16" s="348"/>
      <c r="B16" s="277" t="s">
        <v>178</v>
      </c>
      <c r="C16" s="348" t="s">
        <v>422</v>
      </c>
      <c r="D16" s="275"/>
      <c r="E16" s="275"/>
      <c r="F16" s="275"/>
      <c r="G16" s="275"/>
      <c r="H16" s="9"/>
      <c r="I16" s="9"/>
    </row>
    <row r="17" spans="1:20" s="6" customFormat="1" ht="15.75" customHeight="1" x14ac:dyDescent="0.2">
      <c r="A17" s="348"/>
      <c r="B17" s="344"/>
      <c r="C17" s="286"/>
      <c r="D17" s="275"/>
      <c r="E17" s="275"/>
      <c r="F17" s="275"/>
      <c r="G17" s="275"/>
      <c r="H17" s="9"/>
      <c r="I17" s="9"/>
    </row>
    <row r="18" spans="1:20" s="6" customFormat="1" ht="15.75" customHeight="1" x14ac:dyDescent="0.25">
      <c r="A18" s="348"/>
      <c r="B18" s="287" t="s">
        <v>423</v>
      </c>
      <c r="C18" s="286"/>
      <c r="D18" s="275"/>
      <c r="E18" s="275"/>
      <c r="F18" s="275"/>
      <c r="G18" s="275"/>
      <c r="H18" s="9"/>
      <c r="I18" s="9"/>
    </row>
    <row r="19" spans="1:20" s="6" customFormat="1" ht="15.75" customHeight="1" x14ac:dyDescent="0.25">
      <c r="A19" s="348"/>
      <c r="B19" s="357"/>
      <c r="C19" s="357"/>
      <c r="D19" s="346" t="s">
        <v>130</v>
      </c>
      <c r="E19" s="480" t="s">
        <v>178</v>
      </c>
      <c r="F19" s="481"/>
      <c r="G19" s="482"/>
      <c r="H19" s="482"/>
      <c r="I19" s="233"/>
    </row>
    <row r="20" spans="1:20" s="6" customFormat="1" ht="15" customHeight="1" x14ac:dyDescent="0.2">
      <c r="B20" s="357"/>
      <c r="C20" s="357"/>
      <c r="D20" s="346" t="s">
        <v>131</v>
      </c>
      <c r="E20" s="216" t="s">
        <v>178</v>
      </c>
      <c r="F20" s="359"/>
      <c r="G20" s="358"/>
      <c r="H20" s="358"/>
      <c r="I20" s="358"/>
      <c r="J20" s="9"/>
      <c r="K20" s="3"/>
    </row>
    <row r="21" spans="1:20" s="6" customFormat="1" ht="15" customHeight="1" x14ac:dyDescent="0.2">
      <c r="B21" s="368"/>
      <c r="C21" s="368"/>
      <c r="D21" s="346" t="str">
        <f>IF($E$19='Data validation'!$A$6," ",IF(OR($E$19=rd,$E$19=rg),"Rated mechanical output",IF(OR($E$19=pro,OR($E$19=ngl,OR($E$19=ngr,OR($E$19=tng,$E$19=ng2l)))),"Rated fuel input"," ")))</f>
        <v xml:space="preserve"> </v>
      </c>
      <c r="E21" s="74">
        <v>0</v>
      </c>
      <c r="F21" s="358" t="str">
        <f>IF($D$21=" "," ",IF($D$21="Rated mechanical output",'Data validation'!$A$24,IF(AND($D$21="Rated fuel input",$E$19=pro),'Data validation'!$A$26,'Data validation'!$A$25)))</f>
        <v xml:space="preserve"> </v>
      </c>
      <c r="G21" s="358"/>
      <c r="H21" s="358"/>
      <c r="I21" s="358"/>
      <c r="J21" s="9"/>
      <c r="K21" s="9"/>
      <c r="R21" s="3"/>
      <c r="S21" s="3"/>
      <c r="T21" s="3"/>
    </row>
    <row r="22" spans="1:20" s="6" customFormat="1" ht="15" customHeight="1" x14ac:dyDescent="0.2">
      <c r="B22" s="477" t="s">
        <v>214</v>
      </c>
      <c r="C22" s="478"/>
      <c r="D22" s="479"/>
      <c r="E22" s="74">
        <v>0</v>
      </c>
      <c r="F22" s="359" t="str">
        <f>IF($B$22='Data validation'!$B$5," ",IF($B$22='Data validation'!$B$6,'Data validation'!$B$11,IF(AND($B$22='Data validation'!$B$7,OR($E$19=tng,OR($E$19=ngl,OR($E$19=ngr,OR($E$19=ng2l))))),'Data validation'!$B$12,IF(AND($B$22='Data validation'!$B$7,OR($E$19=rd,OR($E$19=rg,OR($E$19=pro)))),'Data validation'!$B$13," "))))</f>
        <v xml:space="preserve"> </v>
      </c>
      <c r="G22" s="358"/>
      <c r="H22" s="358"/>
      <c r="I22" s="358"/>
      <c r="J22" s="9"/>
      <c r="K22" s="9"/>
      <c r="R22" s="3"/>
      <c r="S22" s="3"/>
      <c r="T22" s="3"/>
    </row>
    <row r="23" spans="1:20" s="6" customFormat="1" ht="15" customHeight="1" x14ac:dyDescent="0.2">
      <c r="B23" s="332"/>
      <c r="C23" s="332"/>
      <c r="D23" s="345" t="str">
        <f>IF($F$21=" "," ",IF($F$21='Data validation'!$A$24,'Data validation'!$A$29,IF(OR($F$21='Data validation'!$A$25,$F$21='Data validation'!$A$26),'Data validation'!$A$30)))</f>
        <v xml:space="preserve"> </v>
      </c>
      <c r="E23" s="145" t="str">
        <f>IF(E19='Data validation'!A6," ",IF(E19=rd,'Engine emission factors'!F53,IF(E19=rg,'Engine emission factors'!F54,IF(OR(E19=ngl,OR(E19=ngr,OR(E19=tng,E19=NGC2))),'Engine emission factors'!G52,IF(E19=pro,'Engine emission factors'!H55," ")))))</f>
        <v xml:space="preserve"> </v>
      </c>
      <c r="F23" s="280" t="str">
        <f>IF($D$23=" "," ",IF($D$23='Data validation'!$A$29,"(Btu/HP-hr)",IF(AND($D$23='Data validation'!$A$30,$E$19=pro),"(Btu/gal)",IF($D$23='Data validation'!$A$30,"(Btu/scf)"))))</f>
        <v xml:space="preserve"> </v>
      </c>
      <c r="G23" s="280"/>
      <c r="H23" s="280"/>
      <c r="I23" s="280"/>
      <c r="J23" s="9"/>
      <c r="K23" s="9"/>
      <c r="M23" s="3"/>
      <c r="N23" s="3"/>
      <c r="O23" s="3"/>
      <c r="P23" s="3"/>
      <c r="Q23" s="3"/>
      <c r="R23" s="3"/>
      <c r="S23" s="3"/>
      <c r="T23" s="3"/>
    </row>
    <row r="24" spans="1:20" s="6" customFormat="1" ht="15" customHeight="1" x14ac:dyDescent="0.2">
      <c r="B24" s="332"/>
      <c r="C24" s="332"/>
      <c r="D24" s="345" t="str">
        <f>IF($E$19='Data validation'!$A$6," ",IF($E$19=rd,"Heat value of fuel",IF($E$19=rg,"Heat value of fuel"," ")))</f>
        <v xml:space="preserve"> </v>
      </c>
      <c r="E24" s="145" t="str">
        <f>IF(E19=rd,'Engine emission factors'!H53,IF(E19=rg,'Engine emission factors'!H54," "))</f>
        <v xml:space="preserve"> </v>
      </c>
      <c r="F24" s="280" t="str">
        <f>IF($E$19='Data validation'!$A$6," ",IF($E$19=rd,"(Btu/gal)",IF($E$19=rg,"(Btu/gal)"," ")))</f>
        <v xml:space="preserve"> </v>
      </c>
      <c r="G24" s="280"/>
      <c r="H24" s="280"/>
      <c r="I24" s="280"/>
      <c r="J24" s="9"/>
      <c r="K24" s="9"/>
      <c r="P24" s="3"/>
      <c r="Q24" s="3"/>
      <c r="R24" s="3"/>
      <c r="S24" s="3"/>
      <c r="T24" s="3"/>
    </row>
    <row r="25" spans="1:20" s="6" customFormat="1" ht="15" customHeight="1" x14ac:dyDescent="0.2">
      <c r="B25" s="483" t="s">
        <v>132</v>
      </c>
      <c r="C25" s="483"/>
      <c r="D25" s="483"/>
      <c r="E25" s="207" t="str">
        <f>IF(E19=rd,"0.0015",IF(E19=pro,"0.54",IF(E19=tng,"0.00065","NA")))</f>
        <v>NA</v>
      </c>
      <c r="F25" s="358" t="str">
        <f>IF(OR(E19=rd,E19=tng),"%",IF(E19=pro,"gr/100ft3",""))</f>
        <v/>
      </c>
      <c r="G25" s="358"/>
      <c r="H25" s="358"/>
      <c r="I25" s="358"/>
      <c r="J25" s="9"/>
      <c r="K25" s="9"/>
      <c r="P25" s="3"/>
      <c r="Q25" s="3"/>
      <c r="R25" s="3"/>
      <c r="S25" s="3"/>
      <c r="T25" s="3"/>
    </row>
    <row r="26" spans="1:20" s="6" customFormat="1" ht="15" customHeight="1" x14ac:dyDescent="0.2">
      <c r="B26" s="464"/>
      <c r="C26" s="464"/>
      <c r="D26" s="464"/>
      <c r="E26" s="464"/>
      <c r="F26" s="464"/>
      <c r="G26" s="464"/>
      <c r="H26" s="464"/>
      <c r="I26" s="464"/>
      <c r="J26" s="9"/>
      <c r="K26" s="9"/>
      <c r="P26" s="3"/>
      <c r="Q26" s="3"/>
      <c r="R26" s="3"/>
      <c r="S26" s="3"/>
      <c r="T26" s="3"/>
    </row>
    <row r="27" spans="1:20" s="6" customFormat="1" ht="15" customHeight="1" thickBot="1" x14ac:dyDescent="0.25">
      <c r="B27" s="465" t="s">
        <v>133</v>
      </c>
      <c r="C27" s="465"/>
      <c r="D27" s="465"/>
      <c r="E27" s="465"/>
      <c r="F27" s="465"/>
      <c r="G27" s="465"/>
      <c r="H27" s="465"/>
      <c r="I27" s="465"/>
      <c r="J27" s="9"/>
      <c r="K27" s="9"/>
      <c r="P27" s="3"/>
      <c r="Q27" s="3"/>
      <c r="R27" s="3"/>
      <c r="S27" s="3"/>
      <c r="T27" s="3"/>
    </row>
    <row r="28" spans="1:20" s="6" customFormat="1" ht="15" customHeight="1" x14ac:dyDescent="0.2">
      <c r="B28" s="10"/>
      <c r="C28" s="11" t="s">
        <v>16</v>
      </c>
      <c r="D28" s="12" t="s">
        <v>17</v>
      </c>
      <c r="E28" s="12" t="s">
        <v>18</v>
      </c>
      <c r="F28" s="11" t="s">
        <v>19</v>
      </c>
      <c r="G28" s="11" t="s">
        <v>20</v>
      </c>
      <c r="H28" s="13"/>
      <c r="I28" s="14"/>
      <c r="J28" s="15"/>
      <c r="K28" s="9"/>
      <c r="N28" s="3"/>
      <c r="O28" s="3"/>
      <c r="P28" s="3"/>
      <c r="Q28" s="3"/>
      <c r="R28" s="3"/>
      <c r="S28" s="3"/>
      <c r="T28" s="3"/>
    </row>
    <row r="29" spans="1:20" s="6" customFormat="1" ht="15" customHeight="1" x14ac:dyDescent="0.2">
      <c r="B29" s="472" t="s">
        <v>21</v>
      </c>
      <c r="C29" s="473" t="s">
        <v>205</v>
      </c>
      <c r="D29" s="471" t="s">
        <v>186</v>
      </c>
      <c r="E29" s="471" t="s">
        <v>213</v>
      </c>
      <c r="F29" s="471" t="s">
        <v>207</v>
      </c>
      <c r="G29" s="471" t="s">
        <v>22</v>
      </c>
      <c r="H29" s="469" t="s">
        <v>23</v>
      </c>
      <c r="I29" s="470" t="s">
        <v>24</v>
      </c>
      <c r="J29" s="468" t="s">
        <v>204</v>
      </c>
      <c r="K29" s="9"/>
      <c r="N29" s="3"/>
      <c r="O29" s="3"/>
      <c r="P29" s="3"/>
      <c r="Q29" s="3"/>
      <c r="R29" s="3"/>
      <c r="S29" s="3"/>
      <c r="T29" s="3"/>
    </row>
    <row r="30" spans="1:20" s="6" customFormat="1" ht="15" customHeight="1" x14ac:dyDescent="0.2">
      <c r="B30" s="472"/>
      <c r="C30" s="473"/>
      <c r="D30" s="471"/>
      <c r="E30" s="471"/>
      <c r="F30" s="471"/>
      <c r="G30" s="471"/>
      <c r="H30" s="469"/>
      <c r="I30" s="470"/>
      <c r="J30" s="468"/>
      <c r="K30" s="9"/>
      <c r="N30" s="3"/>
      <c r="O30" s="3"/>
      <c r="P30" s="3"/>
      <c r="Q30" s="3"/>
      <c r="R30" s="3"/>
      <c r="S30" s="3"/>
      <c r="T30" s="3"/>
    </row>
    <row r="31" spans="1:20" s="6" customFormat="1" ht="15" customHeight="1" x14ac:dyDescent="0.2">
      <c r="B31" s="16"/>
      <c r="C31" s="17"/>
      <c r="D31" s="18" t="s">
        <v>222</v>
      </c>
      <c r="E31" s="18" t="s">
        <v>209</v>
      </c>
      <c r="F31" s="19" t="s">
        <v>25</v>
      </c>
      <c r="G31" s="19" t="s">
        <v>94</v>
      </c>
      <c r="H31" s="20" t="s">
        <v>26</v>
      </c>
      <c r="I31" s="21" t="s">
        <v>27</v>
      </c>
      <c r="J31" s="466" t="s">
        <v>27</v>
      </c>
      <c r="K31" s="3"/>
      <c r="N31" s="3"/>
      <c r="O31" s="3"/>
      <c r="P31" s="3"/>
      <c r="Q31" s="3"/>
      <c r="R31" s="3"/>
      <c r="S31" s="3"/>
      <c r="T31" s="3"/>
    </row>
    <row r="32" spans="1:20" s="7" customFormat="1" ht="15" customHeight="1" thickBot="1" x14ac:dyDescent="0.25">
      <c r="B32" s="22"/>
      <c r="C32" s="23"/>
      <c r="D32" s="24">
        <f>IF(E19=select,0,IF(OR(E19=rd,E19=rg),(E21*E23/10^6),IF(E19=pro,(E21*E23/10^6),IF(OR(E19=ngl,OR(E19=ngr,OR(E19=tng,E19=NGC2))),(E21*E23/(10^6))))))</f>
        <v>0</v>
      </c>
      <c r="E32" s="24">
        <f>IF(F22='Data validation'!B12,E22,IF(AND(F22='Data validation'!B13,E19=rd),(('Engine emission factors'!H53*E22)/1000000),IF(AND(F22='Data validation'!B13,E19=rg),(('Engine emission factors'!H54*E22)/1000000),IF(AND(F22='Data validation'!B13,E19=pro),(('Engine emission factors'!H55*E22)/1000000),IF(F22='Data validation'!B11,(E22*D32),IF(F22=" ",0))))))</f>
        <v>0</v>
      </c>
      <c r="F32" s="144">
        <f>IF($E$20=so,0,IF(OR($E$20=Routine,AND($E$20=Emer,$B$12="Yes")),8760,IF($E$20=Emer,500)))</f>
        <v>0</v>
      </c>
      <c r="G32" s="25" t="s">
        <v>41</v>
      </c>
      <c r="H32" s="20" t="s">
        <v>177</v>
      </c>
      <c r="I32" s="21" t="s">
        <v>223</v>
      </c>
      <c r="J32" s="467"/>
      <c r="K32" s="3"/>
      <c r="M32" s="3"/>
      <c r="N32" s="3"/>
      <c r="O32" s="3"/>
      <c r="P32" s="3"/>
      <c r="Q32" s="3"/>
      <c r="R32" s="3"/>
      <c r="S32" s="3"/>
      <c r="T32" s="3"/>
    </row>
    <row r="33" spans="2:20" s="6" customFormat="1" ht="15" customHeight="1" x14ac:dyDescent="0.2">
      <c r="B33" s="75" t="s">
        <v>44</v>
      </c>
      <c r="C33" s="26"/>
      <c r="D33" s="27"/>
      <c r="E33" s="28"/>
      <c r="F33" s="29"/>
      <c r="G33" s="30"/>
      <c r="H33" s="31"/>
      <c r="I33" s="32" t="s">
        <v>144</v>
      </c>
      <c r="J33" s="33"/>
      <c r="K33" s="3"/>
      <c r="M33" s="3"/>
      <c r="N33" s="3"/>
      <c r="O33" s="3"/>
      <c r="P33" s="3"/>
      <c r="Q33" s="3"/>
      <c r="R33" s="3"/>
      <c r="S33" s="3"/>
      <c r="T33" s="3"/>
    </row>
    <row r="34" spans="2:20" s="6" customFormat="1" ht="15" customHeight="1" x14ac:dyDescent="0.2">
      <c r="B34" s="34" t="s">
        <v>28</v>
      </c>
      <c r="D34" s="35"/>
      <c r="E34" s="36"/>
      <c r="F34" s="37"/>
      <c r="G34" s="38">
        <f>IF($E$19=rd,IF($E$21&gt;=600,'Engine emission factors'!$C5,'Engine emission factors'!$B5),IF($E$19=rg,'Engine emission factors'!$E5,IF($E$19=tng,'Engine emission factors'!$D5,IF($E$19=ngr,'Engine emission factors'!$F5,IF($E$19=ngl,'Engine emission factors'!$G5,IF($E$19=ng2l,'Engine emission factors'!$H5,IF($E$19=pro,'Engine emission factors'!$I5,IF($E$19=select,'Engine emission factors'!$AA5))))))))</f>
        <v>0</v>
      </c>
      <c r="H34" s="39">
        <f>$D$32*$F$32*$G34/2000</f>
        <v>0</v>
      </c>
      <c r="I34" s="40">
        <f>($E$32*$G34)/2000</f>
        <v>0</v>
      </c>
      <c r="J34" s="41">
        <v>1</v>
      </c>
      <c r="K34" s="3"/>
      <c r="L34" s="9"/>
      <c r="M34" s="3"/>
      <c r="N34" s="3"/>
      <c r="O34" s="3"/>
      <c r="P34" s="3"/>
      <c r="Q34" s="3"/>
      <c r="R34" s="3"/>
      <c r="S34" s="3"/>
      <c r="T34" s="3"/>
    </row>
    <row r="35" spans="2:20" s="6" customFormat="1" ht="15" customHeight="1" x14ac:dyDescent="0.2">
      <c r="B35" s="34" t="s">
        <v>29</v>
      </c>
      <c r="D35" s="35"/>
      <c r="E35" s="36"/>
      <c r="F35" s="37"/>
      <c r="G35" s="38">
        <f>IF($E$19=rd,IF($E$21&gt;=600,'Engine emission factors'!$C6,'Engine emission factors'!$B6),IF($E$19=rg,'Engine emission factors'!$E6,IF($E$19=tng,'Engine emission factors'!$D6,IF($E$19=ngr,'Engine emission factors'!$F6,IF($E$19=ngl,'Engine emission factors'!$G6,IF($E$19=ng2l,'Engine emission factors'!$H6,IF($E$19=pro,'Engine emission factors'!$I6,IF($E$19=select,'Engine emission factors'!$AA6))))))))</f>
        <v>0</v>
      </c>
      <c r="H35" s="42">
        <f t="shared" ref="H35:H40" si="0">$D$32*$F$32*$G35/2000</f>
        <v>0</v>
      </c>
      <c r="I35" s="40">
        <f t="shared" ref="I35:I40" si="1">($E$32*$G35)/2000</f>
        <v>0</v>
      </c>
      <c r="J35" s="43">
        <v>1</v>
      </c>
      <c r="K35" s="3"/>
      <c r="L35" s="3"/>
      <c r="M35" s="3"/>
      <c r="N35" s="3"/>
      <c r="O35" s="3"/>
      <c r="P35" s="3"/>
      <c r="Q35" s="3"/>
      <c r="R35" s="3"/>
      <c r="S35" s="3"/>
      <c r="T35" s="3"/>
    </row>
    <row r="36" spans="2:20" s="6" customFormat="1" ht="15" customHeight="1" x14ac:dyDescent="0.2">
      <c r="B36" s="34" t="s">
        <v>72</v>
      </c>
      <c r="D36" s="35"/>
      <c r="E36" s="36"/>
      <c r="F36" s="37"/>
      <c r="G36" s="38">
        <f>IF($E$19=rd,IF($E$21&gt;=600,'Engine emission factors'!$C7,'Engine emission factors'!$B7),IF($E$19=rg,'Engine emission factors'!$E7,IF($E$19=tng,'Engine emission factors'!$D7,IF($E$19=ngr,'Engine emission factors'!$F7,IF($E$19=ngl,'Engine emission factors'!$G7,IF($E$19=ng2l,'Engine emission factors'!$H7,IF($E$19=pro,'Engine emission factors'!$I7,IF($E$19=select,'Engine emission factors'!$AA7))))))))</f>
        <v>0</v>
      </c>
      <c r="H36" s="42">
        <f t="shared" si="0"/>
        <v>0</v>
      </c>
      <c r="I36" s="40">
        <f t="shared" si="1"/>
        <v>0</v>
      </c>
      <c r="J36" s="44"/>
      <c r="K36" s="3"/>
      <c r="L36" s="3"/>
      <c r="M36" s="211"/>
      <c r="N36" s="3"/>
      <c r="O36" s="3"/>
      <c r="P36" s="3"/>
      <c r="Q36" s="3"/>
      <c r="R36" s="3"/>
      <c r="S36" s="3"/>
      <c r="T36" s="3"/>
    </row>
    <row r="37" spans="2:20" s="6" customFormat="1" ht="15" customHeight="1" x14ac:dyDescent="0.2">
      <c r="B37" s="34" t="s">
        <v>30</v>
      </c>
      <c r="D37" s="35"/>
      <c r="E37" s="36"/>
      <c r="F37" s="37"/>
      <c r="G37" s="38">
        <f>IF($E$19=rd,IF($E$21&gt;=600,'Engine emission factors'!$C8*$E$25,'Engine emission factors'!$B8*$E$25),IF($E$19=rg,'Engine emission factors'!$E8,IF($E$19=tng,'Engine emission factors'!$D8*$E$25,IF($E$19=ngr,'Engine emission factors'!$F8,IF($E$19=ngl,'Engine emission factors'!$G8,IF($E$19=ng2l,'Engine emission factors'!$H8,IF($E$19=pro,'Engine emission factors'!$I8*$E$25,IF($E$19=select,'Engine emission factors'!$AA8))))))))</f>
        <v>0</v>
      </c>
      <c r="H37" s="42">
        <f t="shared" si="0"/>
        <v>0</v>
      </c>
      <c r="I37" s="40">
        <f t="shared" si="1"/>
        <v>0</v>
      </c>
      <c r="J37" s="43">
        <v>1</v>
      </c>
      <c r="K37" s="3"/>
      <c r="L37" s="3"/>
      <c r="M37" s="3"/>
      <c r="N37" s="3"/>
      <c r="O37" s="3"/>
      <c r="P37" s="3"/>
      <c r="Q37" s="3"/>
      <c r="R37" s="3"/>
      <c r="S37" s="3"/>
      <c r="T37" s="3"/>
    </row>
    <row r="38" spans="2:20" s="6" customFormat="1" ht="15" customHeight="1" x14ac:dyDescent="0.2">
      <c r="B38" s="34" t="s">
        <v>31</v>
      </c>
      <c r="D38" s="35"/>
      <c r="E38" s="36"/>
      <c r="F38" s="37"/>
      <c r="G38" s="38">
        <f>IF($E$19=rd,IF($E$21&gt;=600,'Engine emission factors'!$C9,'Engine emission factors'!$B9),IF($E$19=rg,'Engine emission factors'!$E9,IF($E$19=tng,'Engine emission factors'!$D9,IF($E$19=ngr,'Engine emission factors'!$F9,IF($E$19=ngl,'Engine emission factors'!$G9,IF($E$19=ng2l,'Engine emission factors'!$H9,IF($E$19=pro,'Engine emission factors'!$I9,IF($E$19=select,'Engine emission factors'!$AA9))))))))</f>
        <v>0</v>
      </c>
      <c r="H38" s="42">
        <f t="shared" si="0"/>
        <v>0</v>
      </c>
      <c r="I38" s="40">
        <f t="shared" si="1"/>
        <v>0</v>
      </c>
      <c r="J38" s="43">
        <v>1</v>
      </c>
      <c r="K38" s="3"/>
      <c r="L38" s="3"/>
      <c r="M38" s="3"/>
      <c r="N38" s="3"/>
      <c r="O38" s="3"/>
      <c r="P38" s="3"/>
      <c r="Q38" s="3"/>
      <c r="R38" s="3"/>
      <c r="S38" s="3"/>
      <c r="T38" s="3"/>
    </row>
    <row r="39" spans="2:20" s="6" customFormat="1" ht="15" customHeight="1" x14ac:dyDescent="0.2">
      <c r="B39" s="34" t="s">
        <v>32</v>
      </c>
      <c r="D39" s="35"/>
      <c r="E39" s="36"/>
      <c r="F39" s="37"/>
      <c r="G39" s="38">
        <f>IF($E$19=rd,IF($E$21&gt;=600,'Engine emission factors'!$C10,'Engine emission factors'!$B10),IF($E$19=rg,'Engine emission factors'!$E10,IF($E$19=tng,'Engine emission factors'!$D10,IF($E$19=ngr,'Engine emission factors'!$F10,IF($E$19=ngl,'Engine emission factors'!$G10,IF($E$19=ng2l,'Engine emission factors'!$H10,IF($E$19=pro,'Engine emission factors'!$I10,IF($E$19=select,'Engine emission factors'!$AA10))))))))</f>
        <v>0</v>
      </c>
      <c r="H39" s="42">
        <f t="shared" si="0"/>
        <v>0</v>
      </c>
      <c r="I39" s="40">
        <f t="shared" si="1"/>
        <v>0</v>
      </c>
      <c r="J39" s="43">
        <v>1</v>
      </c>
      <c r="K39" s="3"/>
      <c r="L39" s="3"/>
      <c r="M39" s="3"/>
      <c r="N39" s="3"/>
      <c r="O39" s="3"/>
      <c r="P39" s="3"/>
      <c r="Q39" s="3"/>
      <c r="R39" s="3"/>
      <c r="S39" s="3"/>
      <c r="T39" s="3"/>
    </row>
    <row r="40" spans="2:20" s="6" customFormat="1" ht="15" customHeight="1" x14ac:dyDescent="0.2">
      <c r="B40" s="34" t="s">
        <v>33</v>
      </c>
      <c r="D40" s="35"/>
      <c r="E40" s="36"/>
      <c r="F40" s="37"/>
      <c r="G40" s="38">
        <f>IF($E$19=rd,IF($E$21&gt;=600,'Engine emission factors'!$C11,'Engine emission factors'!$B11),IF($E$19=rg,'Engine emission factors'!$E11,IF($E$19=tng,'Engine emission factors'!$D11,IF($E$19=ngr,'Engine emission factors'!$F11,IF($E$19=ngl,'Engine emission factors'!$G11,IF($E$19=ng2l,'Engine emission factors'!$H11,IF($E$19=pro,'Engine emission factors'!$I11,IF($E$19=select,'Engine emission factors'!$AA11))))))))</f>
        <v>0</v>
      </c>
      <c r="H40" s="42">
        <f t="shared" si="0"/>
        <v>0</v>
      </c>
      <c r="I40" s="40">
        <f t="shared" si="1"/>
        <v>0</v>
      </c>
      <c r="J40" s="43">
        <v>2</v>
      </c>
      <c r="K40" s="3"/>
      <c r="L40" s="3"/>
      <c r="M40" s="3"/>
      <c r="N40" s="3"/>
      <c r="O40" s="3"/>
      <c r="P40" s="3"/>
      <c r="Q40" s="3"/>
      <c r="R40" s="3"/>
      <c r="S40" s="3"/>
      <c r="T40" s="3"/>
    </row>
    <row r="41" spans="2:20" s="6" customFormat="1" ht="15" customHeight="1" thickBot="1" x14ac:dyDescent="0.25">
      <c r="B41" s="45" t="s">
        <v>34</v>
      </c>
      <c r="C41" s="46"/>
      <c r="D41" s="47"/>
      <c r="E41" s="48"/>
      <c r="F41" s="49"/>
      <c r="G41" s="50" t="s">
        <v>45</v>
      </c>
      <c r="H41" s="51">
        <v>0</v>
      </c>
      <c r="I41" s="52">
        <v>0</v>
      </c>
      <c r="J41" s="53"/>
      <c r="K41" s="3"/>
      <c r="M41" s="3"/>
      <c r="N41" s="3"/>
      <c r="O41" s="3"/>
      <c r="P41" s="3"/>
      <c r="Q41" s="3"/>
      <c r="R41" s="3"/>
      <c r="S41" s="3"/>
      <c r="T41" s="3"/>
    </row>
    <row r="42" spans="2:20" s="6" customFormat="1" ht="15" customHeight="1" x14ac:dyDescent="0.2">
      <c r="B42" s="75" t="s">
        <v>43</v>
      </c>
      <c r="C42" s="26"/>
      <c r="D42" s="27"/>
      <c r="E42" s="28"/>
      <c r="F42" s="29"/>
      <c r="G42" s="30"/>
      <c r="H42" s="31"/>
      <c r="I42" s="76" t="s">
        <v>54</v>
      </c>
      <c r="J42" s="54"/>
      <c r="K42" s="3"/>
      <c r="L42" s="3"/>
      <c r="M42" s="3"/>
      <c r="N42" s="3"/>
      <c r="O42" s="3"/>
      <c r="P42" s="3"/>
      <c r="Q42" s="3"/>
      <c r="R42" s="3"/>
      <c r="S42" s="3"/>
      <c r="T42" s="3"/>
    </row>
    <row r="43" spans="2:20" s="6" customFormat="1" ht="15" customHeight="1" x14ac:dyDescent="0.3">
      <c r="B43" s="55" t="s">
        <v>156</v>
      </c>
      <c r="C43" s="3">
        <v>1</v>
      </c>
      <c r="D43" s="56"/>
      <c r="E43" s="56"/>
      <c r="F43" s="56"/>
      <c r="G43" s="38">
        <f>IF($E$19=rd,IF($E$21&gt;=600,'Engine emission factors'!$C13,'Engine emission factors'!$B13),IF($E$19=rg,'Engine emission factors'!$E13,IF($E$19=tng,'Engine emission factors'!$D13,IF($E$19=ngr,'Engine emission factors'!$F13,IF($E$19=ngl,'Engine emission factors'!$G13,IF($E$19=ng2l,'Engine emission factors'!$H13,IF($E$19=pro,'Engine emission factors'!$I13,IF($E$19=select,'Engine emission factors'!$AA13))))))))</f>
        <v>0</v>
      </c>
      <c r="H43" s="39">
        <f>$D$32*$F$32*$G43/2000</f>
        <v>0</v>
      </c>
      <c r="I43" s="40">
        <f>($E$32*$G43)/2000</f>
        <v>0</v>
      </c>
      <c r="J43" s="57"/>
      <c r="K43" s="3"/>
      <c r="L43" s="3"/>
      <c r="M43" s="3"/>
      <c r="N43" s="3"/>
      <c r="O43" s="3"/>
      <c r="P43" s="3"/>
      <c r="Q43" s="3"/>
      <c r="R43" s="3"/>
      <c r="S43" s="3"/>
      <c r="T43" s="3"/>
    </row>
    <row r="44" spans="2:20" s="6" customFormat="1" ht="15" customHeight="1" x14ac:dyDescent="0.3">
      <c r="B44" s="55" t="s">
        <v>157</v>
      </c>
      <c r="C44" s="3">
        <v>25</v>
      </c>
      <c r="D44" s="56"/>
      <c r="E44" s="56"/>
      <c r="F44" s="56"/>
      <c r="G44" s="38">
        <f>IF($E$19=rd,IF($E$21&gt;=600,'Engine emission factors'!$C14,'Engine emission factors'!$B14),IF($E$19=rg,'Engine emission factors'!$E14,IF($E$19=tng,'Engine emission factors'!$D14,IF($E$19=ngr,'Engine emission factors'!$F14,IF($E$19=ngl,'Engine emission factors'!$G14,IF($E$19=ng2l,'Engine emission factors'!$H14,IF($E$19=pro,'Engine emission factors'!$I14,IF($E$19=select,'Engine emission factors'!$AA14))))))))</f>
        <v>0</v>
      </c>
      <c r="H44" s="58">
        <f>$D$32*$F$32*$G44/2000</f>
        <v>0</v>
      </c>
      <c r="I44" s="59">
        <f>($E$32*$G44)/2000</f>
        <v>0</v>
      </c>
      <c r="J44" s="57"/>
      <c r="K44" s="212"/>
      <c r="L44" s="212"/>
      <c r="M44" s="3"/>
      <c r="N44" s="3"/>
      <c r="O44" s="3"/>
      <c r="P44" s="3"/>
      <c r="Q44" s="3"/>
      <c r="R44" s="3"/>
      <c r="S44" s="3"/>
      <c r="T44" s="3"/>
    </row>
    <row r="45" spans="2:20" s="6" customFormat="1" ht="15" customHeight="1" x14ac:dyDescent="0.3">
      <c r="B45" s="55" t="s">
        <v>158</v>
      </c>
      <c r="C45" s="3">
        <v>298</v>
      </c>
      <c r="D45" s="56"/>
      <c r="E45" s="56"/>
      <c r="F45" s="56"/>
      <c r="G45" s="38">
        <f>IF($E$19=rd,IF($E$21&gt;=600,'Engine emission factors'!$C15,'Engine emission factors'!$B15),IF($E$19=rg,'Engine emission factors'!$E15,IF($E$19=tng,'Engine emission factors'!$D15,IF($E$19=ngr,'Engine emission factors'!$F15,IF($E$19=ngl,'Engine emission factors'!$G15,IF($E$19=ng2l,'Engine emission factors'!$H15,IF($E$19=pro,'Engine emission factors'!$I15,IF($E$19=select,'Engine emission factors'!$Q15))))))))</f>
        <v>0</v>
      </c>
      <c r="H45" s="58">
        <f>$D$32*$F$32*$G45/2000</f>
        <v>0</v>
      </c>
      <c r="I45" s="59">
        <f>($E$32*$G45)/2000</f>
        <v>0</v>
      </c>
      <c r="J45" s="60"/>
      <c r="K45" s="212"/>
      <c r="L45" s="3"/>
      <c r="O45" s="3"/>
      <c r="P45" s="3"/>
      <c r="Q45" s="3"/>
      <c r="R45" s="3"/>
      <c r="S45" s="3"/>
      <c r="T45" s="3"/>
    </row>
    <row r="46" spans="2:20" s="6" customFormat="1" ht="15" customHeight="1" thickBot="1" x14ac:dyDescent="0.25">
      <c r="B46" s="61"/>
      <c r="C46" s="62"/>
      <c r="D46" s="62"/>
      <c r="E46" s="62"/>
      <c r="F46" s="63" t="s">
        <v>206</v>
      </c>
      <c r="G46" s="64"/>
      <c r="H46" s="51">
        <f>(C43*H43)+(C44*H44)+(C45*H45)</f>
        <v>0</v>
      </c>
      <c r="I46" s="52">
        <f>(C43*I43)+(C44*I44)+(C45*I45)</f>
        <v>0</v>
      </c>
      <c r="J46" s="65">
        <v>1000</v>
      </c>
      <c r="K46" s="212"/>
      <c r="L46" s="3"/>
      <c r="M46" s="3"/>
      <c r="N46" s="3"/>
      <c r="O46" s="3"/>
      <c r="P46" s="3"/>
      <c r="Q46" s="3"/>
      <c r="R46" s="3"/>
      <c r="S46" s="3"/>
      <c r="T46" s="3"/>
    </row>
    <row r="47" spans="2:20" s="6" customFormat="1" ht="15" customHeight="1" x14ac:dyDescent="0.2">
      <c r="B47" s="75" t="s">
        <v>42</v>
      </c>
      <c r="C47" s="26"/>
      <c r="D47" s="27"/>
      <c r="E47" s="28"/>
      <c r="F47" s="29"/>
      <c r="G47" s="474" t="s">
        <v>144</v>
      </c>
      <c r="H47" s="474"/>
      <c r="I47" s="475"/>
      <c r="K47" s="3"/>
      <c r="L47" s="3"/>
      <c r="M47" s="3"/>
      <c r="N47" s="3"/>
      <c r="O47" s="3"/>
      <c r="P47" s="3"/>
      <c r="Q47" s="3"/>
      <c r="R47" s="3"/>
      <c r="S47" s="3"/>
      <c r="T47" s="3"/>
    </row>
    <row r="48" spans="2:20" s="6" customFormat="1" ht="15" customHeight="1" x14ac:dyDescent="0.2">
      <c r="B48" s="66" t="s">
        <v>98</v>
      </c>
      <c r="D48" s="67"/>
      <c r="E48" s="68"/>
      <c r="F48" s="69"/>
      <c r="G48" s="38">
        <f>IF($E$19=rd,IF($E$21&gt;=600,'Engine emission factors'!$C17,'Engine emission factors'!$B17),IF($E$19=rg,'Engine emission factors'!$E17,IF($E$19=tng,'Engine emission factors'!$D17,IF($E$19=ngr,'Engine emission factors'!$F17,IF($E$19=ngl,'Engine emission factors'!$G17,IF($E$19=ng2l,'Engine emission factors'!$H17,IF($E$19=pro,'Engine emission factors'!$I17,IF($E$19=select,'Engine emission factors'!$Q17))))))))</f>
        <v>0</v>
      </c>
      <c r="H48" s="58">
        <f t="shared" ref="H48:H72" si="2">$D$32*$F$32*$G48/2000</f>
        <v>0</v>
      </c>
      <c r="I48" s="59">
        <f>($E$32*$G48)/2000</f>
        <v>0</v>
      </c>
      <c r="K48" s="3"/>
      <c r="L48" s="3"/>
      <c r="M48" s="3"/>
      <c r="N48" s="3"/>
      <c r="O48" s="3"/>
      <c r="P48" s="3"/>
      <c r="Q48" s="3"/>
      <c r="R48" s="3"/>
      <c r="S48" s="3"/>
      <c r="T48" s="3"/>
    </row>
    <row r="49" spans="2:20" s="6" customFormat="1" ht="15" customHeight="1" x14ac:dyDescent="0.2">
      <c r="B49" s="70" t="s">
        <v>99</v>
      </c>
      <c r="D49" s="67"/>
      <c r="E49" s="68"/>
      <c r="F49" s="69"/>
      <c r="G49" s="38">
        <f>IF($E$19=rd,IF($E$21&gt;=600,'Engine emission factors'!$C18,'Engine emission factors'!$B18),IF($E$19=rg,'Engine emission factors'!$E18,IF($E$19=tng,'Engine emission factors'!$D18,IF($E$19=ngr,'Engine emission factors'!$F18,IF($E$19=ngl,'Engine emission factors'!$G18,IF($E$19=ng2l,'Engine emission factors'!$H18,IF($E$19=pro,'Engine emission factors'!$I18,IF($E$19=select,'Engine emission factors'!$Q18))))))))</f>
        <v>0</v>
      </c>
      <c r="H49" s="58">
        <f t="shared" si="2"/>
        <v>0</v>
      </c>
      <c r="I49" s="59">
        <f t="shared" ref="I49:I72" si="3">($E$32*$G49)/2000</f>
        <v>0</v>
      </c>
      <c r="K49" s="3"/>
      <c r="L49" s="3"/>
      <c r="M49" s="3"/>
      <c r="N49" s="3"/>
      <c r="O49" s="3"/>
      <c r="P49" s="3"/>
      <c r="Q49" s="3"/>
      <c r="R49" s="3"/>
      <c r="S49" s="3"/>
      <c r="T49" s="3"/>
    </row>
    <row r="50" spans="2:20" s="6" customFormat="1" ht="15" customHeight="1" x14ac:dyDescent="0.2">
      <c r="B50" s="70" t="s">
        <v>97</v>
      </c>
      <c r="D50" s="67"/>
      <c r="E50" s="68"/>
      <c r="F50" s="69"/>
      <c r="G50" s="38">
        <f>IF($E$19=rd,IF($E$21&gt;=600,'Engine emission factors'!$C19,'Engine emission factors'!$B19),IF($E$19=rg,'Engine emission factors'!$E19,IF($E$19=tng,'Engine emission factors'!$D19,IF($E$19=ngr,'Engine emission factors'!$F19,IF($E$19=ngl,'Engine emission factors'!$G19,IF($E$19=ng2l,'Engine emission factors'!$H19,IF($E$19=pro,'Engine emission factors'!$I19,IF($E$19=select,'Engine emission factors'!$Q19))))))))</f>
        <v>0</v>
      </c>
      <c r="H50" s="58">
        <f t="shared" si="2"/>
        <v>0</v>
      </c>
      <c r="I50" s="59">
        <f t="shared" si="3"/>
        <v>0</v>
      </c>
      <c r="K50" s="3"/>
      <c r="L50" s="3"/>
      <c r="M50" s="3"/>
      <c r="N50" s="3"/>
      <c r="O50" s="3"/>
      <c r="P50" s="3"/>
      <c r="Q50" s="3"/>
      <c r="R50" s="3"/>
      <c r="S50" s="3"/>
      <c r="T50" s="3"/>
    </row>
    <row r="51" spans="2:20" s="6" customFormat="1" ht="15" customHeight="1" x14ac:dyDescent="0.2">
      <c r="B51" s="70" t="s">
        <v>100</v>
      </c>
      <c r="D51" s="67"/>
      <c r="E51" s="68"/>
      <c r="F51" s="69"/>
      <c r="G51" s="38">
        <f>IF($E$19=rd,IF($E$21&gt;=600,'Engine emission factors'!$C20,'Engine emission factors'!$B20),IF($E$19=rg,'Engine emission factors'!$E20,IF($E$19=tng,'Engine emission factors'!$D20,IF($E$19=ngr,'Engine emission factors'!$F20,IF($E$19=ngl,'Engine emission factors'!$G20,IF($E$19=ng2l,'Engine emission factors'!$H20,IF($E$19=pro,'Engine emission factors'!$I20,IF($E$19=select,'Engine emission factors'!$AA20))))))))</f>
        <v>0</v>
      </c>
      <c r="H51" s="58">
        <f t="shared" si="2"/>
        <v>0</v>
      </c>
      <c r="I51" s="59">
        <f t="shared" si="3"/>
        <v>0</v>
      </c>
      <c r="K51" s="3"/>
      <c r="L51" s="3"/>
      <c r="M51" s="3"/>
      <c r="N51" s="3"/>
      <c r="O51" s="3"/>
      <c r="P51" s="3"/>
      <c r="Q51" s="3"/>
      <c r="R51" s="3"/>
      <c r="S51" s="3"/>
      <c r="T51" s="3"/>
    </row>
    <row r="52" spans="2:20" s="6" customFormat="1" ht="15" customHeight="1" x14ac:dyDescent="0.2">
      <c r="B52" s="71" t="s">
        <v>85</v>
      </c>
      <c r="D52" s="67"/>
      <c r="E52" s="68"/>
      <c r="F52" s="69"/>
      <c r="G52" s="38">
        <f>IF($E$19=rd,IF($E$21&gt;=600,'Engine emission factors'!$C21,'Engine emission factors'!$B21),IF($E$19=rg,'Engine emission factors'!$E21,IF($E$19=tng,'Engine emission factors'!$D21,IF($E$19=ngr,'Engine emission factors'!$F21,IF($E$19=ngl,'Engine emission factors'!$G21,IF($E$19=ng2l,'Engine emission factors'!$H21,IF($E$19=pro,'Engine emission factors'!$I21,IF($E$19=select,'Engine emission factors'!$AA21))))))))</f>
        <v>0</v>
      </c>
      <c r="H52" s="58">
        <f t="shared" si="2"/>
        <v>0</v>
      </c>
      <c r="I52" s="59">
        <f t="shared" si="3"/>
        <v>0</v>
      </c>
      <c r="K52" s="3"/>
      <c r="L52" s="3"/>
      <c r="M52" s="3"/>
      <c r="N52" s="3"/>
      <c r="O52" s="3"/>
      <c r="P52" s="3"/>
      <c r="Q52" s="3"/>
      <c r="R52" s="3"/>
      <c r="S52" s="3"/>
      <c r="T52" s="3"/>
    </row>
    <row r="53" spans="2:20" s="6" customFormat="1" ht="15" customHeight="1" x14ac:dyDescent="0.2">
      <c r="B53" s="71" t="s">
        <v>87</v>
      </c>
      <c r="D53" s="67"/>
      <c r="E53" s="68"/>
      <c r="F53" s="69"/>
      <c r="G53" s="38">
        <f>IF($E$19=rd,IF($E$21&gt;=600,'Engine emission factors'!$C22,'Engine emission factors'!$B22),IF($E$19=rg,'Engine emission factors'!$E22,IF($E$19=tng,'Engine emission factors'!$D22,IF($E$19=ngr,'Engine emission factors'!$F22,IF($E$19=ngl,'Engine emission factors'!$G22,IF($E$19=ng2l,'Engine emission factors'!$H22,IF($E$19=pro,'Engine emission factors'!$I22,IF($E$19=select,'Engine emission factors'!$AA22))))))))</f>
        <v>0</v>
      </c>
      <c r="H53" s="58">
        <f t="shared" si="2"/>
        <v>0</v>
      </c>
      <c r="I53" s="59">
        <f t="shared" si="3"/>
        <v>0</v>
      </c>
      <c r="K53" s="3"/>
      <c r="L53" s="3"/>
      <c r="M53" s="3"/>
      <c r="N53" s="3"/>
      <c r="O53" s="3"/>
      <c r="P53" s="3"/>
      <c r="Q53" s="3"/>
      <c r="R53" s="3"/>
      <c r="S53" s="3"/>
      <c r="T53" s="3"/>
    </row>
    <row r="54" spans="2:20" s="6" customFormat="1" ht="15" customHeight="1" x14ac:dyDescent="0.2">
      <c r="B54" s="71" t="s">
        <v>35</v>
      </c>
      <c r="D54" s="67"/>
      <c r="E54" s="68"/>
      <c r="F54" s="69"/>
      <c r="G54" s="38">
        <f>IF($E$19=rd,IF($E$21&gt;=600,'Engine emission factors'!$C23,'Engine emission factors'!$B23),IF($E$19=rg,'Engine emission factors'!$E23,IF($E$19=tng,'Engine emission factors'!$D23,IF($E$19=ngr,'Engine emission factors'!$F23,IF($E$19=ngl,'Engine emission factors'!$G23,IF($E$19=ng2l,'Engine emission factors'!$H23,IF($E$19=pro,'Engine emission factors'!$I23,IF($E$19=select,'Engine emission factors'!$AA23))))))))</f>
        <v>0</v>
      </c>
      <c r="H54" s="58">
        <f t="shared" si="2"/>
        <v>0</v>
      </c>
      <c r="I54" s="59">
        <f t="shared" si="3"/>
        <v>0</v>
      </c>
      <c r="K54" s="3"/>
      <c r="L54" s="3"/>
      <c r="M54" s="3"/>
      <c r="N54" s="3"/>
      <c r="O54" s="3"/>
      <c r="P54" s="3"/>
      <c r="Q54" s="3"/>
      <c r="R54" s="3"/>
      <c r="S54" s="3"/>
      <c r="T54" s="3"/>
    </row>
    <row r="55" spans="2:20" s="6" customFormat="1" ht="15" customHeight="1" x14ac:dyDescent="0.2">
      <c r="B55" s="70" t="s">
        <v>102</v>
      </c>
      <c r="D55" s="67"/>
      <c r="E55" s="68"/>
      <c r="F55" s="69"/>
      <c r="G55" s="38">
        <f>IF($E$19=rd,IF($E$21&gt;=600,'Engine emission factors'!$C24,'Engine emission factors'!$B24),IF($E$19=rg,'Engine emission factors'!$E24,IF($E$19=tng,'Engine emission factors'!$D24,IF($E$19=ngr,'Engine emission factors'!$F24,IF($E$19=ngl,'Engine emission factors'!$G24,IF($E$19=ng2l,'Engine emission factors'!$H24,IF($E$19=pro,'Engine emission factors'!$I24,IF($E$19=select,'Engine emission factors'!$AA24))))))))</f>
        <v>0</v>
      </c>
      <c r="H55" s="58">
        <f t="shared" si="2"/>
        <v>0</v>
      </c>
      <c r="I55" s="59">
        <f t="shared" si="3"/>
        <v>0</v>
      </c>
      <c r="K55" s="3"/>
      <c r="L55" s="3"/>
      <c r="M55" s="3"/>
      <c r="N55" s="3"/>
      <c r="O55" s="3"/>
      <c r="P55" s="3"/>
      <c r="Q55" s="3"/>
      <c r="R55" s="3"/>
      <c r="S55" s="3"/>
      <c r="T55" s="3"/>
    </row>
    <row r="56" spans="2:20" s="6" customFormat="1" ht="15" customHeight="1" x14ac:dyDescent="0.2">
      <c r="B56" s="70" t="s">
        <v>112</v>
      </c>
      <c r="D56" s="67"/>
      <c r="E56" s="68"/>
      <c r="F56" s="69"/>
      <c r="G56" s="38">
        <f>IF($E$19=rd,IF($E$21&gt;=600,'Engine emission factors'!$C25,'Engine emission factors'!$B25),IF($E$19=rg,'Engine emission factors'!$E25,IF($E$19=tng,'Engine emission factors'!$D25,IF($E$19=ngr,'Engine emission factors'!$F25,IF($E$19=ngl,'Engine emission factors'!$G25,IF($E$19=ng2l,'Engine emission factors'!$H25,IF($E$19=pro,'Engine emission factors'!$I25,IF($E$19=select,'Engine emission factors'!$AA25))))))))</f>
        <v>0</v>
      </c>
      <c r="H56" s="58">
        <f t="shared" si="2"/>
        <v>0</v>
      </c>
      <c r="I56" s="59">
        <f t="shared" si="3"/>
        <v>0</v>
      </c>
      <c r="K56" s="3"/>
      <c r="L56" s="3"/>
      <c r="M56" s="3"/>
      <c r="N56" s="3"/>
      <c r="O56" s="3"/>
      <c r="P56" s="3"/>
      <c r="Q56" s="3"/>
      <c r="R56" s="3"/>
      <c r="S56" s="3"/>
      <c r="T56" s="3"/>
    </row>
    <row r="57" spans="2:20" s="6" customFormat="1" ht="15" customHeight="1" x14ac:dyDescent="0.2">
      <c r="B57" s="70" t="s">
        <v>104</v>
      </c>
      <c r="D57" s="67"/>
      <c r="E57" s="68"/>
      <c r="F57" s="69"/>
      <c r="G57" s="38">
        <f>IF($E$19=rd,IF($E$21&gt;=600,'Engine emission factors'!$C26,'Engine emission factors'!$B26),IF($E$19=rg,'Engine emission factors'!$E26,IF($E$19=tng,'Engine emission factors'!$D26,IF($E$19=ngr,'Engine emission factors'!$F26,IF($E$19=ngl,'Engine emission factors'!$G26,IF($E$19=ng2l,'Engine emission factors'!$H26,IF($E$19=pro,'Engine emission factors'!$I26,IF($E$19=select,'Engine emission factors'!$AA26))))))))</f>
        <v>0</v>
      </c>
      <c r="H57" s="58">
        <f t="shared" si="2"/>
        <v>0</v>
      </c>
      <c r="I57" s="59">
        <f t="shared" si="3"/>
        <v>0</v>
      </c>
      <c r="K57" s="3"/>
      <c r="L57" s="3"/>
      <c r="M57" s="3"/>
      <c r="N57" s="3"/>
      <c r="O57" s="3"/>
      <c r="P57" s="3"/>
      <c r="Q57" s="3"/>
      <c r="R57" s="3"/>
      <c r="S57" s="3"/>
      <c r="T57" s="3"/>
    </row>
    <row r="58" spans="2:20" s="6" customFormat="1" ht="15" customHeight="1" x14ac:dyDescent="0.2">
      <c r="B58" s="70" t="s">
        <v>105</v>
      </c>
      <c r="D58" s="67"/>
      <c r="E58" s="68"/>
      <c r="F58" s="69"/>
      <c r="G58" s="38">
        <f>IF($E$19=rd,IF($E$21&gt;=600,'Engine emission factors'!$C27,'Engine emission factors'!$B27),IF($E$19=rg,'Engine emission factors'!$E27,IF($E$19=tng,'Engine emission factors'!$D27,IF($E$19=ngr,'Engine emission factors'!$F27,IF($E$19=ngl,'Engine emission factors'!$G27,IF($E$19=ng2l,'Engine emission factors'!$H27,IF($E$19=pro,'Engine emission factors'!$I27,IF($E$19=select,'Engine emission factors'!$AA27))))))))</f>
        <v>0</v>
      </c>
      <c r="H58" s="58">
        <f t="shared" si="2"/>
        <v>0</v>
      </c>
      <c r="I58" s="59">
        <f t="shared" si="3"/>
        <v>0</v>
      </c>
      <c r="K58" s="3"/>
      <c r="L58" s="3"/>
      <c r="M58" s="3"/>
      <c r="N58" s="3"/>
      <c r="O58" s="3"/>
      <c r="P58" s="3"/>
      <c r="Q58" s="3"/>
      <c r="R58" s="3"/>
      <c r="S58" s="3"/>
      <c r="T58" s="3"/>
    </row>
    <row r="59" spans="2:20" s="6" customFormat="1" ht="15" customHeight="1" x14ac:dyDescent="0.2">
      <c r="B59" s="71" t="s">
        <v>83</v>
      </c>
      <c r="D59" s="67"/>
      <c r="E59" s="68"/>
      <c r="F59" s="69"/>
      <c r="G59" s="38">
        <f>IF($E$19=rd,IF($E$21&gt;=600,'Engine emission factors'!$C28,'Engine emission factors'!$B28),IF($E$19=rg,'Engine emission factors'!$E28,IF($E$19=tng,'Engine emission factors'!$D28,IF($E$19=ngr,'Engine emission factors'!$F28,IF($E$19=ngl,'Engine emission factors'!$G28,IF($E$19=ng2l,'Engine emission factors'!$H28,IF($E$19=pro,'Engine emission factors'!$I28,IF($E$19=select,'Engine emission factors'!$AA28))))))))</f>
        <v>0</v>
      </c>
      <c r="H59" s="58">
        <f t="shared" si="2"/>
        <v>0</v>
      </c>
      <c r="I59" s="59">
        <f t="shared" si="3"/>
        <v>0</v>
      </c>
      <c r="K59" s="3"/>
      <c r="L59" s="3"/>
      <c r="M59" s="3"/>
      <c r="N59" s="3"/>
      <c r="O59" s="3"/>
      <c r="P59" s="3"/>
      <c r="Q59" s="3"/>
      <c r="R59" s="3"/>
      <c r="S59" s="3"/>
      <c r="T59" s="3"/>
    </row>
    <row r="60" spans="2:20" s="6" customFormat="1" ht="15" customHeight="1" x14ac:dyDescent="0.2">
      <c r="B60" s="70" t="s">
        <v>106</v>
      </c>
      <c r="D60" s="67"/>
      <c r="E60" s="68"/>
      <c r="F60" s="69"/>
      <c r="G60" s="38">
        <f>IF($E$19=rd,IF($E$21&gt;=600,'Engine emission factors'!$C29,'Engine emission factors'!$B29),IF($E$19=rg,'Engine emission factors'!$E29,IF($E$19=tng,'Engine emission factors'!$D29,IF($E$19=ngr,'Engine emission factors'!$F29,IF($E$19=ngl,'Engine emission factors'!$G29,IF($E$19=ng2l,'Engine emission factors'!$H29,IF($E$19=pro,'Engine emission factors'!$I29,IF($E$19=select,'Engine emission factors'!$AA29))))))))</f>
        <v>0</v>
      </c>
      <c r="H60" s="58">
        <f t="shared" si="2"/>
        <v>0</v>
      </c>
      <c r="I60" s="59">
        <f t="shared" si="3"/>
        <v>0</v>
      </c>
      <c r="K60" s="3"/>
      <c r="L60" s="3"/>
      <c r="M60" s="3"/>
      <c r="N60" s="3"/>
      <c r="O60" s="3"/>
      <c r="P60" s="3"/>
      <c r="Q60" s="3"/>
      <c r="R60" s="3"/>
      <c r="S60" s="3"/>
      <c r="T60" s="3"/>
    </row>
    <row r="61" spans="2:20" s="6" customFormat="1" ht="15" customHeight="1" x14ac:dyDescent="0.2">
      <c r="B61" s="71" t="s">
        <v>36</v>
      </c>
      <c r="D61" s="67"/>
      <c r="E61" s="68"/>
      <c r="F61" s="69"/>
      <c r="G61" s="38">
        <f>IF($E$19=rd,IF($E$21&gt;=600,'Engine emission factors'!$C30,'Engine emission factors'!$B30),IF($E$19=rg,'Engine emission factors'!$E30,IF($E$19=tng,'Engine emission factors'!$D30,IF($E$19=ngr,'Engine emission factors'!$F30,IF($E$19=ngl,'Engine emission factors'!$G30,IF($E$19=ng2l,'Engine emission factors'!$H30,IF($E$19=pro,'Engine emission factors'!$I30,IF($E$19=select,'Engine emission factors'!$AA30))))))))</f>
        <v>0</v>
      </c>
      <c r="H61" s="58">
        <f t="shared" si="2"/>
        <v>0</v>
      </c>
      <c r="I61" s="59">
        <f t="shared" si="3"/>
        <v>0</v>
      </c>
      <c r="K61" s="3"/>
      <c r="L61" s="3"/>
      <c r="M61" s="3"/>
      <c r="N61" s="3"/>
      <c r="O61" s="3"/>
      <c r="P61" s="3"/>
      <c r="Q61" s="3"/>
      <c r="R61" s="3"/>
      <c r="S61" s="3"/>
      <c r="T61" s="3"/>
    </row>
    <row r="62" spans="2:20" s="6" customFormat="1" ht="15" customHeight="1" x14ac:dyDescent="0.2">
      <c r="B62" s="71" t="s">
        <v>37</v>
      </c>
      <c r="D62" s="67"/>
      <c r="E62" s="68"/>
      <c r="F62" s="69"/>
      <c r="G62" s="38">
        <f>IF($E$19=rd,IF($E$21&gt;=600,'Engine emission factors'!$C31,'Engine emission factors'!$B31),IF($E$19=rg,'Engine emission factors'!$E31,IF($E$19=tng,'Engine emission factors'!$D31,IF($E$19=ngr,'Engine emission factors'!$F31,IF($E$19=ngl,'Engine emission factors'!$G31,IF($E$19=ng2l,'Engine emission factors'!$H31,IF($E$19=pro,'Engine emission factors'!$I31,IF($E$19=select,'Engine emission factors'!$AA31))))))))</f>
        <v>0</v>
      </c>
      <c r="H62" s="58">
        <f t="shared" si="2"/>
        <v>0</v>
      </c>
      <c r="I62" s="59">
        <f t="shared" si="3"/>
        <v>0</v>
      </c>
      <c r="K62" s="3"/>
      <c r="L62" s="3"/>
      <c r="M62" s="3"/>
      <c r="N62" s="3"/>
      <c r="O62" s="3"/>
      <c r="P62" s="3"/>
      <c r="Q62" s="3"/>
      <c r="R62" s="3"/>
      <c r="S62" s="3"/>
      <c r="T62" s="3"/>
    </row>
    <row r="63" spans="2:20" s="6" customFormat="1" ht="15" customHeight="1" x14ac:dyDescent="0.2">
      <c r="B63" s="70" t="s">
        <v>103</v>
      </c>
      <c r="D63" s="67"/>
      <c r="E63" s="68"/>
      <c r="F63" s="69"/>
      <c r="G63" s="38">
        <f>IF($E$19=rd,IF($E$21&gt;=600,'Engine emission factors'!$C32,'Engine emission factors'!$B32),IF($E$19=rg,'Engine emission factors'!$E32,IF($E$19=tng,'Engine emission factors'!$D32,IF($E$19=ngr,'Engine emission factors'!$F32,IF($E$19=ngl,'Engine emission factors'!$G32,IF($E$19=ng2l,'Engine emission factors'!$H32,IF($E$19=pro,'Engine emission factors'!$I32,IF($E$19=select,'Engine emission factors'!$AA32))))))))</f>
        <v>0</v>
      </c>
      <c r="H63" s="58">
        <f t="shared" si="2"/>
        <v>0</v>
      </c>
      <c r="I63" s="59">
        <f t="shared" si="3"/>
        <v>0</v>
      </c>
      <c r="K63" s="3"/>
      <c r="L63" s="3"/>
      <c r="M63" s="3"/>
      <c r="N63" s="3"/>
      <c r="O63" s="3"/>
      <c r="P63" s="3"/>
      <c r="Q63" s="3"/>
      <c r="R63" s="3"/>
      <c r="S63" s="3"/>
      <c r="T63" s="3"/>
    </row>
    <row r="64" spans="2:20" s="6" customFormat="1" ht="15" customHeight="1" x14ac:dyDescent="0.2">
      <c r="B64" s="70" t="s">
        <v>107</v>
      </c>
      <c r="D64" s="67"/>
      <c r="E64" s="68"/>
      <c r="F64" s="69"/>
      <c r="G64" s="38">
        <f>IF($E$19=rd,IF($E$21&gt;=600,'Engine emission factors'!$C33,'Engine emission factors'!$B33),IF($E$19=rg,'Engine emission factors'!$E33,IF($E$19=tng,'Engine emission factors'!$D33,IF($E$19=ngr,'Engine emission factors'!$F33,IF($E$19=ngl,'Engine emission factors'!$G33,IF($E$19=ng2l,'Engine emission factors'!$H33,IF($E$19=pro,'Engine emission factors'!$I33,IF($E$19=select,'Engine emission factors'!$AA33))))))))</f>
        <v>0</v>
      </c>
      <c r="H64" s="58">
        <f t="shared" si="2"/>
        <v>0</v>
      </c>
      <c r="I64" s="59">
        <f t="shared" si="3"/>
        <v>0</v>
      </c>
      <c r="K64" s="3"/>
      <c r="L64" s="3"/>
      <c r="M64" s="3"/>
      <c r="N64" s="3"/>
      <c r="O64" s="3"/>
      <c r="P64" s="3"/>
      <c r="Q64" s="3"/>
      <c r="R64" s="3"/>
      <c r="S64" s="3"/>
      <c r="T64" s="3"/>
    </row>
    <row r="65" spans="2:20" s="6" customFormat="1" ht="15" customHeight="1" x14ac:dyDescent="0.2">
      <c r="B65" s="71" t="s">
        <v>38</v>
      </c>
      <c r="D65" s="67"/>
      <c r="E65" s="68"/>
      <c r="F65" s="69"/>
      <c r="G65" s="38">
        <f>IF($E$19=rd,IF($E$21&gt;=600,'Engine emission factors'!$C34,'Engine emission factors'!$B34),IF($E$19=rg,'Engine emission factors'!$E34,IF($E$19=tng,'Engine emission factors'!$D34,IF($E$19=ngr,'Engine emission factors'!$F34,IF($E$19=ngl,'Engine emission factors'!$G34,IF($E$19=ng2l,'Engine emission factors'!$H34,IF($E$19=pro,'Engine emission factors'!$I34,IF($E$19=select,'Engine emission factors'!$AA34))))))))</f>
        <v>0</v>
      </c>
      <c r="H65" s="58">
        <f t="shared" si="2"/>
        <v>0</v>
      </c>
      <c r="I65" s="59">
        <f t="shared" si="3"/>
        <v>0</v>
      </c>
      <c r="K65" s="3"/>
      <c r="L65" s="3"/>
      <c r="M65" s="3"/>
      <c r="N65" s="3"/>
      <c r="O65" s="3"/>
      <c r="P65" s="3"/>
      <c r="Q65" s="3"/>
      <c r="R65" s="3"/>
      <c r="S65" s="3"/>
      <c r="T65" s="3"/>
    </row>
    <row r="66" spans="2:20" s="6" customFormat="1" ht="15" customHeight="1" x14ac:dyDescent="0.2">
      <c r="B66" s="70" t="s">
        <v>101</v>
      </c>
      <c r="G66" s="38">
        <f>IF($E$19=rd,IF($E$21&gt;=600,'Engine emission factors'!$C35,'Engine emission factors'!$B35),IF($E$19=rg,'Engine emission factors'!$E35,IF($E$19=tng,'Engine emission factors'!$D35,IF($E$19=ngr,'Engine emission factors'!$F35,IF($E$19=ngl,'Engine emission factors'!$G35,IF($E$19=ng2l,'Engine emission factors'!$H35,IF($E$19=pro,'Engine emission factors'!$I35,IF($E$19=select,'Engine emission factors'!$AA35))))))))</f>
        <v>0</v>
      </c>
      <c r="H66" s="58">
        <f t="shared" si="2"/>
        <v>0</v>
      </c>
      <c r="I66" s="59">
        <f t="shared" si="3"/>
        <v>0</v>
      </c>
      <c r="K66" s="3"/>
      <c r="L66" s="3"/>
      <c r="M66" s="3"/>
      <c r="N66" s="3"/>
      <c r="O66" s="3"/>
      <c r="P66" s="3"/>
      <c r="Q66" s="3"/>
      <c r="R66" s="3"/>
      <c r="S66" s="3"/>
      <c r="T66" s="3"/>
    </row>
    <row r="67" spans="2:20" s="6" customFormat="1" ht="15" customHeight="1" x14ac:dyDescent="0.2">
      <c r="B67" s="70" t="s">
        <v>108</v>
      </c>
      <c r="G67" s="38">
        <f>IF($E$19=rd,IF($E$21&gt;=600,'Engine emission factors'!$C36,'Engine emission factors'!$B36),IF($E$19=rg,'Engine emission factors'!$E36,IF($E$19=tng,'Engine emission factors'!$D36,IF($E$19=ngr,'Engine emission factors'!$F36,IF($E$19=ngl,'Engine emission factors'!$G36,IF($E$19=ng2l,'Engine emission factors'!$H36,IF($E$19=pro,'Engine emission factors'!$I36,IF($E$19=select,'Engine emission factors'!$AA36))))))))</f>
        <v>0</v>
      </c>
      <c r="H67" s="58">
        <f t="shared" si="2"/>
        <v>0</v>
      </c>
      <c r="I67" s="59">
        <f t="shared" si="3"/>
        <v>0</v>
      </c>
      <c r="K67" s="3"/>
      <c r="L67" s="3"/>
      <c r="M67" s="3"/>
      <c r="N67" s="3"/>
      <c r="O67" s="3"/>
      <c r="P67" s="3"/>
      <c r="Q67" s="3"/>
      <c r="R67" s="3"/>
      <c r="S67" s="3"/>
      <c r="T67" s="3"/>
    </row>
    <row r="68" spans="2:20" s="6" customFormat="1" ht="15" customHeight="1" x14ac:dyDescent="0.2">
      <c r="B68" s="70" t="s">
        <v>109</v>
      </c>
      <c r="G68" s="38">
        <f>IF($E$19=rd,IF($E$21&gt;=600,'Engine emission factors'!$C37,'Engine emission factors'!$B37),IF($E$19=rg,'Engine emission factors'!$E37,IF($E$19=tng,'Engine emission factors'!$D37,IF($E$19=ngr,'Engine emission factors'!$F37,IF($E$19=ngl,'Engine emission factors'!$G37,IF($E$19=ng2l,'Engine emission factors'!$H37,IF($E$19=pro,'Engine emission factors'!$I37,IF($E$19=select,'Engine emission factors'!$AA37))))))))</f>
        <v>0</v>
      </c>
      <c r="H68" s="58">
        <f t="shared" si="2"/>
        <v>0</v>
      </c>
      <c r="I68" s="59">
        <f t="shared" si="3"/>
        <v>0</v>
      </c>
      <c r="K68" s="3"/>
      <c r="L68" s="3"/>
      <c r="M68" s="3"/>
      <c r="N68" s="3"/>
      <c r="O68" s="3"/>
      <c r="P68" s="3"/>
      <c r="Q68" s="3"/>
      <c r="R68" s="3"/>
      <c r="S68" s="3"/>
      <c r="T68" s="3"/>
    </row>
    <row r="69" spans="2:20" s="6" customFormat="1" ht="15" customHeight="1" x14ac:dyDescent="0.2">
      <c r="B69" s="70" t="s">
        <v>110</v>
      </c>
      <c r="G69" s="38">
        <f>IF($E$19=rd,IF($E$21&gt;=600,'Engine emission factors'!$C38,'Engine emission factors'!$B38),IF($E$19=rg,'Engine emission factors'!$E38,IF($E$19=tng,'Engine emission factors'!$D38,IF($E$19=ngr,'Engine emission factors'!$F38,IF($E$19=ngl,'Engine emission factors'!$G38,IF($E$19=ng2l,'Engine emission factors'!$H38,IF($E$19=pro,'Engine emission factors'!$I38,IF($E$19=select,'Engine emission factors'!$AA38))))))))</f>
        <v>0</v>
      </c>
      <c r="H69" s="58">
        <f t="shared" si="2"/>
        <v>0</v>
      </c>
      <c r="I69" s="59">
        <f t="shared" si="3"/>
        <v>0</v>
      </c>
      <c r="K69" s="3"/>
      <c r="L69" s="3"/>
      <c r="M69" s="3"/>
      <c r="N69" s="3"/>
      <c r="O69" s="3"/>
      <c r="P69" s="3"/>
      <c r="Q69" s="3"/>
      <c r="R69" s="3"/>
      <c r="S69" s="3"/>
      <c r="T69" s="3"/>
    </row>
    <row r="70" spans="2:20" s="6" customFormat="1" ht="15" customHeight="1" x14ac:dyDescent="0.2">
      <c r="B70" s="71" t="s">
        <v>39</v>
      </c>
      <c r="G70" s="38">
        <f>IF($E$19=rd,IF($E$21&gt;=600,'Engine emission factors'!$C39,'Engine emission factors'!$B39),IF($E$19=rg,'Engine emission factors'!$E39,IF($E$19=tng,'Engine emission factors'!$D39,IF($E$19=ngr,'Engine emission factors'!$F39,IF($E$19=ngl,'Engine emission factors'!$G39,IF($E$19=ng2l,'Engine emission factors'!$H39,IF($E$19=pro,'Engine emission factors'!$I39,IF($E$19=select,'Engine emission factors'!$AA39))))))))</f>
        <v>0</v>
      </c>
      <c r="H70" s="58">
        <f t="shared" si="2"/>
        <v>0</v>
      </c>
      <c r="I70" s="59">
        <f t="shared" si="3"/>
        <v>0</v>
      </c>
      <c r="K70" s="3"/>
      <c r="L70" s="3"/>
      <c r="M70" s="3"/>
      <c r="N70" s="3"/>
      <c r="O70" s="3"/>
      <c r="P70" s="3"/>
      <c r="Q70" s="3"/>
      <c r="R70" s="3"/>
      <c r="S70" s="3"/>
      <c r="T70" s="3"/>
    </row>
    <row r="71" spans="2:20" s="6" customFormat="1" ht="15" customHeight="1" x14ac:dyDescent="0.2">
      <c r="B71" s="70" t="s">
        <v>111</v>
      </c>
      <c r="G71" s="38">
        <f>IF($E$19=rd,IF($E$21&gt;=600,'Engine emission factors'!$C40,'Engine emission factors'!$B40),IF($E$19=rg,'Engine emission factors'!$E40,IF($E$19=tng,'Engine emission factors'!$D40,IF($E$19=ngr,'Engine emission factors'!$F40,IF($E$19=ngl,'Engine emission factors'!$G40,IF($E$19=ng2l,'Engine emission factors'!$H40,IF($E$19=pro,'Engine emission factors'!$I40,IF($E$19=select,'Engine emission factors'!$AA40))))))))</f>
        <v>0</v>
      </c>
      <c r="H71" s="58">
        <f t="shared" si="2"/>
        <v>0</v>
      </c>
      <c r="I71" s="59">
        <f t="shared" si="3"/>
        <v>0</v>
      </c>
      <c r="K71" s="3"/>
      <c r="L71" s="3"/>
      <c r="M71" s="3"/>
      <c r="N71" s="3"/>
      <c r="O71" s="3"/>
      <c r="P71" s="3"/>
      <c r="Q71" s="3"/>
      <c r="R71" s="3"/>
      <c r="S71" s="3"/>
      <c r="T71" s="3"/>
    </row>
    <row r="72" spans="2:20" s="6" customFormat="1" ht="15" customHeight="1" x14ac:dyDescent="0.2">
      <c r="B72" s="71" t="s">
        <v>84</v>
      </c>
      <c r="G72" s="38">
        <f>IF($E$19=rd,IF($E$21&gt;=600,'Engine emission factors'!$C41,'Engine emission factors'!$B41),IF($E$19=rg,'Engine emission factors'!$E41,IF($E$19=tng,'Engine emission factors'!$D41,IF($E$19=ngr,'Engine emission factors'!$F41,IF($E$19=ngl,'Engine emission factors'!$G41,IF($E$19=ng2l,'Engine emission factors'!$H41,IF($E$19=pro,'Engine emission factors'!$I41,IF($E$19=select,'Engine emission factors'!$AA41))))))))</f>
        <v>0</v>
      </c>
      <c r="H72" s="58">
        <f t="shared" si="2"/>
        <v>0</v>
      </c>
      <c r="I72" s="59">
        <f t="shared" si="3"/>
        <v>0</v>
      </c>
      <c r="K72" s="3"/>
      <c r="L72" s="3"/>
      <c r="M72" s="3"/>
      <c r="N72" s="3"/>
      <c r="O72" s="3"/>
      <c r="P72" s="3"/>
      <c r="Q72" s="3"/>
      <c r="R72" s="3"/>
      <c r="S72" s="3"/>
      <c r="T72" s="3"/>
    </row>
    <row r="73" spans="2:20" s="6" customFormat="1" ht="15" customHeight="1" thickBot="1" x14ac:dyDescent="0.25">
      <c r="B73" s="61"/>
      <c r="C73" s="62"/>
      <c r="D73" s="62"/>
      <c r="E73" s="62"/>
      <c r="F73" s="63" t="s">
        <v>40</v>
      </c>
      <c r="G73" s="64"/>
      <c r="H73" s="72">
        <f>SUM(H48:H72)</f>
        <v>0</v>
      </c>
      <c r="I73" s="73">
        <f>SUM(I48:I72)</f>
        <v>0</v>
      </c>
      <c r="K73" s="3"/>
      <c r="L73" s="3"/>
      <c r="M73" s="3"/>
      <c r="N73" s="3"/>
      <c r="O73" s="3"/>
      <c r="P73" s="3"/>
      <c r="Q73" s="3"/>
      <c r="R73" s="3"/>
      <c r="S73" s="3"/>
      <c r="T73" s="3"/>
    </row>
    <row r="74" spans="2:20" s="6" customFormat="1" ht="15" customHeight="1" x14ac:dyDescent="0.2">
      <c r="B74" s="476" t="s">
        <v>187</v>
      </c>
      <c r="C74" s="476"/>
      <c r="D74" s="476"/>
      <c r="E74" s="476"/>
      <c r="F74" s="302"/>
      <c r="G74" s="302"/>
      <c r="H74" s="302"/>
      <c r="I74" s="302"/>
      <c r="K74" s="3"/>
      <c r="L74" s="3"/>
      <c r="M74" s="3"/>
      <c r="N74" s="3"/>
      <c r="O74" s="3"/>
      <c r="P74" s="3"/>
      <c r="Q74" s="3"/>
      <c r="R74" s="3"/>
      <c r="S74" s="3"/>
      <c r="T74" s="3"/>
    </row>
    <row r="75" spans="2:20" s="6" customFormat="1" ht="15" customHeight="1" x14ac:dyDescent="0.25">
      <c r="B75" s="463" t="s">
        <v>188</v>
      </c>
      <c r="C75" s="463"/>
      <c r="D75" s="463"/>
      <c r="E75" s="463"/>
      <c r="K75" s="3"/>
      <c r="L75" s="3"/>
      <c r="M75" s="3"/>
      <c r="N75" s="3"/>
      <c r="O75" s="3"/>
      <c r="P75" s="3"/>
      <c r="Q75" s="3"/>
      <c r="R75" s="3"/>
      <c r="S75" s="3"/>
      <c r="T75" s="3"/>
    </row>
    <row r="76" spans="2:20" s="6" customFormat="1" ht="15" customHeight="1" x14ac:dyDescent="0.2">
      <c r="B76" s="282" t="s">
        <v>531</v>
      </c>
      <c r="C76" s="282"/>
      <c r="D76" s="282"/>
      <c r="E76" s="282"/>
      <c r="K76" s="3"/>
      <c r="L76" s="3"/>
      <c r="M76" s="3"/>
      <c r="N76" s="3"/>
      <c r="O76" s="3"/>
      <c r="P76" s="3"/>
      <c r="Q76" s="3"/>
      <c r="R76" s="3"/>
      <c r="S76" s="3"/>
      <c r="T76" s="3"/>
    </row>
    <row r="77" spans="2:20" s="6" customFormat="1" ht="15" customHeight="1" x14ac:dyDescent="0.25">
      <c r="B77" s="283" t="s">
        <v>419</v>
      </c>
      <c r="C77" s="284"/>
      <c r="D77" s="284"/>
      <c r="E77" s="284"/>
      <c r="F77"/>
      <c r="G77" s="281" t="s">
        <v>190</v>
      </c>
      <c r="H77" s="281"/>
      <c r="I77"/>
      <c r="J77"/>
      <c r="K77" s="3"/>
      <c r="L77" s="3"/>
      <c r="M77" s="3"/>
      <c r="N77" s="3"/>
      <c r="O77" s="3"/>
      <c r="P77" s="3"/>
      <c r="Q77" s="3"/>
      <c r="R77" s="3"/>
      <c r="S77" s="3"/>
      <c r="T77" s="3"/>
    </row>
    <row r="78" spans="2:20" ht="15" customHeight="1" x14ac:dyDescent="0.25">
      <c r="B78" s="215"/>
      <c r="C78" s="215"/>
      <c r="D78" s="215"/>
      <c r="E78" s="215"/>
    </row>
    <row r="79" spans="2:20" x14ac:dyDescent="0.25">
      <c r="D79" s="215"/>
      <c r="E79" s="215"/>
      <c r="F79" s="1"/>
      <c r="G79" s="1"/>
      <c r="H79" s="1"/>
      <c r="I79" s="1"/>
    </row>
    <row r="413" hidden="1" x14ac:dyDescent="0.25"/>
  </sheetData>
  <protectedRanges>
    <protectedRange sqref="B22 N28:Q29 C11:C13 M33:M36 J21:J26 E21:E24 F5:F6 A14:A19 R22:W27 P24:Q27 K22:K27" name="Range2"/>
    <protectedRange sqref="O28:Q410 L42:L406 N28:N44 M32:M44 M46:N410 J25:J407 A5:B7 L34:L40 B19:C20 H11:H12 A26:A408 B25:I73 B80:I407 B74:E76 D77:I79 B77:C78 L6:L8 G5:I8 C5:D8 M5:XFD8 A1:XFD4 C10:E10 A8:A10 D11:E13 G11:G13 C9:XFD9 G10:L10 I11:L13 K14:L19 R10:XFD21 R26:XFD408 M10:Q23 M24:O27 B14:I18 A20:A21 K20:K21 K26:K408 E19:J19 E20 G20:J20" name="Range1"/>
    <protectedRange sqref="D19:D20" name="Range1_2"/>
    <protectedRange sqref="F20" name="Range1_3"/>
  </protectedRanges>
  <mergeCells count="26">
    <mergeCell ref="B75:E75"/>
    <mergeCell ref="H29:H30"/>
    <mergeCell ref="I29:I30"/>
    <mergeCell ref="J29:J30"/>
    <mergeCell ref="J31:J32"/>
    <mergeCell ref="G47:I47"/>
    <mergeCell ref="B74:E74"/>
    <mergeCell ref="B29:B30"/>
    <mergeCell ref="C29:C30"/>
    <mergeCell ref="D29:D30"/>
    <mergeCell ref="E29:E30"/>
    <mergeCell ref="F29:F30"/>
    <mergeCell ref="G29:G30"/>
    <mergeCell ref="B25:D25"/>
    <mergeCell ref="B26:I26"/>
    <mergeCell ref="B27:I27"/>
    <mergeCell ref="B22:D22"/>
    <mergeCell ref="C8:D8"/>
    <mergeCell ref="E19:F19"/>
    <mergeCell ref="G19:H19"/>
    <mergeCell ref="C7:D7"/>
    <mergeCell ref="B1:J1"/>
    <mergeCell ref="B2:J2"/>
    <mergeCell ref="B3:I3"/>
    <mergeCell ref="C5:D5"/>
    <mergeCell ref="C6:D6"/>
  </mergeCells>
  <conditionalFormatting sqref="G34:G41 G43:G45 G48:G72">
    <cfRule type="cellIs" dxfId="36" priority="1" operator="equal">
      <formula>0</formula>
    </cfRule>
  </conditionalFormatting>
  <conditionalFormatting sqref="E23:E24">
    <cfRule type="containsBlanks" dxfId="35" priority="2">
      <formula>LEN(TRIM(E23))=0</formula>
    </cfRule>
  </conditionalFormatting>
  <dataValidations count="4">
    <dataValidation type="list" allowBlank="1" showInputMessage="1" showErrorMessage="1" sqref="G8" xr:uid="{00000000-0002-0000-0500-000000000000}">
      <formula1>"Choose one, Tier 1, Tier 2, Tier 3, Tier 4, other"</formula1>
    </dataValidation>
    <dataValidation type="list" allowBlank="1" showInputMessage="1" showErrorMessage="1" sqref="B16" xr:uid="{00000000-0002-0000-0500-000001000000}">
      <formula1>"Choose one, Yes - NSPS, Yes - NESHAP, No"</formula1>
    </dataValidation>
    <dataValidation type="list" allowBlank="1" showInputMessage="1" showErrorMessage="1" sqref="B11:B13" xr:uid="{00000000-0002-0000-0500-000002000000}">
      <formula1>"Choose one, Yes, No"</formula1>
    </dataValidation>
    <dataValidation allowBlank="1" showErrorMessage="1" sqref="E21:E31 B21:D21 D32:E32 F21:I32 D23:D31 B23:C32" xr:uid="{00000000-0002-0000-0500-000003000000}"/>
  </dataValidations>
  <hyperlinks>
    <hyperlink ref="I42" r:id="rId1" xr:uid="{00000000-0004-0000-0500-000000000000}"/>
    <hyperlink ref="G77:H77" r:id="rId2" display="Minn. R. 7007.1300, subp. 3(I)" xr:uid="{00000000-0004-0000-0500-000001000000}"/>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47" min="1" max="9" man="1"/>
  </rowBreaks>
  <extLst>
    <ext xmlns:x14="http://schemas.microsoft.com/office/spreadsheetml/2009/9/main" uri="{CCE6A557-97BC-4b89-ADB6-D9C93CAAB3DF}">
      <x14:dataValidations xmlns:xm="http://schemas.microsoft.com/office/excel/2006/main" count="3">
        <x14:dataValidation type="list" allowBlank="1" showErrorMessage="1" xr:uid="{00000000-0002-0000-0500-000004000000}">
          <x14:formula1>
            <xm:f>'Data validation'!$B$5:$B$7</xm:f>
          </x14:formula1>
          <xm:sqref>B22:D22</xm:sqref>
        </x14:dataValidation>
        <x14:dataValidation type="list" errorStyle="information" allowBlank="1" showInputMessage="1" showErrorMessage="1" errorTitle="Incorrect Entry" error="Please choose from the drop down list._x000a__x000a_----&gt; Press CANCEL" xr:uid="{00000000-0002-0000-0500-000005000000}">
          <x14:formula1>
            <xm:f>'Data validation'!$A$17:$A$19</xm:f>
          </x14:formula1>
          <xm:sqref>E20</xm:sqref>
        </x14:dataValidation>
        <x14:dataValidation type="list" errorStyle="information" allowBlank="1" showInputMessage="1" showErrorMessage="1" errorTitle="Incorrect Entry" error="Please choose from the drop down list._x000a__x000a_----&gt; Press CANCEL" xr:uid="{00000000-0002-0000-0500-000006000000}">
          <x14:formula1>
            <xm:f>'Data validation'!$A$6:$A$13</xm:f>
          </x14:formula1>
          <xm:sqref>E19:F19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1EAFF"/>
    <pageSetUpPr fitToPage="1"/>
  </sheetPr>
  <dimension ref="A1:T413"/>
  <sheetViews>
    <sheetView showGridLines="0" zoomScaleNormal="100" zoomScaleSheetLayoutView="100" zoomScalePageLayoutView="85" workbookViewId="0">
      <selection activeCell="C5" sqref="C5:D5"/>
    </sheetView>
  </sheetViews>
  <sheetFormatPr defaultRowHeight="15" x14ac:dyDescent="0.25"/>
  <cols>
    <col min="1" max="1" width="5.140625" customWidth="1"/>
    <col min="2" max="2" width="21.140625" customWidth="1"/>
    <col min="3" max="3" width="9" customWidth="1"/>
    <col min="4" max="5" width="17.85546875" customWidth="1"/>
    <col min="6" max="6" width="19.28515625" customWidth="1"/>
    <col min="7" max="9" width="17.85546875" customWidth="1"/>
    <col min="10" max="10" width="16" customWidth="1"/>
    <col min="11" max="13" width="12" style="3" customWidth="1"/>
    <col min="14" max="18" width="9.140625" style="3"/>
    <col min="19" max="20" width="9.140625" style="210"/>
  </cols>
  <sheetData>
    <row r="1" spans="1:20" x14ac:dyDescent="0.25">
      <c r="B1" s="439" t="str">
        <f>Instructions!O3</f>
        <v>p-sbap5-25  •  12/13/23</v>
      </c>
      <c r="C1" s="439"/>
      <c r="D1" s="439"/>
      <c r="E1" s="439"/>
      <c r="F1" s="439"/>
      <c r="G1" s="439"/>
      <c r="H1" s="439"/>
      <c r="I1" s="439"/>
      <c r="J1" s="439"/>
    </row>
    <row r="2" spans="1:20" ht="19.5" thickBot="1" x14ac:dyDescent="0.3">
      <c r="B2" s="413" t="s">
        <v>129</v>
      </c>
      <c r="C2" s="413"/>
      <c r="D2" s="413"/>
      <c r="E2" s="413"/>
      <c r="F2" s="413"/>
      <c r="G2" s="413"/>
      <c r="H2" s="413"/>
      <c r="I2" s="413"/>
      <c r="J2" s="413"/>
      <c r="K2"/>
      <c r="L2"/>
      <c r="M2"/>
      <c r="N2"/>
      <c r="O2"/>
      <c r="P2"/>
      <c r="Q2"/>
      <c r="R2"/>
      <c r="S2"/>
      <c r="T2"/>
    </row>
    <row r="3" spans="1:20" s="6" customFormat="1" ht="14.25" x14ac:dyDescent="0.2">
      <c r="B3" s="486" t="s">
        <v>277</v>
      </c>
      <c r="C3" s="486"/>
      <c r="D3" s="486"/>
      <c r="E3" s="486"/>
      <c r="F3" s="486"/>
      <c r="G3" s="486"/>
      <c r="H3" s="486"/>
      <c r="I3" s="486"/>
      <c r="J3" s="9"/>
    </row>
    <row r="4" spans="1:20" s="6" customFormat="1" x14ac:dyDescent="0.25">
      <c r="B4" s="278"/>
      <c r="C4" s="233"/>
      <c r="D4" s="233"/>
      <c r="E4" s="233"/>
      <c r="F4" s="233"/>
      <c r="G4" s="233"/>
      <c r="H4" s="233"/>
      <c r="I4" s="233"/>
      <c r="J4" s="9"/>
    </row>
    <row r="5" spans="1:20" s="6" customFormat="1" ht="14.25" x14ac:dyDescent="0.2">
      <c r="B5" s="347" t="s">
        <v>267</v>
      </c>
      <c r="C5" s="484" t="s">
        <v>75</v>
      </c>
      <c r="D5" s="485"/>
      <c r="E5" s="3"/>
      <c r="F5" s="347" t="s">
        <v>270</v>
      </c>
      <c r="G5" s="301"/>
      <c r="H5" s="3" t="s">
        <v>420</v>
      </c>
      <c r="I5" s="226"/>
    </row>
    <row r="6" spans="1:20" s="6" customFormat="1" ht="14.25" x14ac:dyDescent="0.2">
      <c r="B6" s="347" t="s">
        <v>226</v>
      </c>
      <c r="C6" s="484"/>
      <c r="D6" s="485"/>
      <c r="E6" s="3"/>
      <c r="F6" s="347" t="s">
        <v>271</v>
      </c>
      <c r="G6" s="301"/>
      <c r="H6" s="3" t="s">
        <v>274</v>
      </c>
      <c r="I6" s="226"/>
    </row>
    <row r="7" spans="1:20" s="6" customFormat="1" ht="14.25" x14ac:dyDescent="0.2">
      <c r="B7" s="347" t="s">
        <v>227</v>
      </c>
      <c r="C7" s="484"/>
      <c r="D7" s="485"/>
      <c r="E7" s="3"/>
      <c r="F7" s="347" t="s">
        <v>272</v>
      </c>
      <c r="G7" s="301"/>
      <c r="H7" s="3" t="s">
        <v>275</v>
      </c>
      <c r="I7" s="226"/>
    </row>
    <row r="8" spans="1:20" s="6" customFormat="1" ht="14.25" x14ac:dyDescent="0.2">
      <c r="B8" s="347" t="s">
        <v>269</v>
      </c>
      <c r="C8" s="484"/>
      <c r="D8" s="485"/>
      <c r="E8" s="3" t="s">
        <v>268</v>
      </c>
      <c r="F8" s="347" t="s">
        <v>273</v>
      </c>
      <c r="G8" s="301" t="s">
        <v>178</v>
      </c>
      <c r="H8" s="3" t="s">
        <v>276</v>
      </c>
      <c r="I8" s="226"/>
    </row>
    <row r="9" spans="1:20" s="6" customFormat="1" ht="14.25" x14ac:dyDescent="0.2">
      <c r="B9" s="3"/>
      <c r="C9" s="275"/>
      <c r="D9" s="275"/>
      <c r="E9" s="275"/>
      <c r="F9" s="275"/>
      <c r="G9" s="275"/>
      <c r="H9" s="275"/>
      <c r="I9" s="275"/>
      <c r="J9" s="9"/>
      <c r="K9" s="9"/>
    </row>
    <row r="10" spans="1:20" s="6" customFormat="1" ht="14.25" x14ac:dyDescent="0.2">
      <c r="B10" s="344" t="s">
        <v>500</v>
      </c>
      <c r="C10" s="275"/>
      <c r="D10" s="275"/>
      <c r="E10" s="275"/>
      <c r="G10" s="9"/>
    </row>
    <row r="11" spans="1:20" s="6" customFormat="1" ht="14.25" x14ac:dyDescent="0.2">
      <c r="B11" s="277" t="s">
        <v>178</v>
      </c>
      <c r="C11" s="348" t="s">
        <v>263</v>
      </c>
      <c r="D11" s="275"/>
      <c r="E11" s="275"/>
      <c r="G11" s="9"/>
      <c r="H11" s="344"/>
    </row>
    <row r="12" spans="1:20" s="6" customFormat="1" ht="14.25" x14ac:dyDescent="0.2">
      <c r="B12" s="216" t="s">
        <v>178</v>
      </c>
      <c r="C12" s="348" t="s">
        <v>264</v>
      </c>
      <c r="D12" s="275"/>
      <c r="E12" s="275"/>
      <c r="G12" s="9"/>
      <c r="H12" s="348"/>
    </row>
    <row r="13" spans="1:20" s="6" customFormat="1" ht="15.75" customHeight="1" x14ac:dyDescent="0.2">
      <c r="B13" s="216" t="s">
        <v>178</v>
      </c>
      <c r="C13" s="348" t="s">
        <v>265</v>
      </c>
      <c r="D13" s="275"/>
      <c r="E13" s="275"/>
      <c r="G13" s="9"/>
    </row>
    <row r="14" spans="1:20" s="6" customFormat="1" ht="15.75" customHeight="1" x14ac:dyDescent="0.2">
      <c r="A14" s="348"/>
      <c r="B14" s="275"/>
      <c r="C14" s="275"/>
      <c r="D14" s="275"/>
      <c r="E14" s="275"/>
      <c r="F14" s="275"/>
      <c r="G14" s="275"/>
      <c r="H14" s="9"/>
      <c r="I14" s="9"/>
    </row>
    <row r="15" spans="1:20" s="6" customFormat="1" ht="15.75" customHeight="1" x14ac:dyDescent="0.2">
      <c r="A15" s="348"/>
      <c r="B15" s="344" t="s">
        <v>421</v>
      </c>
      <c r="C15" s="275"/>
      <c r="D15" s="275"/>
      <c r="E15" s="275"/>
      <c r="F15" s="275"/>
      <c r="G15" s="275"/>
      <c r="H15" s="9"/>
      <c r="I15" s="9"/>
    </row>
    <row r="16" spans="1:20" s="6" customFormat="1" ht="15.75" customHeight="1" x14ac:dyDescent="0.2">
      <c r="A16" s="348"/>
      <c r="B16" s="277" t="s">
        <v>178</v>
      </c>
      <c r="C16" s="348" t="s">
        <v>422</v>
      </c>
      <c r="D16" s="275"/>
      <c r="E16" s="275"/>
      <c r="F16" s="275"/>
      <c r="G16" s="275"/>
      <c r="H16" s="9"/>
      <c r="I16" s="9"/>
    </row>
    <row r="17" spans="1:20" s="6" customFormat="1" ht="15.75" customHeight="1" x14ac:dyDescent="0.2">
      <c r="A17" s="348"/>
      <c r="B17" s="344"/>
      <c r="C17" s="286"/>
      <c r="D17" s="275"/>
      <c r="E17" s="275"/>
      <c r="F17" s="275"/>
      <c r="G17" s="275"/>
      <c r="H17" s="9"/>
      <c r="I17" s="9"/>
    </row>
    <row r="18" spans="1:20" s="6" customFormat="1" ht="15.75" customHeight="1" x14ac:dyDescent="0.25">
      <c r="A18" s="348"/>
      <c r="B18" s="287" t="s">
        <v>423</v>
      </c>
      <c r="C18" s="286"/>
      <c r="D18" s="275"/>
      <c r="E18" s="275"/>
      <c r="F18" s="275"/>
      <c r="G18" s="275"/>
      <c r="H18" s="9"/>
      <c r="I18" s="9"/>
    </row>
    <row r="19" spans="1:20" s="6" customFormat="1" ht="15.75" customHeight="1" x14ac:dyDescent="0.25">
      <c r="A19" s="348"/>
      <c r="B19" s="357"/>
      <c r="C19" s="357"/>
      <c r="D19" s="346" t="s">
        <v>130</v>
      </c>
      <c r="E19" s="480" t="s">
        <v>178</v>
      </c>
      <c r="F19" s="481"/>
      <c r="G19" s="482"/>
      <c r="H19" s="482"/>
      <c r="I19" s="233"/>
    </row>
    <row r="20" spans="1:20" s="6" customFormat="1" ht="15" customHeight="1" x14ac:dyDescent="0.2">
      <c r="B20" s="357"/>
      <c r="C20" s="357"/>
      <c r="D20" s="346" t="s">
        <v>131</v>
      </c>
      <c r="E20" s="216" t="s">
        <v>178</v>
      </c>
      <c r="F20" s="359"/>
      <c r="G20" s="358"/>
      <c r="H20" s="358"/>
      <c r="I20" s="358"/>
      <c r="J20" s="9"/>
      <c r="K20" s="3"/>
    </row>
    <row r="21" spans="1:20" s="6" customFormat="1" ht="15" customHeight="1" x14ac:dyDescent="0.2">
      <c r="B21" s="357"/>
      <c r="C21" s="357"/>
      <c r="D21" s="346" t="str">
        <f>IF($E$19='Data validation'!$A$6," ",IF(OR($E$19=rd,$E$19=rg),"Rated mechanical output",IF(OR($E$19=pro,OR($E$19=ngl,OR($E$19=ngr,OR($E$19=tng,$E$19=ng2l)))),"Rated fuel input"," ")))</f>
        <v xml:space="preserve"> </v>
      </c>
      <c r="E21" s="74">
        <v>0</v>
      </c>
      <c r="F21" s="358" t="str">
        <f>IF($D$21=" "," ",IF($D$21="Rated mechanical output",'Data validation'!$A$24,IF(AND($D$21="Rated fuel input",$E$19=pro),'Data validation'!$A$26,'Data validation'!$A$25)))</f>
        <v xml:space="preserve"> </v>
      </c>
      <c r="G21" s="358"/>
      <c r="H21" s="358"/>
      <c r="I21" s="358"/>
      <c r="J21" s="9"/>
      <c r="K21" s="9"/>
      <c r="R21" s="3"/>
      <c r="S21" s="3"/>
      <c r="T21" s="3"/>
    </row>
    <row r="22" spans="1:20" s="6" customFormat="1" ht="15" customHeight="1" x14ac:dyDescent="0.2">
      <c r="B22" s="477" t="s">
        <v>214</v>
      </c>
      <c r="C22" s="478"/>
      <c r="D22" s="479"/>
      <c r="E22" s="74">
        <v>0</v>
      </c>
      <c r="F22" s="359" t="str">
        <f>IF($B$22='Data validation'!$B$5," ",IF($B$22='Data validation'!$B$6,'Data validation'!$B$11,IF(AND($B$22='Data validation'!$B$7,OR($E$19=tng,OR($E$19=ngl,OR($E$19=ngr,OR($E$19=ng2l))))),'Data validation'!$B$12,IF(AND($B$22='Data validation'!$B$7,OR($E$19=rd,OR($E$19=rg,OR($E$19=pro)))),'Data validation'!$B$13," "))))</f>
        <v xml:space="preserve"> </v>
      </c>
      <c r="G22" s="358"/>
      <c r="H22" s="358"/>
      <c r="I22" s="358"/>
      <c r="J22" s="9"/>
      <c r="K22" s="9"/>
      <c r="R22" s="3"/>
      <c r="S22" s="3"/>
      <c r="T22" s="3"/>
    </row>
    <row r="23" spans="1:20" s="6" customFormat="1" ht="15" customHeight="1" x14ac:dyDescent="0.2">
      <c r="B23" s="332"/>
      <c r="C23" s="332"/>
      <c r="D23" s="345" t="str">
        <f>IF($F$21=" "," ",IF($F$21='Data validation'!$A$24,'Data validation'!$A$29,IF(OR($F$21='Data validation'!$A$25,$F$21='Data validation'!$A$26),'Data validation'!$A$30)))</f>
        <v xml:space="preserve"> </v>
      </c>
      <c r="E23" s="145" t="str">
        <f>IF(E19='Data validation'!A6," ",IF(E19=rd,'Engine emission factors'!F53,IF(E19=rg,'Engine emission factors'!F54,IF(OR(E19=ngl,OR(E19=ngr,OR(E19=tng,E19=NGC2))),'Engine emission factors'!G52,IF(E19=pro,'Engine emission factors'!H55," ")))))</f>
        <v xml:space="preserve"> </v>
      </c>
      <c r="F23" s="280" t="str">
        <f>IF($D$23=" "," ",IF($D$23='Data validation'!$A$29,"(Btu/HP-hr)",IF(AND($D$23='Data validation'!$A$30,$E$19=pro),"(Btu/gal)",IF($D$23='Data validation'!$A$30,"(Btu/scf)"))))</f>
        <v xml:space="preserve"> </v>
      </c>
      <c r="G23" s="280"/>
      <c r="H23" s="280"/>
      <c r="I23" s="280"/>
      <c r="J23" s="9"/>
      <c r="K23" s="9"/>
      <c r="M23" s="3"/>
      <c r="N23" s="3"/>
      <c r="O23" s="3"/>
      <c r="P23" s="3"/>
      <c r="Q23" s="3"/>
      <c r="R23" s="3"/>
      <c r="S23" s="3"/>
      <c r="T23" s="3"/>
    </row>
    <row r="24" spans="1:20" s="6" customFormat="1" ht="15" customHeight="1" x14ac:dyDescent="0.2">
      <c r="B24" s="332"/>
      <c r="C24" s="332"/>
      <c r="D24" s="345" t="str">
        <f>IF($E$19='Data validation'!$A$6," ",IF($E$19=rd,"Heat value of fuel",IF($E$19=rg,"Heat value of fuel"," ")))</f>
        <v xml:space="preserve"> </v>
      </c>
      <c r="E24" s="145" t="str">
        <f>IF(E19=rd,'Engine emission factors'!H53,IF(E19=rg,'Engine emission factors'!H54," "))</f>
        <v xml:space="preserve"> </v>
      </c>
      <c r="F24" s="280" t="str">
        <f>IF($E$19='Data validation'!$A$6," ",IF($E$19=rd,"(Btu/gal)",IF($E$19=rg,"(Btu/gal)"," ")))</f>
        <v xml:space="preserve"> </v>
      </c>
      <c r="G24" s="280"/>
      <c r="H24" s="280"/>
      <c r="I24" s="280"/>
      <c r="J24" s="9"/>
      <c r="K24" s="9"/>
      <c r="P24" s="3"/>
      <c r="Q24" s="3"/>
      <c r="R24" s="3"/>
      <c r="S24" s="3"/>
      <c r="T24" s="3"/>
    </row>
    <row r="25" spans="1:20" s="6" customFormat="1" ht="15" customHeight="1" x14ac:dyDescent="0.2">
      <c r="B25" s="483" t="s">
        <v>132</v>
      </c>
      <c r="C25" s="483"/>
      <c r="D25" s="483"/>
      <c r="E25" s="207" t="str">
        <f>IF(E19=rd,"0.0015",IF(E19=pro,"0.54",IF(E19=tng,"0.00065","NA")))</f>
        <v>NA</v>
      </c>
      <c r="F25" s="487" t="str">
        <f>IF(OR(E19=rd,E19=tng),"%",IF(E19=pro,"gr/100ft3",""))</f>
        <v/>
      </c>
      <c r="G25" s="487"/>
      <c r="H25" s="487"/>
      <c r="I25" s="487"/>
      <c r="J25" s="9"/>
      <c r="K25" s="9"/>
      <c r="P25" s="3"/>
      <c r="Q25" s="3"/>
      <c r="R25" s="3"/>
      <c r="S25" s="3"/>
      <c r="T25" s="3"/>
    </row>
    <row r="26" spans="1:20" s="6" customFormat="1" ht="15" customHeight="1" x14ac:dyDescent="0.2">
      <c r="B26" s="464"/>
      <c r="C26" s="464"/>
      <c r="D26" s="464"/>
      <c r="E26" s="464"/>
      <c r="F26" s="464"/>
      <c r="G26" s="464"/>
      <c r="H26" s="464"/>
      <c r="I26" s="464"/>
      <c r="J26" s="9"/>
      <c r="K26" s="9"/>
      <c r="P26" s="3"/>
      <c r="Q26" s="3"/>
      <c r="R26" s="3"/>
      <c r="S26" s="3"/>
      <c r="T26" s="3"/>
    </row>
    <row r="27" spans="1:20" s="6" customFormat="1" ht="15" customHeight="1" thickBot="1" x14ac:dyDescent="0.25">
      <c r="B27" s="465" t="s">
        <v>133</v>
      </c>
      <c r="C27" s="465"/>
      <c r="D27" s="465"/>
      <c r="E27" s="465"/>
      <c r="F27" s="465"/>
      <c r="G27" s="465"/>
      <c r="H27" s="465"/>
      <c r="I27" s="465"/>
      <c r="J27" s="9"/>
      <c r="K27" s="9"/>
      <c r="P27" s="3"/>
      <c r="Q27" s="3"/>
      <c r="R27" s="3"/>
      <c r="S27" s="3"/>
      <c r="T27" s="3"/>
    </row>
    <row r="28" spans="1:20" s="6" customFormat="1" ht="15" customHeight="1" x14ac:dyDescent="0.2">
      <c r="B28" s="10"/>
      <c r="C28" s="11" t="s">
        <v>16</v>
      </c>
      <c r="D28" s="12" t="s">
        <v>17</v>
      </c>
      <c r="E28" s="12" t="s">
        <v>18</v>
      </c>
      <c r="F28" s="11" t="s">
        <v>19</v>
      </c>
      <c r="G28" s="11" t="s">
        <v>20</v>
      </c>
      <c r="H28" s="13"/>
      <c r="I28" s="14"/>
      <c r="J28" s="15"/>
      <c r="K28" s="9"/>
      <c r="N28" s="3"/>
      <c r="O28" s="3"/>
      <c r="P28" s="3"/>
      <c r="Q28" s="3"/>
      <c r="R28" s="3"/>
      <c r="S28" s="3"/>
      <c r="T28" s="3"/>
    </row>
    <row r="29" spans="1:20" s="6" customFormat="1" ht="15" customHeight="1" x14ac:dyDescent="0.2">
      <c r="B29" s="472" t="s">
        <v>21</v>
      </c>
      <c r="C29" s="473" t="s">
        <v>205</v>
      </c>
      <c r="D29" s="471" t="s">
        <v>186</v>
      </c>
      <c r="E29" s="471" t="s">
        <v>213</v>
      </c>
      <c r="F29" s="471" t="s">
        <v>207</v>
      </c>
      <c r="G29" s="471" t="s">
        <v>22</v>
      </c>
      <c r="H29" s="469" t="s">
        <v>23</v>
      </c>
      <c r="I29" s="470" t="s">
        <v>24</v>
      </c>
      <c r="J29" s="468" t="s">
        <v>204</v>
      </c>
      <c r="K29" s="9"/>
      <c r="N29" s="3"/>
      <c r="O29" s="3"/>
      <c r="P29" s="3"/>
      <c r="Q29" s="3"/>
      <c r="R29" s="3"/>
      <c r="S29" s="3"/>
      <c r="T29" s="3"/>
    </row>
    <row r="30" spans="1:20" s="6" customFormat="1" ht="15" customHeight="1" x14ac:dyDescent="0.2">
      <c r="B30" s="472"/>
      <c r="C30" s="473"/>
      <c r="D30" s="471"/>
      <c r="E30" s="471"/>
      <c r="F30" s="471"/>
      <c r="G30" s="471"/>
      <c r="H30" s="469"/>
      <c r="I30" s="470"/>
      <c r="J30" s="468"/>
      <c r="K30" s="9"/>
      <c r="N30" s="3"/>
      <c r="O30" s="3"/>
      <c r="P30" s="3"/>
      <c r="Q30" s="3"/>
      <c r="R30" s="3"/>
      <c r="S30" s="3"/>
      <c r="T30" s="3"/>
    </row>
    <row r="31" spans="1:20" s="6" customFormat="1" ht="15" customHeight="1" x14ac:dyDescent="0.2">
      <c r="B31" s="16"/>
      <c r="C31" s="17"/>
      <c r="D31" s="18" t="s">
        <v>222</v>
      </c>
      <c r="E31" s="18" t="s">
        <v>209</v>
      </c>
      <c r="F31" s="19" t="s">
        <v>25</v>
      </c>
      <c r="G31" s="19" t="s">
        <v>94</v>
      </c>
      <c r="H31" s="20" t="s">
        <v>26</v>
      </c>
      <c r="I31" s="21" t="s">
        <v>27</v>
      </c>
      <c r="J31" s="466" t="s">
        <v>27</v>
      </c>
      <c r="K31" s="3"/>
      <c r="N31" s="3"/>
      <c r="O31" s="3"/>
      <c r="P31" s="3"/>
      <c r="Q31" s="3"/>
      <c r="R31" s="3"/>
      <c r="S31" s="3"/>
      <c r="T31" s="3"/>
    </row>
    <row r="32" spans="1:20" s="7" customFormat="1" ht="15" customHeight="1" thickBot="1" x14ac:dyDescent="0.25">
      <c r="B32" s="22"/>
      <c r="C32" s="23"/>
      <c r="D32" s="24">
        <f>IF(E19=select,0,IF(OR(E19=rd,E19=rg),(E21*E23/10^6),IF(E19=pro,(E21*E23/10^6),IF(OR(E19=ngl,OR(E19=ngr,OR(E19=tng,E19=NGC2))),(E21*E23/(10^6))))))</f>
        <v>0</v>
      </c>
      <c r="E32" s="24">
        <f>IF(F22='Data validation'!B12,E22,IF(AND(F22='Data validation'!B13,E19=rd),(('Engine emission factors'!H53*E22)/1000000),IF(AND(F22='Data validation'!B13,E19=rg),(('Engine emission factors'!H54*E22)/1000000),IF(AND(F22='Data validation'!B13,E19=pro),(('Engine emission factors'!H55*E22)/1000000),IF(F22='Data validation'!B11,(E22*D32),IF(F22=" ",0))))))</f>
        <v>0</v>
      </c>
      <c r="F32" s="144">
        <f>IF($E$20=so,0,IF(OR($E$20=Routine,AND($E$20=Emer,$B$12="Yes")),8760,IF($E$20=Emer,500)))</f>
        <v>0</v>
      </c>
      <c r="G32" s="25" t="s">
        <v>41</v>
      </c>
      <c r="H32" s="20" t="s">
        <v>177</v>
      </c>
      <c r="I32" s="21" t="s">
        <v>223</v>
      </c>
      <c r="J32" s="467"/>
      <c r="K32" s="3"/>
      <c r="M32" s="3"/>
      <c r="N32" s="3"/>
      <c r="O32" s="3"/>
      <c r="P32" s="3"/>
      <c r="Q32" s="3"/>
      <c r="R32" s="3"/>
      <c r="S32" s="3"/>
      <c r="T32" s="3"/>
    </row>
    <row r="33" spans="2:20" s="6" customFormat="1" ht="15" customHeight="1" x14ac:dyDescent="0.2">
      <c r="B33" s="75" t="s">
        <v>44</v>
      </c>
      <c r="C33" s="26"/>
      <c r="D33" s="27"/>
      <c r="E33" s="28"/>
      <c r="F33" s="29"/>
      <c r="G33" s="30"/>
      <c r="H33" s="31"/>
      <c r="I33" s="32" t="s">
        <v>144</v>
      </c>
      <c r="J33" s="33"/>
      <c r="K33" s="3"/>
      <c r="M33" s="3"/>
      <c r="N33" s="3"/>
      <c r="O33" s="3"/>
      <c r="P33" s="3"/>
      <c r="Q33" s="3"/>
      <c r="R33" s="3"/>
      <c r="S33" s="3"/>
      <c r="T33" s="3"/>
    </row>
    <row r="34" spans="2:20" s="6" customFormat="1" ht="15" customHeight="1" x14ac:dyDescent="0.2">
      <c r="B34" s="34" t="s">
        <v>28</v>
      </c>
      <c r="D34" s="35"/>
      <c r="E34" s="36"/>
      <c r="F34" s="37"/>
      <c r="G34" s="38">
        <f>IF($E$19=rd,IF($E$21&gt;=600,'Engine emission factors'!$C5,'Engine emission factors'!$B5),IF($E$19=rg,'Engine emission factors'!$E5,IF($E$19=tng,'Engine emission factors'!$D5,IF($E$19=ngr,'Engine emission factors'!$F5,IF($E$19=ngl,'Engine emission factors'!$G5,IF($E$19=ng2l,'Engine emission factors'!$H5,IF($E$19=pro,'Engine emission factors'!$I5,IF($E$19=select,'Engine emission factors'!$AA5))))))))</f>
        <v>0</v>
      </c>
      <c r="H34" s="39">
        <f>$D$32*$F$32*$G34/2000</f>
        <v>0</v>
      </c>
      <c r="I34" s="40">
        <f>($E$32*$G34)/2000</f>
        <v>0</v>
      </c>
      <c r="J34" s="41">
        <v>1</v>
      </c>
      <c r="K34" s="3"/>
      <c r="L34" s="9"/>
      <c r="M34" s="3"/>
      <c r="N34" s="3"/>
      <c r="O34" s="3"/>
      <c r="P34" s="3"/>
      <c r="Q34" s="3"/>
      <c r="R34" s="3"/>
      <c r="S34" s="3"/>
      <c r="T34" s="3"/>
    </row>
    <row r="35" spans="2:20" s="6" customFormat="1" ht="15" customHeight="1" x14ac:dyDescent="0.2">
      <c r="B35" s="34" t="s">
        <v>29</v>
      </c>
      <c r="D35" s="35"/>
      <c r="E35" s="36"/>
      <c r="F35" s="37"/>
      <c r="G35" s="38">
        <f>IF($E$19=rd,IF($E$21&gt;=600,'Engine emission factors'!$C6,'Engine emission factors'!$B6),IF($E$19=rg,'Engine emission factors'!$E6,IF($E$19=tng,'Engine emission factors'!$D6,IF($E$19=ngr,'Engine emission factors'!$F6,IF($E$19=ngl,'Engine emission factors'!$G6,IF($E$19=ng2l,'Engine emission factors'!$H6,IF($E$19=pro,'Engine emission factors'!$I6,IF($E$19=select,'Engine emission factors'!$AA6))))))))</f>
        <v>0</v>
      </c>
      <c r="H35" s="42">
        <f t="shared" ref="H35:H40" si="0">$D$32*$F$32*$G35/2000</f>
        <v>0</v>
      </c>
      <c r="I35" s="40">
        <f t="shared" ref="I35:I40" si="1">($E$32*$G35)/2000</f>
        <v>0</v>
      </c>
      <c r="J35" s="43">
        <v>1</v>
      </c>
      <c r="K35" s="3"/>
      <c r="L35" s="3"/>
      <c r="M35" s="3"/>
      <c r="N35" s="3"/>
      <c r="O35" s="3"/>
      <c r="P35" s="3"/>
      <c r="Q35" s="3"/>
      <c r="R35" s="3"/>
      <c r="S35" s="3"/>
      <c r="T35" s="3"/>
    </row>
    <row r="36" spans="2:20" s="6" customFormat="1" ht="15" customHeight="1" x14ac:dyDescent="0.2">
      <c r="B36" s="34" t="s">
        <v>72</v>
      </c>
      <c r="D36" s="35"/>
      <c r="E36" s="36"/>
      <c r="F36" s="37"/>
      <c r="G36" s="38">
        <f>IF($E$19=rd,IF($E$21&gt;=600,'Engine emission factors'!$C7,'Engine emission factors'!$B7),IF($E$19=rg,'Engine emission factors'!$E7,IF($E$19=tng,'Engine emission factors'!$D7,IF($E$19=ngr,'Engine emission factors'!$F7,IF($E$19=ngl,'Engine emission factors'!$G7,IF($E$19=ng2l,'Engine emission factors'!$H7,IF($E$19=pro,'Engine emission factors'!$I7,IF($E$19=select,'Engine emission factors'!$AA7))))))))</f>
        <v>0</v>
      </c>
      <c r="H36" s="42">
        <f t="shared" si="0"/>
        <v>0</v>
      </c>
      <c r="I36" s="40">
        <f t="shared" si="1"/>
        <v>0</v>
      </c>
      <c r="J36" s="44"/>
      <c r="K36" s="3"/>
      <c r="L36" s="3"/>
      <c r="M36" s="211"/>
      <c r="N36" s="3"/>
      <c r="O36" s="3"/>
      <c r="P36" s="3"/>
      <c r="Q36" s="3"/>
      <c r="R36" s="3"/>
      <c r="S36" s="3"/>
      <c r="T36" s="3"/>
    </row>
    <row r="37" spans="2:20" s="6" customFormat="1" ht="15" customHeight="1" x14ac:dyDescent="0.2">
      <c r="B37" s="34" t="s">
        <v>30</v>
      </c>
      <c r="D37" s="35"/>
      <c r="E37" s="36"/>
      <c r="F37" s="37"/>
      <c r="G37" s="38">
        <f>IF($E$19=rd,IF($E$21&gt;=600,'Engine emission factors'!$C8*$E$25,'Engine emission factors'!$B8*$E$25),IF($E$19=rg,'Engine emission factors'!$E8,IF($E$19=tng,'Engine emission factors'!$D8*$E$25,IF($E$19=ngr,'Engine emission factors'!$F8,IF($E$19=ngl,'Engine emission factors'!$G8,IF($E$19=ng2l,'Engine emission factors'!$H8,IF($E$19=pro,'Engine emission factors'!$I8*$E$25,IF($E$19=select,'Engine emission factors'!$AA8))))))))</f>
        <v>0</v>
      </c>
      <c r="H37" s="42">
        <f t="shared" si="0"/>
        <v>0</v>
      </c>
      <c r="I37" s="40">
        <f t="shared" si="1"/>
        <v>0</v>
      </c>
      <c r="J37" s="43">
        <v>1</v>
      </c>
      <c r="K37" s="3"/>
      <c r="L37" s="3"/>
      <c r="M37" s="3"/>
      <c r="N37" s="3"/>
      <c r="O37" s="3"/>
      <c r="P37" s="3"/>
      <c r="Q37" s="3"/>
      <c r="R37" s="3"/>
      <c r="S37" s="3"/>
      <c r="T37" s="3"/>
    </row>
    <row r="38" spans="2:20" s="6" customFormat="1" ht="15" customHeight="1" x14ac:dyDescent="0.2">
      <c r="B38" s="34" t="s">
        <v>31</v>
      </c>
      <c r="D38" s="35"/>
      <c r="E38" s="36"/>
      <c r="F38" s="37"/>
      <c r="G38" s="38">
        <f>IF($E$19=rd,IF($E$21&gt;=600,'Engine emission factors'!$C9,'Engine emission factors'!$B9),IF($E$19=rg,'Engine emission factors'!$E9,IF($E$19=tng,'Engine emission factors'!$D9,IF($E$19=ngr,'Engine emission factors'!$F9,IF($E$19=ngl,'Engine emission factors'!$G9,IF($E$19=ng2l,'Engine emission factors'!$H9,IF($E$19=pro,'Engine emission factors'!$I9,IF($E$19=select,'Engine emission factors'!$AA9))))))))</f>
        <v>0</v>
      </c>
      <c r="H38" s="42">
        <f t="shared" si="0"/>
        <v>0</v>
      </c>
      <c r="I38" s="40">
        <f t="shared" si="1"/>
        <v>0</v>
      </c>
      <c r="J38" s="43">
        <v>1</v>
      </c>
      <c r="K38" s="3"/>
      <c r="L38" s="3"/>
      <c r="M38" s="3"/>
      <c r="N38" s="3"/>
      <c r="O38" s="3"/>
      <c r="P38" s="3"/>
      <c r="Q38" s="3"/>
      <c r="R38" s="3"/>
      <c r="S38" s="3"/>
      <c r="T38" s="3"/>
    </row>
    <row r="39" spans="2:20" s="6" customFormat="1" ht="15" customHeight="1" x14ac:dyDescent="0.2">
      <c r="B39" s="34" t="s">
        <v>32</v>
      </c>
      <c r="D39" s="35"/>
      <c r="E39" s="36"/>
      <c r="F39" s="37"/>
      <c r="G39" s="38">
        <f>IF($E$19=rd,IF($E$21&gt;=600,'Engine emission factors'!$C10,'Engine emission factors'!$B10),IF($E$19=rg,'Engine emission factors'!$E10,IF($E$19=tng,'Engine emission factors'!$D10,IF($E$19=ngr,'Engine emission factors'!$F10,IF($E$19=ngl,'Engine emission factors'!$G10,IF($E$19=ng2l,'Engine emission factors'!$H10,IF($E$19=pro,'Engine emission factors'!$I10,IF($E$19=select,'Engine emission factors'!$AA10))))))))</f>
        <v>0</v>
      </c>
      <c r="H39" s="42">
        <f t="shared" si="0"/>
        <v>0</v>
      </c>
      <c r="I39" s="40">
        <f t="shared" si="1"/>
        <v>0</v>
      </c>
      <c r="J39" s="43">
        <v>1</v>
      </c>
      <c r="K39" s="3"/>
      <c r="L39" s="3"/>
      <c r="M39" s="3"/>
      <c r="N39" s="3"/>
      <c r="O39" s="3"/>
      <c r="P39" s="3"/>
      <c r="Q39" s="3"/>
      <c r="R39" s="3"/>
      <c r="S39" s="3"/>
      <c r="T39" s="3"/>
    </row>
    <row r="40" spans="2:20" s="6" customFormat="1" ht="15" customHeight="1" x14ac:dyDescent="0.2">
      <c r="B40" s="34" t="s">
        <v>33</v>
      </c>
      <c r="D40" s="35"/>
      <c r="E40" s="36"/>
      <c r="F40" s="37"/>
      <c r="G40" s="38">
        <f>IF($E$19=rd,IF($E$21&gt;=600,'Engine emission factors'!$C11,'Engine emission factors'!$B11),IF($E$19=rg,'Engine emission factors'!$E11,IF($E$19=tng,'Engine emission factors'!$D11,IF($E$19=ngr,'Engine emission factors'!$F11,IF($E$19=ngl,'Engine emission factors'!$G11,IF($E$19=ng2l,'Engine emission factors'!$H11,IF($E$19=pro,'Engine emission factors'!$I11,IF($E$19=select,'Engine emission factors'!$AA11))))))))</f>
        <v>0</v>
      </c>
      <c r="H40" s="42">
        <f t="shared" si="0"/>
        <v>0</v>
      </c>
      <c r="I40" s="40">
        <f t="shared" si="1"/>
        <v>0</v>
      </c>
      <c r="J40" s="43">
        <v>2</v>
      </c>
      <c r="K40" s="3"/>
      <c r="L40" s="3"/>
      <c r="M40" s="3"/>
      <c r="N40" s="3"/>
      <c r="O40" s="3"/>
      <c r="P40" s="3"/>
      <c r="Q40" s="3"/>
      <c r="R40" s="3"/>
      <c r="S40" s="3"/>
      <c r="T40" s="3"/>
    </row>
    <row r="41" spans="2:20" s="6" customFormat="1" ht="15" customHeight="1" thickBot="1" x14ac:dyDescent="0.25">
      <c r="B41" s="45" t="s">
        <v>34</v>
      </c>
      <c r="C41" s="46"/>
      <c r="D41" s="47"/>
      <c r="E41" s="48"/>
      <c r="F41" s="49"/>
      <c r="G41" s="50" t="s">
        <v>45</v>
      </c>
      <c r="H41" s="51">
        <v>0</v>
      </c>
      <c r="I41" s="52">
        <v>0</v>
      </c>
      <c r="J41" s="53"/>
      <c r="K41" s="3"/>
      <c r="M41" s="3"/>
      <c r="N41" s="3"/>
      <c r="O41" s="3"/>
      <c r="P41" s="3"/>
      <c r="Q41" s="3"/>
      <c r="R41" s="3"/>
      <c r="S41" s="3"/>
      <c r="T41" s="3"/>
    </row>
    <row r="42" spans="2:20" s="6" customFormat="1" ht="15" customHeight="1" x14ac:dyDescent="0.2">
      <c r="B42" s="75" t="s">
        <v>43</v>
      </c>
      <c r="C42" s="26"/>
      <c r="D42" s="27"/>
      <c r="E42" s="28"/>
      <c r="F42" s="29"/>
      <c r="G42" s="30"/>
      <c r="H42" s="31"/>
      <c r="I42" s="76" t="s">
        <v>54</v>
      </c>
      <c r="J42" s="54"/>
      <c r="K42" s="3"/>
      <c r="L42" s="3"/>
      <c r="M42" s="3"/>
      <c r="N42" s="3"/>
      <c r="O42" s="3"/>
      <c r="P42" s="3"/>
      <c r="Q42" s="3"/>
      <c r="R42" s="3"/>
      <c r="S42" s="3"/>
      <c r="T42" s="3"/>
    </row>
    <row r="43" spans="2:20" s="6" customFormat="1" ht="15" customHeight="1" x14ac:dyDescent="0.3">
      <c r="B43" s="55" t="s">
        <v>156</v>
      </c>
      <c r="C43" s="3">
        <v>1</v>
      </c>
      <c r="D43" s="56"/>
      <c r="E43" s="56"/>
      <c r="F43" s="56"/>
      <c r="G43" s="38">
        <f>IF($E$19=rd,IF($E$21&gt;=600,'Engine emission factors'!$C13,'Engine emission factors'!$B13),IF($E$19=rg,'Engine emission factors'!$E13,IF($E$19=tng,'Engine emission factors'!$D13,IF($E$19=ngr,'Engine emission factors'!$F13,IF($E$19=ngl,'Engine emission factors'!$G13,IF($E$19=ng2l,'Engine emission factors'!$H13,IF($E$19=pro,'Engine emission factors'!$I13,IF($E$19=select,'Engine emission factors'!$AA13))))))))</f>
        <v>0</v>
      </c>
      <c r="H43" s="39">
        <f>$D$32*$F$32*$G43/2000</f>
        <v>0</v>
      </c>
      <c r="I43" s="40">
        <f>($E$32*$G43)/2000</f>
        <v>0</v>
      </c>
      <c r="J43" s="57"/>
      <c r="K43" s="3"/>
      <c r="L43" s="3"/>
      <c r="M43" s="3"/>
      <c r="N43" s="3"/>
      <c r="O43" s="3"/>
      <c r="P43" s="3"/>
      <c r="Q43" s="3"/>
      <c r="R43" s="3"/>
      <c r="S43" s="3"/>
      <c r="T43" s="3"/>
    </row>
    <row r="44" spans="2:20" s="6" customFormat="1" ht="15" customHeight="1" x14ac:dyDescent="0.3">
      <c r="B44" s="55" t="s">
        <v>157</v>
      </c>
      <c r="C44" s="3">
        <v>25</v>
      </c>
      <c r="D44" s="56"/>
      <c r="E44" s="56"/>
      <c r="F44" s="56"/>
      <c r="G44" s="38">
        <f>IF($E$19=rd,IF($E$21&gt;=600,'Engine emission factors'!$C14,'Engine emission factors'!$B14),IF($E$19=rg,'Engine emission factors'!$E14,IF($E$19=tng,'Engine emission factors'!$D14,IF($E$19=ngr,'Engine emission factors'!$F14,IF($E$19=ngl,'Engine emission factors'!$G14,IF($E$19=ng2l,'Engine emission factors'!$H14,IF($E$19=pro,'Engine emission factors'!$I14,IF($E$19=select,'Engine emission factors'!$AA14))))))))</f>
        <v>0</v>
      </c>
      <c r="H44" s="58">
        <f>$D$32*$F$32*$G44/2000</f>
        <v>0</v>
      </c>
      <c r="I44" s="59">
        <f>($E$32*$G44)/2000</f>
        <v>0</v>
      </c>
      <c r="J44" s="57"/>
      <c r="K44" s="212"/>
      <c r="L44" s="212"/>
      <c r="M44" s="3"/>
      <c r="N44" s="3"/>
      <c r="O44" s="3"/>
      <c r="P44" s="3"/>
      <c r="Q44" s="3"/>
      <c r="R44" s="3"/>
      <c r="S44" s="3"/>
      <c r="T44" s="3"/>
    </row>
    <row r="45" spans="2:20" s="6" customFormat="1" ht="15" customHeight="1" x14ac:dyDescent="0.3">
      <c r="B45" s="55" t="s">
        <v>158</v>
      </c>
      <c r="C45" s="3">
        <v>298</v>
      </c>
      <c r="D45" s="56"/>
      <c r="E45" s="56"/>
      <c r="F45" s="56"/>
      <c r="G45" s="38">
        <f>IF($E$19=rd,IF($E$21&gt;=600,'Engine emission factors'!$C15,'Engine emission factors'!$B15),IF($E$19=rg,'Engine emission factors'!$E15,IF($E$19=tng,'Engine emission factors'!$D15,IF($E$19=ngr,'Engine emission factors'!$F15,IF($E$19=ngl,'Engine emission factors'!$G15,IF($E$19=ng2l,'Engine emission factors'!$H15,IF($E$19=pro,'Engine emission factors'!$I15,IF($E$19=select,'Engine emission factors'!$Q15))))))))</f>
        <v>0</v>
      </c>
      <c r="H45" s="58">
        <f>$D$32*$F$32*$G45/2000</f>
        <v>0</v>
      </c>
      <c r="I45" s="59">
        <f>($E$32*$G45)/2000</f>
        <v>0</v>
      </c>
      <c r="J45" s="60"/>
      <c r="K45" s="212"/>
      <c r="L45" s="3"/>
      <c r="O45" s="3"/>
      <c r="P45" s="3"/>
      <c r="Q45" s="3"/>
      <c r="R45" s="3"/>
      <c r="S45" s="3"/>
      <c r="T45" s="3"/>
    </row>
    <row r="46" spans="2:20" s="6" customFormat="1" ht="15" customHeight="1" thickBot="1" x14ac:dyDescent="0.25">
      <c r="B46" s="61"/>
      <c r="C46" s="62"/>
      <c r="D46" s="62"/>
      <c r="E46" s="62"/>
      <c r="F46" s="63" t="s">
        <v>206</v>
      </c>
      <c r="G46" s="64"/>
      <c r="H46" s="51">
        <f>(C43*H43)+(C44*H44)+(C45*H45)</f>
        <v>0</v>
      </c>
      <c r="I46" s="52">
        <f>(C43*I43)+(C44*I44)+(C45*I45)</f>
        <v>0</v>
      </c>
      <c r="J46" s="65">
        <v>1000</v>
      </c>
      <c r="K46" s="212"/>
      <c r="L46" s="3"/>
      <c r="M46" s="3"/>
      <c r="N46" s="3"/>
      <c r="O46" s="3"/>
      <c r="P46" s="3"/>
      <c r="Q46" s="3"/>
      <c r="R46" s="3"/>
      <c r="S46" s="3"/>
      <c r="T46" s="3"/>
    </row>
    <row r="47" spans="2:20" s="6" customFormat="1" ht="15" customHeight="1" x14ac:dyDescent="0.2">
      <c r="B47" s="75" t="s">
        <v>42</v>
      </c>
      <c r="C47" s="26"/>
      <c r="D47" s="27"/>
      <c r="E47" s="28"/>
      <c r="F47" s="29"/>
      <c r="G47" s="474" t="s">
        <v>144</v>
      </c>
      <c r="H47" s="474"/>
      <c r="I47" s="475"/>
      <c r="K47" s="3"/>
      <c r="L47" s="3"/>
      <c r="M47" s="3"/>
      <c r="N47" s="3"/>
      <c r="O47" s="3"/>
      <c r="P47" s="3"/>
      <c r="Q47" s="3"/>
      <c r="R47" s="3"/>
      <c r="S47" s="3"/>
      <c r="T47" s="3"/>
    </row>
    <row r="48" spans="2:20" s="6" customFormat="1" ht="15" customHeight="1" x14ac:dyDescent="0.2">
      <c r="B48" s="66" t="s">
        <v>98</v>
      </c>
      <c r="D48" s="67"/>
      <c r="E48" s="68"/>
      <c r="F48" s="69"/>
      <c r="G48" s="38">
        <f>IF($E$19=rd,IF($E$21&gt;=600,'Engine emission factors'!$C17,'Engine emission factors'!$B17),IF($E$19=rg,'Engine emission factors'!$E17,IF($E$19=tng,'Engine emission factors'!$D17,IF($E$19=ngr,'Engine emission factors'!$F17,IF($E$19=ngl,'Engine emission factors'!$G17,IF($E$19=ng2l,'Engine emission factors'!$H17,IF($E$19=pro,'Engine emission factors'!$I17,IF($E$19=select,'Engine emission factors'!$Q17))))))))</f>
        <v>0</v>
      </c>
      <c r="H48" s="58">
        <f t="shared" ref="H48:H72" si="2">$D$32*$F$32*$G48/2000</f>
        <v>0</v>
      </c>
      <c r="I48" s="59">
        <f>($E$32*$G48)/2000</f>
        <v>0</v>
      </c>
      <c r="K48" s="3"/>
      <c r="L48" s="3"/>
      <c r="M48" s="3"/>
      <c r="N48" s="3"/>
      <c r="O48" s="3"/>
      <c r="P48" s="3"/>
      <c r="Q48" s="3"/>
      <c r="R48" s="3"/>
      <c r="S48" s="3"/>
      <c r="T48" s="3"/>
    </row>
    <row r="49" spans="2:20" s="6" customFormat="1" ht="15" customHeight="1" x14ac:dyDescent="0.2">
      <c r="B49" s="70" t="s">
        <v>99</v>
      </c>
      <c r="D49" s="67"/>
      <c r="E49" s="68"/>
      <c r="F49" s="69"/>
      <c r="G49" s="38">
        <f>IF($E$19=rd,IF($E$21&gt;=600,'Engine emission factors'!$C18,'Engine emission factors'!$B18),IF($E$19=rg,'Engine emission factors'!$E18,IF($E$19=tng,'Engine emission factors'!$D18,IF($E$19=ngr,'Engine emission factors'!$F18,IF($E$19=ngl,'Engine emission factors'!$G18,IF($E$19=ng2l,'Engine emission factors'!$H18,IF($E$19=pro,'Engine emission factors'!$I18,IF($E$19=select,'Engine emission factors'!$Q18))))))))</f>
        <v>0</v>
      </c>
      <c r="H49" s="58">
        <f t="shared" si="2"/>
        <v>0</v>
      </c>
      <c r="I49" s="59">
        <f t="shared" ref="I49:I72" si="3">($E$32*$G49)/2000</f>
        <v>0</v>
      </c>
      <c r="K49" s="3"/>
      <c r="L49" s="3"/>
      <c r="M49" s="3"/>
      <c r="N49" s="3"/>
      <c r="O49" s="3"/>
      <c r="P49" s="3"/>
      <c r="Q49" s="3"/>
      <c r="R49" s="3"/>
      <c r="S49" s="3"/>
      <c r="T49" s="3"/>
    </row>
    <row r="50" spans="2:20" s="6" customFormat="1" ht="15" customHeight="1" x14ac:dyDescent="0.2">
      <c r="B50" s="70" t="s">
        <v>97</v>
      </c>
      <c r="D50" s="67"/>
      <c r="E50" s="68"/>
      <c r="F50" s="69"/>
      <c r="G50" s="38">
        <f>IF($E$19=rd,IF($E$21&gt;=600,'Engine emission factors'!$C19,'Engine emission factors'!$B19),IF($E$19=rg,'Engine emission factors'!$E19,IF($E$19=tng,'Engine emission factors'!$D19,IF($E$19=ngr,'Engine emission factors'!$F19,IF($E$19=ngl,'Engine emission factors'!$G19,IF($E$19=ng2l,'Engine emission factors'!$H19,IF($E$19=pro,'Engine emission factors'!$I19,IF($E$19=select,'Engine emission factors'!$Q19))))))))</f>
        <v>0</v>
      </c>
      <c r="H50" s="58">
        <f t="shared" si="2"/>
        <v>0</v>
      </c>
      <c r="I50" s="59">
        <f t="shared" si="3"/>
        <v>0</v>
      </c>
      <c r="K50" s="3"/>
      <c r="L50" s="3"/>
      <c r="M50" s="3"/>
      <c r="N50" s="3"/>
      <c r="O50" s="3"/>
      <c r="P50" s="3"/>
      <c r="Q50" s="3"/>
      <c r="R50" s="3"/>
      <c r="S50" s="3"/>
      <c r="T50" s="3"/>
    </row>
    <row r="51" spans="2:20" s="6" customFormat="1" ht="15" customHeight="1" x14ac:dyDescent="0.2">
      <c r="B51" s="70" t="s">
        <v>100</v>
      </c>
      <c r="D51" s="67"/>
      <c r="E51" s="68"/>
      <c r="F51" s="69"/>
      <c r="G51" s="38">
        <f>IF($E$19=rd,IF($E$21&gt;=600,'Engine emission factors'!$C20,'Engine emission factors'!$B20),IF($E$19=rg,'Engine emission factors'!$E20,IF($E$19=tng,'Engine emission factors'!$D20,IF($E$19=ngr,'Engine emission factors'!$F20,IF($E$19=ngl,'Engine emission factors'!$G20,IF($E$19=ng2l,'Engine emission factors'!$H20,IF($E$19=pro,'Engine emission factors'!$I20,IF($E$19=select,'Engine emission factors'!$AA20))))))))</f>
        <v>0</v>
      </c>
      <c r="H51" s="58">
        <f t="shared" si="2"/>
        <v>0</v>
      </c>
      <c r="I51" s="59">
        <f t="shared" si="3"/>
        <v>0</v>
      </c>
      <c r="K51" s="3"/>
      <c r="L51" s="3"/>
      <c r="M51" s="3"/>
      <c r="N51" s="3"/>
      <c r="O51" s="3"/>
      <c r="P51" s="3"/>
      <c r="Q51" s="3"/>
      <c r="R51" s="3"/>
      <c r="S51" s="3"/>
      <c r="T51" s="3"/>
    </row>
    <row r="52" spans="2:20" s="6" customFormat="1" ht="15" customHeight="1" x14ac:dyDescent="0.2">
      <c r="B52" s="71" t="s">
        <v>85</v>
      </c>
      <c r="D52" s="67"/>
      <c r="E52" s="68"/>
      <c r="F52" s="69"/>
      <c r="G52" s="38">
        <f>IF($E$19=rd,IF($E$21&gt;=600,'Engine emission factors'!$C21,'Engine emission factors'!$B21),IF($E$19=rg,'Engine emission factors'!$E21,IF($E$19=tng,'Engine emission factors'!$D21,IF($E$19=ngr,'Engine emission factors'!$F21,IF($E$19=ngl,'Engine emission factors'!$G21,IF($E$19=ng2l,'Engine emission factors'!$H21,IF($E$19=pro,'Engine emission factors'!$I21,IF($E$19=select,'Engine emission factors'!$AA21))))))))</f>
        <v>0</v>
      </c>
      <c r="H52" s="58">
        <f t="shared" si="2"/>
        <v>0</v>
      </c>
      <c r="I52" s="59">
        <f t="shared" si="3"/>
        <v>0</v>
      </c>
      <c r="K52" s="3"/>
      <c r="L52" s="3"/>
      <c r="M52" s="3"/>
      <c r="N52" s="3"/>
      <c r="O52" s="3"/>
      <c r="P52" s="3"/>
      <c r="Q52" s="3"/>
      <c r="R52" s="3"/>
      <c r="S52" s="3"/>
      <c r="T52" s="3"/>
    </row>
    <row r="53" spans="2:20" s="6" customFormat="1" ht="15" customHeight="1" x14ac:dyDescent="0.2">
      <c r="B53" s="71" t="s">
        <v>87</v>
      </c>
      <c r="D53" s="67"/>
      <c r="E53" s="68"/>
      <c r="F53" s="69"/>
      <c r="G53" s="38">
        <f>IF($E$19=rd,IF($E$21&gt;=600,'Engine emission factors'!$C22,'Engine emission factors'!$B22),IF($E$19=rg,'Engine emission factors'!$E22,IF($E$19=tng,'Engine emission factors'!$D22,IF($E$19=ngr,'Engine emission factors'!$F22,IF($E$19=ngl,'Engine emission factors'!$G22,IF($E$19=ng2l,'Engine emission factors'!$H22,IF($E$19=pro,'Engine emission factors'!$I22,IF($E$19=select,'Engine emission factors'!$AA22))))))))</f>
        <v>0</v>
      </c>
      <c r="H53" s="58">
        <f t="shared" si="2"/>
        <v>0</v>
      </c>
      <c r="I53" s="59">
        <f t="shared" si="3"/>
        <v>0</v>
      </c>
      <c r="K53" s="3"/>
      <c r="L53" s="3"/>
      <c r="M53" s="3"/>
      <c r="N53" s="3"/>
      <c r="O53" s="3"/>
      <c r="P53" s="3"/>
      <c r="Q53" s="3"/>
      <c r="R53" s="3"/>
      <c r="S53" s="3"/>
      <c r="T53" s="3"/>
    </row>
    <row r="54" spans="2:20" s="6" customFormat="1" ht="15" customHeight="1" x14ac:dyDescent="0.2">
      <c r="B54" s="71" t="s">
        <v>35</v>
      </c>
      <c r="D54" s="67"/>
      <c r="E54" s="68"/>
      <c r="F54" s="69"/>
      <c r="G54" s="38">
        <f>IF($E$19=rd,IF($E$21&gt;=600,'Engine emission factors'!$C23,'Engine emission factors'!$B23),IF($E$19=rg,'Engine emission factors'!$E23,IF($E$19=tng,'Engine emission factors'!$D23,IF($E$19=ngr,'Engine emission factors'!$F23,IF($E$19=ngl,'Engine emission factors'!$G23,IF($E$19=ng2l,'Engine emission factors'!$H23,IF($E$19=pro,'Engine emission factors'!$I23,IF($E$19=select,'Engine emission factors'!$AA23))))))))</f>
        <v>0</v>
      </c>
      <c r="H54" s="58">
        <f t="shared" si="2"/>
        <v>0</v>
      </c>
      <c r="I54" s="59">
        <f t="shared" si="3"/>
        <v>0</v>
      </c>
      <c r="K54" s="3"/>
      <c r="L54" s="3"/>
      <c r="M54" s="3"/>
      <c r="N54" s="3"/>
      <c r="O54" s="3"/>
      <c r="P54" s="3"/>
      <c r="Q54" s="3"/>
      <c r="R54" s="3"/>
      <c r="S54" s="3"/>
      <c r="T54" s="3"/>
    </row>
    <row r="55" spans="2:20" s="6" customFormat="1" ht="15" customHeight="1" x14ac:dyDescent="0.2">
      <c r="B55" s="70" t="s">
        <v>102</v>
      </c>
      <c r="D55" s="67"/>
      <c r="E55" s="68"/>
      <c r="F55" s="69"/>
      <c r="G55" s="38">
        <f>IF($E$19=rd,IF($E$21&gt;=600,'Engine emission factors'!$C24,'Engine emission factors'!$B24),IF($E$19=rg,'Engine emission factors'!$E24,IF($E$19=tng,'Engine emission factors'!$D24,IF($E$19=ngr,'Engine emission factors'!$F24,IF($E$19=ngl,'Engine emission factors'!$G24,IF($E$19=ng2l,'Engine emission factors'!$H24,IF($E$19=pro,'Engine emission factors'!$I24,IF($E$19=select,'Engine emission factors'!$AA24))))))))</f>
        <v>0</v>
      </c>
      <c r="H55" s="58">
        <f t="shared" si="2"/>
        <v>0</v>
      </c>
      <c r="I55" s="59">
        <f t="shared" si="3"/>
        <v>0</v>
      </c>
      <c r="K55" s="3"/>
      <c r="L55" s="3"/>
      <c r="M55" s="3"/>
      <c r="N55" s="3"/>
      <c r="O55" s="3"/>
      <c r="P55" s="3"/>
      <c r="Q55" s="3"/>
      <c r="R55" s="3"/>
      <c r="S55" s="3"/>
      <c r="T55" s="3"/>
    </row>
    <row r="56" spans="2:20" s="6" customFormat="1" ht="15" customHeight="1" x14ac:dyDescent="0.2">
      <c r="B56" s="70" t="s">
        <v>112</v>
      </c>
      <c r="D56" s="67"/>
      <c r="E56" s="68"/>
      <c r="F56" s="69"/>
      <c r="G56" s="38">
        <f>IF($E$19=rd,IF($E$21&gt;=600,'Engine emission factors'!$C25,'Engine emission factors'!$B25),IF($E$19=rg,'Engine emission factors'!$E25,IF($E$19=tng,'Engine emission factors'!$D25,IF($E$19=ngr,'Engine emission factors'!$F25,IF($E$19=ngl,'Engine emission factors'!$G25,IF($E$19=ng2l,'Engine emission factors'!$H25,IF($E$19=pro,'Engine emission factors'!$I25,IF($E$19=select,'Engine emission factors'!$AA25))))))))</f>
        <v>0</v>
      </c>
      <c r="H56" s="58">
        <f t="shared" si="2"/>
        <v>0</v>
      </c>
      <c r="I56" s="59">
        <f t="shared" si="3"/>
        <v>0</v>
      </c>
      <c r="K56" s="3"/>
      <c r="L56" s="3"/>
      <c r="M56" s="3"/>
      <c r="N56" s="3"/>
      <c r="O56" s="3"/>
      <c r="P56" s="3"/>
      <c r="Q56" s="3"/>
      <c r="R56" s="3"/>
      <c r="S56" s="3"/>
      <c r="T56" s="3"/>
    </row>
    <row r="57" spans="2:20" s="6" customFormat="1" ht="15" customHeight="1" x14ac:dyDescent="0.2">
      <c r="B57" s="70" t="s">
        <v>104</v>
      </c>
      <c r="D57" s="67"/>
      <c r="E57" s="68"/>
      <c r="F57" s="69"/>
      <c r="G57" s="38">
        <f>IF($E$19=rd,IF($E$21&gt;=600,'Engine emission factors'!$C26,'Engine emission factors'!$B26),IF($E$19=rg,'Engine emission factors'!$E26,IF($E$19=tng,'Engine emission factors'!$D26,IF($E$19=ngr,'Engine emission factors'!$F26,IF($E$19=ngl,'Engine emission factors'!$G26,IF($E$19=ng2l,'Engine emission factors'!$H26,IF($E$19=pro,'Engine emission factors'!$I26,IF($E$19=select,'Engine emission factors'!$AA26))))))))</f>
        <v>0</v>
      </c>
      <c r="H57" s="58">
        <f t="shared" si="2"/>
        <v>0</v>
      </c>
      <c r="I57" s="59">
        <f t="shared" si="3"/>
        <v>0</v>
      </c>
      <c r="K57" s="3"/>
      <c r="L57" s="3"/>
      <c r="M57" s="3"/>
      <c r="N57" s="3"/>
      <c r="O57" s="3"/>
      <c r="P57" s="3"/>
      <c r="Q57" s="3"/>
      <c r="R57" s="3"/>
      <c r="S57" s="3"/>
      <c r="T57" s="3"/>
    </row>
    <row r="58" spans="2:20" s="6" customFormat="1" ht="15" customHeight="1" x14ac:dyDescent="0.2">
      <c r="B58" s="70" t="s">
        <v>105</v>
      </c>
      <c r="D58" s="67"/>
      <c r="E58" s="68"/>
      <c r="F58" s="69"/>
      <c r="G58" s="38">
        <f>IF($E$19=rd,IF($E$21&gt;=600,'Engine emission factors'!$C27,'Engine emission factors'!$B27),IF($E$19=rg,'Engine emission factors'!$E27,IF($E$19=tng,'Engine emission factors'!$D27,IF($E$19=ngr,'Engine emission factors'!$F27,IF($E$19=ngl,'Engine emission factors'!$G27,IF($E$19=ng2l,'Engine emission factors'!$H27,IF($E$19=pro,'Engine emission factors'!$I27,IF($E$19=select,'Engine emission factors'!$AA27))))))))</f>
        <v>0</v>
      </c>
      <c r="H58" s="58">
        <f t="shared" si="2"/>
        <v>0</v>
      </c>
      <c r="I58" s="59">
        <f t="shared" si="3"/>
        <v>0</v>
      </c>
      <c r="K58" s="3"/>
      <c r="L58" s="3"/>
      <c r="M58" s="3"/>
      <c r="N58" s="3"/>
      <c r="O58" s="3"/>
      <c r="P58" s="3"/>
      <c r="Q58" s="3"/>
      <c r="R58" s="3"/>
      <c r="S58" s="3"/>
      <c r="T58" s="3"/>
    </row>
    <row r="59" spans="2:20" s="6" customFormat="1" ht="15" customHeight="1" x14ac:dyDescent="0.2">
      <c r="B59" s="71" t="s">
        <v>83</v>
      </c>
      <c r="D59" s="67"/>
      <c r="E59" s="68"/>
      <c r="F59" s="69"/>
      <c r="G59" s="38">
        <f>IF($E$19=rd,IF($E$21&gt;=600,'Engine emission factors'!$C28,'Engine emission factors'!$B28),IF($E$19=rg,'Engine emission factors'!$E28,IF($E$19=tng,'Engine emission factors'!$D28,IF($E$19=ngr,'Engine emission factors'!$F28,IF($E$19=ngl,'Engine emission factors'!$G28,IF($E$19=ng2l,'Engine emission factors'!$H28,IF($E$19=pro,'Engine emission factors'!$I28,IF($E$19=select,'Engine emission factors'!$AA28))))))))</f>
        <v>0</v>
      </c>
      <c r="H59" s="58">
        <f t="shared" si="2"/>
        <v>0</v>
      </c>
      <c r="I59" s="59">
        <f t="shared" si="3"/>
        <v>0</v>
      </c>
      <c r="K59" s="3"/>
      <c r="L59" s="3"/>
      <c r="M59" s="3"/>
      <c r="N59" s="3"/>
      <c r="O59" s="3"/>
      <c r="P59" s="3"/>
      <c r="Q59" s="3"/>
      <c r="R59" s="3"/>
      <c r="S59" s="3"/>
      <c r="T59" s="3"/>
    </row>
    <row r="60" spans="2:20" s="6" customFormat="1" ht="15" customHeight="1" x14ac:dyDescent="0.2">
      <c r="B60" s="70" t="s">
        <v>106</v>
      </c>
      <c r="D60" s="67"/>
      <c r="E60" s="68"/>
      <c r="F60" s="69"/>
      <c r="G60" s="38">
        <f>IF($E$19=rd,IF($E$21&gt;=600,'Engine emission factors'!$C29,'Engine emission factors'!$B29),IF($E$19=rg,'Engine emission factors'!$E29,IF($E$19=tng,'Engine emission factors'!$D29,IF($E$19=ngr,'Engine emission factors'!$F29,IF($E$19=ngl,'Engine emission factors'!$G29,IF($E$19=ng2l,'Engine emission factors'!$H29,IF($E$19=pro,'Engine emission factors'!$I29,IF($E$19=select,'Engine emission factors'!$AA29))))))))</f>
        <v>0</v>
      </c>
      <c r="H60" s="58">
        <f t="shared" si="2"/>
        <v>0</v>
      </c>
      <c r="I60" s="59">
        <f t="shared" si="3"/>
        <v>0</v>
      </c>
      <c r="K60" s="3"/>
      <c r="L60" s="3"/>
      <c r="M60" s="3"/>
      <c r="N60" s="3"/>
      <c r="O60" s="3"/>
      <c r="P60" s="3"/>
      <c r="Q60" s="3"/>
      <c r="R60" s="3"/>
      <c r="S60" s="3"/>
      <c r="T60" s="3"/>
    </row>
    <row r="61" spans="2:20" s="6" customFormat="1" ht="15" customHeight="1" x14ac:dyDescent="0.2">
      <c r="B61" s="71" t="s">
        <v>36</v>
      </c>
      <c r="D61" s="67"/>
      <c r="E61" s="68"/>
      <c r="F61" s="69"/>
      <c r="G61" s="38">
        <f>IF($E$19=rd,IF($E$21&gt;=600,'Engine emission factors'!$C30,'Engine emission factors'!$B30),IF($E$19=rg,'Engine emission factors'!$E30,IF($E$19=tng,'Engine emission factors'!$D30,IF($E$19=ngr,'Engine emission factors'!$F30,IF($E$19=ngl,'Engine emission factors'!$G30,IF($E$19=ng2l,'Engine emission factors'!$H30,IF($E$19=pro,'Engine emission factors'!$I30,IF($E$19=select,'Engine emission factors'!$AA30))))))))</f>
        <v>0</v>
      </c>
      <c r="H61" s="58">
        <f t="shared" si="2"/>
        <v>0</v>
      </c>
      <c r="I61" s="59">
        <f t="shared" si="3"/>
        <v>0</v>
      </c>
      <c r="K61" s="3"/>
      <c r="L61" s="3"/>
      <c r="M61" s="3"/>
      <c r="N61" s="3"/>
      <c r="O61" s="3"/>
      <c r="P61" s="3"/>
      <c r="Q61" s="3"/>
      <c r="R61" s="3"/>
      <c r="S61" s="3"/>
      <c r="T61" s="3"/>
    </row>
    <row r="62" spans="2:20" s="6" customFormat="1" ht="15" customHeight="1" x14ac:dyDescent="0.2">
      <c r="B62" s="71" t="s">
        <v>37</v>
      </c>
      <c r="D62" s="67"/>
      <c r="E62" s="68"/>
      <c r="F62" s="69"/>
      <c r="G62" s="38">
        <f>IF($E$19=rd,IF($E$21&gt;=600,'Engine emission factors'!$C31,'Engine emission factors'!$B31),IF($E$19=rg,'Engine emission factors'!$E31,IF($E$19=tng,'Engine emission factors'!$D31,IF($E$19=ngr,'Engine emission factors'!$F31,IF($E$19=ngl,'Engine emission factors'!$G31,IF($E$19=ng2l,'Engine emission factors'!$H31,IF($E$19=pro,'Engine emission factors'!$I31,IF($E$19=select,'Engine emission factors'!$AA31))))))))</f>
        <v>0</v>
      </c>
      <c r="H62" s="58">
        <f t="shared" si="2"/>
        <v>0</v>
      </c>
      <c r="I62" s="59">
        <f t="shared" si="3"/>
        <v>0</v>
      </c>
      <c r="K62" s="3"/>
      <c r="L62" s="3"/>
      <c r="M62" s="3"/>
      <c r="N62" s="3"/>
      <c r="O62" s="3"/>
      <c r="P62" s="3"/>
      <c r="Q62" s="3"/>
      <c r="R62" s="3"/>
      <c r="S62" s="3"/>
      <c r="T62" s="3"/>
    </row>
    <row r="63" spans="2:20" s="6" customFormat="1" ht="15" customHeight="1" x14ac:dyDescent="0.2">
      <c r="B63" s="70" t="s">
        <v>103</v>
      </c>
      <c r="D63" s="67"/>
      <c r="E63" s="68"/>
      <c r="F63" s="69"/>
      <c r="G63" s="38">
        <f>IF($E$19=rd,IF($E$21&gt;=600,'Engine emission factors'!$C32,'Engine emission factors'!$B32),IF($E$19=rg,'Engine emission factors'!$E32,IF($E$19=tng,'Engine emission factors'!$D32,IF($E$19=ngr,'Engine emission factors'!$F32,IF($E$19=ngl,'Engine emission factors'!$G32,IF($E$19=ng2l,'Engine emission factors'!$H32,IF($E$19=pro,'Engine emission factors'!$I32,IF($E$19=select,'Engine emission factors'!$AA32))))))))</f>
        <v>0</v>
      </c>
      <c r="H63" s="58">
        <f t="shared" si="2"/>
        <v>0</v>
      </c>
      <c r="I63" s="59">
        <f t="shared" si="3"/>
        <v>0</v>
      </c>
      <c r="K63" s="3"/>
      <c r="L63" s="3"/>
      <c r="M63" s="3"/>
      <c r="N63" s="3"/>
      <c r="O63" s="3"/>
      <c r="P63" s="3"/>
      <c r="Q63" s="3"/>
      <c r="R63" s="3"/>
      <c r="S63" s="3"/>
      <c r="T63" s="3"/>
    </row>
    <row r="64" spans="2:20" s="6" customFormat="1" ht="15" customHeight="1" x14ac:dyDescent="0.2">
      <c r="B64" s="70" t="s">
        <v>107</v>
      </c>
      <c r="D64" s="67"/>
      <c r="E64" s="68"/>
      <c r="F64" s="69"/>
      <c r="G64" s="38">
        <f>IF($E$19=rd,IF($E$21&gt;=600,'Engine emission factors'!$C33,'Engine emission factors'!$B33),IF($E$19=rg,'Engine emission factors'!$E33,IF($E$19=tng,'Engine emission factors'!$D33,IF($E$19=ngr,'Engine emission factors'!$F33,IF($E$19=ngl,'Engine emission factors'!$G33,IF($E$19=ng2l,'Engine emission factors'!$H33,IF($E$19=pro,'Engine emission factors'!$I33,IF($E$19=select,'Engine emission factors'!$AA33))))))))</f>
        <v>0</v>
      </c>
      <c r="H64" s="58">
        <f t="shared" si="2"/>
        <v>0</v>
      </c>
      <c r="I64" s="59">
        <f t="shared" si="3"/>
        <v>0</v>
      </c>
      <c r="K64" s="3"/>
      <c r="L64" s="3"/>
      <c r="M64" s="3"/>
      <c r="N64" s="3"/>
      <c r="O64" s="3"/>
      <c r="P64" s="3"/>
      <c r="Q64" s="3"/>
      <c r="R64" s="3"/>
      <c r="S64" s="3"/>
      <c r="T64" s="3"/>
    </row>
    <row r="65" spans="2:20" s="6" customFormat="1" ht="15" customHeight="1" x14ac:dyDescent="0.2">
      <c r="B65" s="71" t="s">
        <v>38</v>
      </c>
      <c r="D65" s="67"/>
      <c r="E65" s="68"/>
      <c r="F65" s="69"/>
      <c r="G65" s="38">
        <f>IF($E$19=rd,IF($E$21&gt;=600,'Engine emission factors'!$C34,'Engine emission factors'!$B34),IF($E$19=rg,'Engine emission factors'!$E34,IF($E$19=tng,'Engine emission factors'!$D34,IF($E$19=ngr,'Engine emission factors'!$F34,IF($E$19=ngl,'Engine emission factors'!$G34,IF($E$19=ng2l,'Engine emission factors'!$H34,IF($E$19=pro,'Engine emission factors'!$I34,IF($E$19=select,'Engine emission factors'!$AA34))))))))</f>
        <v>0</v>
      </c>
      <c r="H65" s="58">
        <f t="shared" si="2"/>
        <v>0</v>
      </c>
      <c r="I65" s="59">
        <f t="shared" si="3"/>
        <v>0</v>
      </c>
      <c r="K65" s="3"/>
      <c r="L65" s="3"/>
      <c r="M65" s="3"/>
      <c r="N65" s="3"/>
      <c r="O65" s="3"/>
      <c r="P65" s="3"/>
      <c r="Q65" s="3"/>
      <c r="R65" s="3"/>
      <c r="S65" s="3"/>
      <c r="T65" s="3"/>
    </row>
    <row r="66" spans="2:20" s="6" customFormat="1" ht="15" customHeight="1" x14ac:dyDescent="0.2">
      <c r="B66" s="70" t="s">
        <v>101</v>
      </c>
      <c r="G66" s="38">
        <f>IF($E$19=rd,IF($E$21&gt;=600,'Engine emission factors'!$C35,'Engine emission factors'!$B35),IF($E$19=rg,'Engine emission factors'!$E35,IF($E$19=tng,'Engine emission factors'!$D35,IF($E$19=ngr,'Engine emission factors'!$F35,IF($E$19=ngl,'Engine emission factors'!$G35,IF($E$19=ng2l,'Engine emission factors'!$H35,IF($E$19=pro,'Engine emission factors'!$I35,IF($E$19=select,'Engine emission factors'!$AA35))))))))</f>
        <v>0</v>
      </c>
      <c r="H66" s="58">
        <f t="shared" si="2"/>
        <v>0</v>
      </c>
      <c r="I66" s="59">
        <f t="shared" si="3"/>
        <v>0</v>
      </c>
      <c r="K66" s="3"/>
      <c r="L66" s="3"/>
      <c r="M66" s="3"/>
      <c r="N66" s="3"/>
      <c r="O66" s="3"/>
      <c r="P66" s="3"/>
      <c r="Q66" s="3"/>
      <c r="R66" s="3"/>
      <c r="S66" s="3"/>
      <c r="T66" s="3"/>
    </row>
    <row r="67" spans="2:20" s="6" customFormat="1" ht="15" customHeight="1" x14ac:dyDescent="0.2">
      <c r="B67" s="70" t="s">
        <v>108</v>
      </c>
      <c r="G67" s="38">
        <f>IF($E$19=rd,IF($E$21&gt;=600,'Engine emission factors'!$C36,'Engine emission factors'!$B36),IF($E$19=rg,'Engine emission factors'!$E36,IF($E$19=tng,'Engine emission factors'!$D36,IF($E$19=ngr,'Engine emission factors'!$F36,IF($E$19=ngl,'Engine emission factors'!$G36,IF($E$19=ng2l,'Engine emission factors'!$H36,IF($E$19=pro,'Engine emission factors'!$I36,IF($E$19=select,'Engine emission factors'!$AA36))))))))</f>
        <v>0</v>
      </c>
      <c r="H67" s="58">
        <f t="shared" si="2"/>
        <v>0</v>
      </c>
      <c r="I67" s="59">
        <f t="shared" si="3"/>
        <v>0</v>
      </c>
      <c r="K67" s="3"/>
      <c r="L67" s="3"/>
      <c r="M67" s="3"/>
      <c r="N67" s="3"/>
      <c r="O67" s="3"/>
      <c r="P67" s="3"/>
      <c r="Q67" s="3"/>
      <c r="R67" s="3"/>
      <c r="S67" s="3"/>
      <c r="T67" s="3"/>
    </row>
    <row r="68" spans="2:20" s="6" customFormat="1" ht="15" customHeight="1" x14ac:dyDescent="0.2">
      <c r="B68" s="70" t="s">
        <v>109</v>
      </c>
      <c r="G68" s="38">
        <f>IF($E$19=rd,IF($E$21&gt;=600,'Engine emission factors'!$C37,'Engine emission factors'!$B37),IF($E$19=rg,'Engine emission factors'!$E37,IF($E$19=tng,'Engine emission factors'!$D37,IF($E$19=ngr,'Engine emission factors'!$F37,IF($E$19=ngl,'Engine emission factors'!$G37,IF($E$19=ng2l,'Engine emission factors'!$H37,IF($E$19=pro,'Engine emission factors'!$I37,IF($E$19=select,'Engine emission factors'!$AA37))))))))</f>
        <v>0</v>
      </c>
      <c r="H68" s="58">
        <f t="shared" si="2"/>
        <v>0</v>
      </c>
      <c r="I68" s="59">
        <f t="shared" si="3"/>
        <v>0</v>
      </c>
      <c r="K68" s="3"/>
      <c r="L68" s="3"/>
      <c r="M68" s="3"/>
      <c r="N68" s="3"/>
      <c r="O68" s="3"/>
      <c r="P68" s="3"/>
      <c r="Q68" s="3"/>
      <c r="R68" s="3"/>
      <c r="S68" s="3"/>
      <c r="T68" s="3"/>
    </row>
    <row r="69" spans="2:20" s="6" customFormat="1" ht="15" customHeight="1" x14ac:dyDescent="0.2">
      <c r="B69" s="70" t="s">
        <v>110</v>
      </c>
      <c r="G69" s="38">
        <f>IF($E$19=rd,IF($E$21&gt;=600,'Engine emission factors'!$C38,'Engine emission factors'!$B38),IF($E$19=rg,'Engine emission factors'!$E38,IF($E$19=tng,'Engine emission factors'!$D38,IF($E$19=ngr,'Engine emission factors'!$F38,IF($E$19=ngl,'Engine emission factors'!$G38,IF($E$19=ng2l,'Engine emission factors'!$H38,IF($E$19=pro,'Engine emission factors'!$I38,IF($E$19=select,'Engine emission factors'!$AA38))))))))</f>
        <v>0</v>
      </c>
      <c r="H69" s="58">
        <f t="shared" si="2"/>
        <v>0</v>
      </c>
      <c r="I69" s="59">
        <f t="shared" si="3"/>
        <v>0</v>
      </c>
      <c r="K69" s="3"/>
      <c r="L69" s="3"/>
      <c r="M69" s="3"/>
      <c r="N69" s="3"/>
      <c r="O69" s="3"/>
      <c r="P69" s="3"/>
      <c r="Q69" s="3"/>
      <c r="R69" s="3"/>
      <c r="S69" s="3"/>
      <c r="T69" s="3"/>
    </row>
    <row r="70" spans="2:20" s="6" customFormat="1" ht="15" customHeight="1" x14ac:dyDescent="0.2">
      <c r="B70" s="71" t="s">
        <v>39</v>
      </c>
      <c r="G70" s="38">
        <f>IF($E$19=rd,IF($E$21&gt;=600,'Engine emission factors'!$C39,'Engine emission factors'!$B39),IF($E$19=rg,'Engine emission factors'!$E39,IF($E$19=tng,'Engine emission factors'!$D39,IF($E$19=ngr,'Engine emission factors'!$F39,IF($E$19=ngl,'Engine emission factors'!$G39,IF($E$19=ng2l,'Engine emission factors'!$H39,IF($E$19=pro,'Engine emission factors'!$I39,IF($E$19=select,'Engine emission factors'!$AA39))))))))</f>
        <v>0</v>
      </c>
      <c r="H70" s="58">
        <f t="shared" si="2"/>
        <v>0</v>
      </c>
      <c r="I70" s="59">
        <f t="shared" si="3"/>
        <v>0</v>
      </c>
      <c r="K70" s="3"/>
      <c r="L70" s="3"/>
      <c r="M70" s="3"/>
      <c r="N70" s="3"/>
      <c r="O70" s="3"/>
      <c r="P70" s="3"/>
      <c r="Q70" s="3"/>
      <c r="R70" s="3"/>
      <c r="S70" s="3"/>
      <c r="T70" s="3"/>
    </row>
    <row r="71" spans="2:20" s="6" customFormat="1" ht="15" customHeight="1" x14ac:dyDescent="0.2">
      <c r="B71" s="70" t="s">
        <v>111</v>
      </c>
      <c r="G71" s="38">
        <f>IF($E$19=rd,IF($E$21&gt;=600,'Engine emission factors'!$C40,'Engine emission factors'!$B40),IF($E$19=rg,'Engine emission factors'!$E40,IF($E$19=tng,'Engine emission factors'!$D40,IF($E$19=ngr,'Engine emission factors'!$F40,IF($E$19=ngl,'Engine emission factors'!$G40,IF($E$19=ng2l,'Engine emission factors'!$H40,IF($E$19=pro,'Engine emission factors'!$I40,IF($E$19=select,'Engine emission factors'!$AA40))))))))</f>
        <v>0</v>
      </c>
      <c r="H71" s="58">
        <f t="shared" si="2"/>
        <v>0</v>
      </c>
      <c r="I71" s="59">
        <f t="shared" si="3"/>
        <v>0</v>
      </c>
      <c r="K71" s="3"/>
      <c r="L71" s="3"/>
      <c r="M71" s="3"/>
      <c r="N71" s="3"/>
      <c r="O71" s="3"/>
      <c r="P71" s="3"/>
      <c r="Q71" s="3"/>
      <c r="R71" s="3"/>
      <c r="S71" s="3"/>
      <c r="T71" s="3"/>
    </row>
    <row r="72" spans="2:20" s="6" customFormat="1" ht="15" customHeight="1" x14ac:dyDescent="0.2">
      <c r="B72" s="71" t="s">
        <v>84</v>
      </c>
      <c r="G72" s="38">
        <f>IF($E$19=rd,IF($E$21&gt;=600,'Engine emission factors'!$C41,'Engine emission factors'!$B41),IF($E$19=rg,'Engine emission factors'!$E41,IF($E$19=tng,'Engine emission factors'!$D41,IF($E$19=ngr,'Engine emission factors'!$F41,IF($E$19=ngl,'Engine emission factors'!$G41,IF($E$19=ng2l,'Engine emission factors'!$H41,IF($E$19=pro,'Engine emission factors'!$I41,IF($E$19=select,'Engine emission factors'!$AA41))))))))</f>
        <v>0</v>
      </c>
      <c r="H72" s="58">
        <f t="shared" si="2"/>
        <v>0</v>
      </c>
      <c r="I72" s="59">
        <f t="shared" si="3"/>
        <v>0</v>
      </c>
      <c r="K72" s="3"/>
      <c r="L72" s="3"/>
      <c r="M72" s="3"/>
      <c r="N72" s="3"/>
      <c r="O72" s="3"/>
      <c r="P72" s="3"/>
      <c r="Q72" s="3"/>
      <c r="R72" s="3"/>
      <c r="S72" s="3"/>
      <c r="T72" s="3"/>
    </row>
    <row r="73" spans="2:20" s="6" customFormat="1" ht="15" customHeight="1" thickBot="1" x14ac:dyDescent="0.25">
      <c r="B73" s="61"/>
      <c r="C73" s="62"/>
      <c r="D73" s="62"/>
      <c r="E73" s="62"/>
      <c r="F73" s="63" t="s">
        <v>40</v>
      </c>
      <c r="G73" s="64"/>
      <c r="H73" s="72">
        <f>SUM(H48:H72)</f>
        <v>0</v>
      </c>
      <c r="I73" s="73">
        <f>SUM(I48:I72)</f>
        <v>0</v>
      </c>
      <c r="K73" s="3"/>
      <c r="L73" s="3"/>
      <c r="M73" s="3"/>
      <c r="N73" s="3"/>
      <c r="O73" s="3"/>
      <c r="P73" s="3"/>
      <c r="Q73" s="3"/>
      <c r="R73" s="3"/>
      <c r="S73" s="3"/>
      <c r="T73" s="3"/>
    </row>
    <row r="74" spans="2:20" s="6" customFormat="1" ht="15" customHeight="1" x14ac:dyDescent="0.2">
      <c r="B74" s="476" t="s">
        <v>187</v>
      </c>
      <c r="C74" s="476"/>
      <c r="D74" s="476"/>
      <c r="E74" s="476"/>
      <c r="F74" s="302"/>
      <c r="G74" s="302"/>
      <c r="H74" s="302"/>
      <c r="I74" s="302"/>
      <c r="K74" s="3"/>
      <c r="L74" s="3"/>
      <c r="M74" s="3"/>
      <c r="N74" s="3"/>
      <c r="O74" s="3"/>
      <c r="P74" s="3"/>
      <c r="Q74" s="3"/>
      <c r="R74" s="3"/>
      <c r="S74" s="3"/>
      <c r="T74" s="3"/>
    </row>
    <row r="75" spans="2:20" s="6" customFormat="1" ht="15" customHeight="1" x14ac:dyDescent="0.25">
      <c r="B75" s="463" t="s">
        <v>188</v>
      </c>
      <c r="C75" s="463"/>
      <c r="D75" s="463"/>
      <c r="E75" s="463"/>
      <c r="K75" s="3"/>
      <c r="L75" s="3"/>
      <c r="M75" s="3"/>
      <c r="N75" s="3"/>
      <c r="O75" s="3"/>
      <c r="P75" s="3"/>
      <c r="Q75" s="3"/>
      <c r="R75" s="3"/>
      <c r="S75" s="3"/>
      <c r="T75" s="3"/>
    </row>
    <row r="76" spans="2:20" s="6" customFormat="1" ht="15" customHeight="1" x14ac:dyDescent="0.2">
      <c r="B76" s="282" t="s">
        <v>531</v>
      </c>
      <c r="C76" s="282"/>
      <c r="D76" s="282"/>
      <c r="E76" s="282"/>
      <c r="K76" s="3"/>
      <c r="L76" s="3"/>
      <c r="M76" s="3"/>
      <c r="N76" s="3"/>
      <c r="O76" s="3"/>
      <c r="P76" s="3"/>
      <c r="Q76" s="3"/>
      <c r="R76" s="3"/>
      <c r="S76" s="3"/>
      <c r="T76" s="3"/>
    </row>
    <row r="77" spans="2:20" s="6" customFormat="1" ht="15" customHeight="1" x14ac:dyDescent="0.25">
      <c r="B77" s="283" t="s">
        <v>419</v>
      </c>
      <c r="C77" s="284"/>
      <c r="D77" s="284"/>
      <c r="E77" s="284"/>
      <c r="F77"/>
      <c r="G77" s="281" t="s">
        <v>190</v>
      </c>
      <c r="H77" s="281"/>
      <c r="I77"/>
      <c r="J77"/>
      <c r="K77" s="3"/>
      <c r="L77" s="3"/>
      <c r="M77" s="3"/>
      <c r="N77" s="3"/>
      <c r="O77" s="3"/>
      <c r="P77" s="3"/>
      <c r="Q77" s="3"/>
      <c r="R77" s="3"/>
      <c r="S77" s="3"/>
      <c r="T77" s="3"/>
    </row>
    <row r="78" spans="2:20" ht="15" customHeight="1" x14ac:dyDescent="0.25">
      <c r="B78" s="215"/>
      <c r="C78" s="215"/>
      <c r="D78" s="215"/>
      <c r="E78" s="215"/>
    </row>
    <row r="79" spans="2:20" x14ac:dyDescent="0.25">
      <c r="D79" s="215"/>
      <c r="E79" s="215"/>
      <c r="F79" s="1"/>
      <c r="G79" s="1"/>
      <c r="H79" s="1"/>
      <c r="I79" s="1"/>
    </row>
    <row r="413" hidden="1" x14ac:dyDescent="0.25"/>
  </sheetData>
  <protectedRanges>
    <protectedRange sqref="B22 N28:Q29 C11:C13 M33:M36 J21:J26 E21:E24 F5:F6 A14:A19 R22:W27 P24:Q27 K22:K27" name="Range2"/>
    <protectedRange sqref="O28:Q410 L42:L406 N28:N44 M32:M44 M46:N410 J25:J407 A5:B7 L34:L40 B19:C20 H11:H12 A26:A408 B25:I73 B80:I407 B74:E76 D77:I79 B77:C78 L6:L8 G5:I8 C5:D8 M5:XFD8 A1:XFD4 C10:E10 A8:A10 D11:E13 G11:G13 C9:XFD9 G10:L10 I11:L13 K14:L19 R10:XFD21 R26:XFD408 M10:Q23 M24:O27 B14:I18 A20:A21 K20:K21 K26:K408 E19:J19 E20 G20:J20" name="Range1"/>
    <protectedRange sqref="D19:D20" name="Range1_2"/>
    <protectedRange sqref="F20" name="Range1_3"/>
  </protectedRanges>
  <mergeCells count="27">
    <mergeCell ref="B75:E75"/>
    <mergeCell ref="H29:H30"/>
    <mergeCell ref="I29:I30"/>
    <mergeCell ref="J29:J30"/>
    <mergeCell ref="J31:J32"/>
    <mergeCell ref="G47:I47"/>
    <mergeCell ref="B74:E74"/>
    <mergeCell ref="B29:B30"/>
    <mergeCell ref="C29:C30"/>
    <mergeCell ref="D29:D30"/>
    <mergeCell ref="E29:E30"/>
    <mergeCell ref="F29:F30"/>
    <mergeCell ref="G29:G30"/>
    <mergeCell ref="B25:D25"/>
    <mergeCell ref="F25:I25"/>
    <mergeCell ref="B26:I26"/>
    <mergeCell ref="B27:I27"/>
    <mergeCell ref="B22:D22"/>
    <mergeCell ref="C8:D8"/>
    <mergeCell ref="E19:F19"/>
    <mergeCell ref="G19:H19"/>
    <mergeCell ref="B1:J1"/>
    <mergeCell ref="B2:J2"/>
    <mergeCell ref="B3:I3"/>
    <mergeCell ref="C5:D5"/>
    <mergeCell ref="C6:D6"/>
    <mergeCell ref="C7:D7"/>
  </mergeCells>
  <conditionalFormatting sqref="G34:G41 G43:G45 G48:G72">
    <cfRule type="cellIs" dxfId="34" priority="1" operator="equal">
      <formula>0</formula>
    </cfRule>
  </conditionalFormatting>
  <conditionalFormatting sqref="E23:E24">
    <cfRule type="containsBlanks" dxfId="33" priority="2">
      <formula>LEN(TRIM(E23))=0</formula>
    </cfRule>
  </conditionalFormatting>
  <dataValidations count="4">
    <dataValidation allowBlank="1" showErrorMessage="1" sqref="E21:E31 B21:D21 D32:E32 F21:I32 D23:D31 B23:C32" xr:uid="{00000000-0002-0000-0600-000000000000}"/>
    <dataValidation type="list" allowBlank="1" showInputMessage="1" showErrorMessage="1" sqref="B11:B13" xr:uid="{00000000-0002-0000-0600-000001000000}">
      <formula1>"Choose one, Yes, No"</formula1>
    </dataValidation>
    <dataValidation type="list" allowBlank="1" showInputMessage="1" showErrorMessage="1" sqref="B16" xr:uid="{00000000-0002-0000-0600-000002000000}">
      <formula1>"Choose one, Yes - NSPS, Yes - NESHAP, No"</formula1>
    </dataValidation>
    <dataValidation type="list" allowBlank="1" showInputMessage="1" showErrorMessage="1" sqref="G8" xr:uid="{00000000-0002-0000-0600-000003000000}">
      <formula1>"Choose one, Tier 1, Tier 2, Tier 3, Tier 4, other"</formula1>
    </dataValidation>
  </dataValidations>
  <hyperlinks>
    <hyperlink ref="I42" r:id="rId1" xr:uid="{00000000-0004-0000-0600-000000000000}"/>
    <hyperlink ref="G77:H77" r:id="rId2" display="Minn. R. 7007.1300, subp. 3(I)" xr:uid="{00000000-0004-0000-0600-000001000000}"/>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47" min="1" max="9" man="1"/>
  </rowBreaks>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Incorrect Entry" error="Please choose from the drop down list._x000a__x000a_----&gt; Press CANCEL" xr:uid="{00000000-0002-0000-0600-000004000000}">
          <x14:formula1>
            <xm:f>'Data validation'!$A$6:$A$13</xm:f>
          </x14:formula1>
          <xm:sqref>E19:F19</xm:sqref>
        </x14:dataValidation>
        <x14:dataValidation type="list" errorStyle="information" allowBlank="1" showInputMessage="1" showErrorMessage="1" errorTitle="Incorrect Entry" error="Please choose from the drop down list._x000a__x000a_----&gt; Press CANCEL" xr:uid="{00000000-0002-0000-0600-000005000000}">
          <x14:formula1>
            <xm:f>'Data validation'!$A$17:$A$19</xm:f>
          </x14:formula1>
          <xm:sqref>E20</xm:sqref>
        </x14:dataValidation>
        <x14:dataValidation type="list" allowBlank="1" showErrorMessage="1" xr:uid="{00000000-0002-0000-0600-000006000000}">
          <x14:formula1>
            <xm:f>'Data validation'!$B$5:$B$7</xm:f>
          </x14:formula1>
          <xm:sqref>B22:D22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D1EAFF"/>
    <pageSetUpPr fitToPage="1"/>
  </sheetPr>
  <dimension ref="A1:T413"/>
  <sheetViews>
    <sheetView showGridLines="0" zoomScaleNormal="100" zoomScaleSheetLayoutView="100" zoomScalePageLayoutView="85" workbookViewId="0">
      <selection activeCell="C5" sqref="C5:D5"/>
    </sheetView>
  </sheetViews>
  <sheetFormatPr defaultRowHeight="15" x14ac:dyDescent="0.25"/>
  <cols>
    <col min="1" max="1" width="5.140625" customWidth="1"/>
    <col min="2" max="2" width="21.140625" customWidth="1"/>
    <col min="3" max="3" width="9" customWidth="1"/>
    <col min="4" max="5" width="17.85546875" customWidth="1"/>
    <col min="6" max="6" width="19.28515625" customWidth="1"/>
    <col min="7" max="9" width="17.85546875" customWidth="1"/>
    <col min="10" max="10" width="16" customWidth="1"/>
    <col min="11" max="13" width="12" style="3" customWidth="1"/>
    <col min="14" max="18" width="9.140625" style="3"/>
    <col min="19" max="20" width="9.140625" style="210"/>
  </cols>
  <sheetData>
    <row r="1" spans="1:20" x14ac:dyDescent="0.25">
      <c r="B1" s="439" t="str">
        <f>Instructions!O3</f>
        <v>p-sbap5-25  •  12/13/23</v>
      </c>
      <c r="C1" s="439"/>
      <c r="D1" s="439"/>
      <c r="E1" s="439"/>
      <c r="F1" s="439"/>
      <c r="G1" s="439"/>
      <c r="H1" s="439"/>
      <c r="I1" s="439"/>
      <c r="J1" s="439"/>
    </row>
    <row r="2" spans="1:20" ht="19.5" thickBot="1" x14ac:dyDescent="0.3">
      <c r="B2" s="413" t="s">
        <v>129</v>
      </c>
      <c r="C2" s="413"/>
      <c r="D2" s="413"/>
      <c r="E2" s="413"/>
      <c r="F2" s="413"/>
      <c r="G2" s="413"/>
      <c r="H2" s="413"/>
      <c r="I2" s="413"/>
      <c r="J2" s="413"/>
      <c r="K2"/>
      <c r="L2"/>
      <c r="M2"/>
      <c r="N2"/>
      <c r="O2"/>
      <c r="P2"/>
      <c r="Q2"/>
      <c r="R2"/>
      <c r="S2"/>
      <c r="T2"/>
    </row>
    <row r="3" spans="1:20" s="6" customFormat="1" ht="14.25" x14ac:dyDescent="0.2">
      <c r="B3" s="486" t="s">
        <v>277</v>
      </c>
      <c r="C3" s="486"/>
      <c r="D3" s="486"/>
      <c r="E3" s="486"/>
      <c r="F3" s="486"/>
      <c r="G3" s="486"/>
      <c r="H3" s="486"/>
      <c r="I3" s="486"/>
      <c r="J3" s="9"/>
    </row>
    <row r="4" spans="1:20" s="6" customFormat="1" x14ac:dyDescent="0.25">
      <c r="B4" s="278"/>
      <c r="C4" s="233"/>
      <c r="D4" s="233"/>
      <c r="E4" s="233"/>
      <c r="F4" s="233"/>
      <c r="G4" s="233"/>
      <c r="H4" s="233"/>
      <c r="I4" s="233"/>
      <c r="J4" s="9"/>
    </row>
    <row r="5" spans="1:20" s="6" customFormat="1" ht="14.25" x14ac:dyDescent="0.2">
      <c r="B5" s="347" t="s">
        <v>267</v>
      </c>
      <c r="C5" s="484" t="s">
        <v>76</v>
      </c>
      <c r="D5" s="485"/>
      <c r="E5" s="3"/>
      <c r="F5" s="347" t="s">
        <v>270</v>
      </c>
      <c r="G5" s="301"/>
      <c r="H5" s="3" t="s">
        <v>420</v>
      </c>
      <c r="I5" s="226"/>
    </row>
    <row r="6" spans="1:20" s="6" customFormat="1" ht="14.25" x14ac:dyDescent="0.2">
      <c r="B6" s="347" t="s">
        <v>226</v>
      </c>
      <c r="C6" s="484"/>
      <c r="D6" s="485"/>
      <c r="E6" s="3"/>
      <c r="F6" s="347" t="s">
        <v>271</v>
      </c>
      <c r="G6" s="301"/>
      <c r="H6" s="3" t="s">
        <v>274</v>
      </c>
      <c r="I6" s="226"/>
    </row>
    <row r="7" spans="1:20" s="6" customFormat="1" ht="14.25" x14ac:dyDescent="0.2">
      <c r="B7" s="347" t="s">
        <v>227</v>
      </c>
      <c r="C7" s="484"/>
      <c r="D7" s="485"/>
      <c r="E7" s="3"/>
      <c r="F7" s="347" t="s">
        <v>272</v>
      </c>
      <c r="G7" s="301"/>
      <c r="H7" s="3" t="s">
        <v>275</v>
      </c>
      <c r="I7" s="226"/>
    </row>
    <row r="8" spans="1:20" s="6" customFormat="1" ht="14.25" x14ac:dyDescent="0.2">
      <c r="B8" s="347" t="s">
        <v>269</v>
      </c>
      <c r="C8" s="484"/>
      <c r="D8" s="485"/>
      <c r="E8" s="3" t="s">
        <v>268</v>
      </c>
      <c r="F8" s="347" t="s">
        <v>273</v>
      </c>
      <c r="G8" s="301" t="s">
        <v>178</v>
      </c>
      <c r="H8" s="3" t="s">
        <v>276</v>
      </c>
      <c r="I8" s="226"/>
    </row>
    <row r="9" spans="1:20" s="6" customFormat="1" ht="14.25" x14ac:dyDescent="0.2">
      <c r="B9" s="3"/>
      <c r="C9" s="275"/>
      <c r="D9" s="275"/>
      <c r="E9" s="275"/>
      <c r="F9" s="275"/>
      <c r="G9" s="275"/>
      <c r="H9" s="275"/>
      <c r="I9" s="275"/>
      <c r="J9" s="9"/>
      <c r="K9" s="9"/>
    </row>
    <row r="10" spans="1:20" s="6" customFormat="1" ht="14.25" x14ac:dyDescent="0.2">
      <c r="B10" s="344" t="s">
        <v>500</v>
      </c>
      <c r="C10" s="275"/>
      <c r="D10" s="275"/>
      <c r="E10" s="275"/>
      <c r="G10" s="9"/>
    </row>
    <row r="11" spans="1:20" s="6" customFormat="1" ht="14.25" x14ac:dyDescent="0.2">
      <c r="B11" s="277" t="s">
        <v>178</v>
      </c>
      <c r="C11" s="348" t="s">
        <v>263</v>
      </c>
      <c r="D11" s="275"/>
      <c r="E11" s="275"/>
      <c r="G11" s="9"/>
      <c r="H11" s="344"/>
    </row>
    <row r="12" spans="1:20" s="6" customFormat="1" ht="14.25" x14ac:dyDescent="0.2">
      <c r="B12" s="216" t="s">
        <v>178</v>
      </c>
      <c r="C12" s="348" t="s">
        <v>264</v>
      </c>
      <c r="D12" s="275"/>
      <c r="E12" s="275"/>
      <c r="G12" s="9"/>
      <c r="H12" s="348"/>
    </row>
    <row r="13" spans="1:20" s="6" customFormat="1" ht="15.75" customHeight="1" x14ac:dyDescent="0.2">
      <c r="B13" s="216" t="s">
        <v>178</v>
      </c>
      <c r="C13" s="348" t="s">
        <v>265</v>
      </c>
      <c r="D13" s="275"/>
      <c r="E13" s="275"/>
      <c r="G13" s="9"/>
    </row>
    <row r="14" spans="1:20" s="6" customFormat="1" ht="15.75" customHeight="1" x14ac:dyDescent="0.2">
      <c r="A14" s="348"/>
      <c r="B14" s="275"/>
      <c r="C14" s="275"/>
      <c r="D14" s="275"/>
      <c r="E14" s="275"/>
      <c r="F14" s="275"/>
      <c r="G14" s="275"/>
      <c r="H14" s="9"/>
      <c r="I14" s="9"/>
    </row>
    <row r="15" spans="1:20" s="6" customFormat="1" ht="15.75" customHeight="1" x14ac:dyDescent="0.2">
      <c r="A15" s="348"/>
      <c r="B15" s="344" t="s">
        <v>421</v>
      </c>
      <c r="C15" s="275"/>
      <c r="D15" s="275"/>
      <c r="E15" s="275"/>
      <c r="F15" s="275"/>
      <c r="G15" s="275"/>
      <c r="H15" s="9"/>
      <c r="I15" s="9"/>
    </row>
    <row r="16" spans="1:20" s="6" customFormat="1" ht="15.75" customHeight="1" x14ac:dyDescent="0.2">
      <c r="A16" s="348"/>
      <c r="B16" s="277" t="s">
        <v>178</v>
      </c>
      <c r="C16" s="348" t="s">
        <v>422</v>
      </c>
      <c r="D16" s="275"/>
      <c r="E16" s="275"/>
      <c r="F16" s="275"/>
      <c r="G16" s="275"/>
      <c r="H16" s="9"/>
      <c r="I16" s="9"/>
    </row>
    <row r="17" spans="1:20" s="6" customFormat="1" ht="15.75" customHeight="1" x14ac:dyDescent="0.2">
      <c r="A17" s="348"/>
      <c r="B17" s="344"/>
      <c r="C17" s="286"/>
      <c r="D17" s="275"/>
      <c r="E17" s="275"/>
      <c r="F17" s="275"/>
      <c r="G17" s="275"/>
      <c r="H17" s="9"/>
      <c r="I17" s="9"/>
    </row>
    <row r="18" spans="1:20" s="6" customFormat="1" ht="15.75" customHeight="1" x14ac:dyDescent="0.25">
      <c r="A18" s="348"/>
      <c r="B18" s="287" t="s">
        <v>423</v>
      </c>
      <c r="C18" s="286"/>
      <c r="D18" s="275"/>
      <c r="E18" s="275"/>
      <c r="F18" s="275"/>
      <c r="G18" s="275"/>
      <c r="H18" s="9"/>
      <c r="I18" s="9"/>
    </row>
    <row r="19" spans="1:20" s="6" customFormat="1" ht="15.75" customHeight="1" x14ac:dyDescent="0.25">
      <c r="A19" s="348"/>
      <c r="B19" s="357"/>
      <c r="C19" s="357"/>
      <c r="D19" s="346" t="s">
        <v>130</v>
      </c>
      <c r="E19" s="480" t="s">
        <v>178</v>
      </c>
      <c r="F19" s="481"/>
      <c r="G19" s="482"/>
      <c r="H19" s="482"/>
      <c r="I19" s="233"/>
    </row>
    <row r="20" spans="1:20" s="6" customFormat="1" ht="15" customHeight="1" x14ac:dyDescent="0.2">
      <c r="B20" s="357"/>
      <c r="C20" s="357"/>
      <c r="D20" s="346" t="s">
        <v>131</v>
      </c>
      <c r="E20" s="216" t="s">
        <v>178</v>
      </c>
      <c r="F20" s="359"/>
      <c r="G20" s="358"/>
      <c r="H20" s="358"/>
      <c r="I20" s="358"/>
      <c r="J20" s="9"/>
      <c r="K20" s="3"/>
    </row>
    <row r="21" spans="1:20" s="6" customFormat="1" ht="15" customHeight="1" x14ac:dyDescent="0.2">
      <c r="B21" s="357"/>
      <c r="C21" s="357"/>
      <c r="D21" s="346" t="str">
        <f>IF($E$19='Data validation'!$A$6," ",IF(OR($E$19=rd,$E$19=rg),"Rated mechanical output",IF(OR($E$19=pro,OR($E$19=ngl,OR($E$19=ngr,OR($E$19=tng,$E$19=ng2l)))),"Rated fuel input"," ")))</f>
        <v xml:space="preserve"> </v>
      </c>
      <c r="E21" s="74">
        <v>0</v>
      </c>
      <c r="F21" s="358" t="str">
        <f>IF($D$21=" "," ",IF($D$21="Rated mechanical output",'Data validation'!$A$24,IF(AND($D$21="Rated fuel input",$E$19=pro),'Data validation'!$A$26,'Data validation'!$A$25)))</f>
        <v xml:space="preserve"> </v>
      </c>
      <c r="G21" s="358"/>
      <c r="H21" s="358"/>
      <c r="I21" s="358"/>
      <c r="J21" s="9"/>
      <c r="K21" s="9"/>
      <c r="R21" s="3"/>
      <c r="S21" s="3"/>
      <c r="T21" s="3"/>
    </row>
    <row r="22" spans="1:20" s="6" customFormat="1" ht="15" customHeight="1" x14ac:dyDescent="0.2">
      <c r="B22" s="477" t="s">
        <v>214</v>
      </c>
      <c r="C22" s="478"/>
      <c r="D22" s="479"/>
      <c r="E22" s="74">
        <v>0</v>
      </c>
      <c r="F22" s="359" t="str">
        <f>IF($B$22='Data validation'!$B$5," ",IF($B$22='Data validation'!$B$6,'Data validation'!$B$11,IF(AND($B$22='Data validation'!$B$7,OR($E$19=tng,OR($E$19=ngl,OR($E$19=ngr,OR($E$19=ng2l))))),'Data validation'!$B$12,IF(AND($B$22='Data validation'!$B$7,OR($E$19=rd,OR($E$19=rg,OR($E$19=pro)))),'Data validation'!$B$13," "))))</f>
        <v xml:space="preserve"> </v>
      </c>
      <c r="G22" s="358"/>
      <c r="H22" s="358"/>
      <c r="I22" s="358"/>
      <c r="J22" s="9"/>
      <c r="K22" s="9"/>
      <c r="R22" s="3"/>
      <c r="S22" s="3"/>
      <c r="T22" s="3"/>
    </row>
    <row r="23" spans="1:20" s="6" customFormat="1" ht="15" customHeight="1" x14ac:dyDescent="0.2">
      <c r="B23" s="332"/>
      <c r="C23" s="332"/>
      <c r="D23" s="345" t="str">
        <f>IF($F$21=" "," ",IF($F$21='Data validation'!$A$24,'Data validation'!$A$29,IF(OR($F$21='Data validation'!$A$25,$F$21='Data validation'!$A$26),'Data validation'!$A$30)))</f>
        <v xml:space="preserve"> </v>
      </c>
      <c r="E23" s="145" t="str">
        <f>IF(E19='Data validation'!A6," ",IF(E19=rd,'Engine emission factors'!F53,IF(E19=rg,'Engine emission factors'!F54,IF(OR(E19=ngl,OR(E19=ngr,OR(E19=tng,E19=NGC2))),'Engine emission factors'!G52,IF(E19=pro,'Engine emission factors'!H55," ")))))</f>
        <v xml:space="preserve"> </v>
      </c>
      <c r="F23" s="280" t="str">
        <f>IF($D$23=" "," ",IF($D$23='Data validation'!$A$29,"(Btu/HP-hr)",IF(AND($D$23='Data validation'!$A$30,$E$19=pro),"(Btu/gal)",IF($D$23='Data validation'!$A$30,"(Btu/scf)"))))</f>
        <v xml:space="preserve"> </v>
      </c>
      <c r="G23" s="280"/>
      <c r="H23" s="280"/>
      <c r="I23" s="280"/>
      <c r="J23" s="9"/>
      <c r="K23" s="9"/>
      <c r="M23" s="3"/>
      <c r="N23" s="3"/>
      <c r="O23" s="3"/>
      <c r="P23" s="3"/>
      <c r="Q23" s="3"/>
      <c r="R23" s="3"/>
      <c r="S23" s="3"/>
      <c r="T23" s="3"/>
    </row>
    <row r="24" spans="1:20" s="6" customFormat="1" ht="15" customHeight="1" x14ac:dyDescent="0.2">
      <c r="B24" s="332"/>
      <c r="C24" s="332"/>
      <c r="D24" s="345" t="str">
        <f>IF($E$19='Data validation'!$A$6," ",IF($E$19=rd,"Heat value of fuel",IF($E$19=rg,"Heat value of fuel"," ")))</f>
        <v xml:space="preserve"> </v>
      </c>
      <c r="E24" s="145" t="str">
        <f>IF(E19=rd,'Engine emission factors'!H53,IF(E19=rg,'Engine emission factors'!H54," "))</f>
        <v xml:space="preserve"> </v>
      </c>
      <c r="F24" s="280" t="str">
        <f>IF($E$19='Data validation'!$A$6," ",IF($E$19=rd,"(Btu/gal)",IF($E$19=rg,"(Btu/gal)"," ")))</f>
        <v xml:space="preserve"> </v>
      </c>
      <c r="G24" s="280"/>
      <c r="H24" s="280"/>
      <c r="I24" s="280"/>
      <c r="J24" s="9"/>
      <c r="K24" s="9"/>
      <c r="P24" s="3"/>
      <c r="Q24" s="3"/>
      <c r="R24" s="3"/>
      <c r="S24" s="3"/>
      <c r="T24" s="3"/>
    </row>
    <row r="25" spans="1:20" s="6" customFormat="1" ht="15" customHeight="1" x14ac:dyDescent="0.2">
      <c r="B25" s="483" t="s">
        <v>132</v>
      </c>
      <c r="C25" s="483"/>
      <c r="D25" s="483"/>
      <c r="E25" s="207" t="str">
        <f>IF(E19=rd,"0.0015",IF(E19=pro,"0.54",IF(E19=tng,"0.00065","NA")))</f>
        <v>NA</v>
      </c>
      <c r="F25" s="487" t="str">
        <f>IF(OR(E19=rd,E19=tng),"%",IF(E19=pro,"gr/100ft3",""))</f>
        <v/>
      </c>
      <c r="G25" s="487"/>
      <c r="H25" s="487"/>
      <c r="I25" s="487"/>
      <c r="J25" s="9"/>
      <c r="K25" s="9"/>
      <c r="P25" s="3"/>
      <c r="Q25" s="3"/>
      <c r="R25" s="3"/>
      <c r="S25" s="3"/>
      <c r="T25" s="3"/>
    </row>
    <row r="26" spans="1:20" s="6" customFormat="1" ht="15" customHeight="1" x14ac:dyDescent="0.2">
      <c r="B26" s="464"/>
      <c r="C26" s="464"/>
      <c r="D26" s="464"/>
      <c r="E26" s="464"/>
      <c r="F26" s="464"/>
      <c r="G26" s="464"/>
      <c r="H26" s="464"/>
      <c r="I26" s="464"/>
      <c r="J26" s="9"/>
      <c r="K26" s="9"/>
      <c r="P26" s="3"/>
      <c r="Q26" s="3"/>
      <c r="R26" s="3"/>
      <c r="S26" s="3"/>
      <c r="T26" s="3"/>
    </row>
    <row r="27" spans="1:20" s="6" customFormat="1" ht="15" customHeight="1" thickBot="1" x14ac:dyDescent="0.25">
      <c r="B27" s="465" t="s">
        <v>133</v>
      </c>
      <c r="C27" s="465"/>
      <c r="D27" s="465"/>
      <c r="E27" s="465"/>
      <c r="F27" s="465"/>
      <c r="G27" s="465"/>
      <c r="H27" s="465"/>
      <c r="I27" s="465"/>
      <c r="J27" s="9"/>
      <c r="K27" s="9"/>
      <c r="P27" s="3"/>
      <c r="Q27" s="3"/>
      <c r="R27" s="3"/>
      <c r="S27" s="3"/>
      <c r="T27" s="3"/>
    </row>
    <row r="28" spans="1:20" s="6" customFormat="1" ht="15" customHeight="1" x14ac:dyDescent="0.2">
      <c r="B28" s="10"/>
      <c r="C28" s="11" t="s">
        <v>16</v>
      </c>
      <c r="D28" s="12" t="s">
        <v>17</v>
      </c>
      <c r="E28" s="12" t="s">
        <v>18</v>
      </c>
      <c r="F28" s="11" t="s">
        <v>19</v>
      </c>
      <c r="G28" s="11" t="s">
        <v>20</v>
      </c>
      <c r="H28" s="13"/>
      <c r="I28" s="14"/>
      <c r="J28" s="15"/>
      <c r="K28" s="9"/>
      <c r="N28" s="3"/>
      <c r="O28" s="3"/>
      <c r="P28" s="3"/>
      <c r="Q28" s="3"/>
      <c r="R28" s="3"/>
      <c r="S28" s="3"/>
      <c r="T28" s="3"/>
    </row>
    <row r="29" spans="1:20" s="6" customFormat="1" ht="15" customHeight="1" x14ac:dyDescent="0.2">
      <c r="B29" s="472" t="s">
        <v>21</v>
      </c>
      <c r="C29" s="473" t="s">
        <v>205</v>
      </c>
      <c r="D29" s="471" t="s">
        <v>186</v>
      </c>
      <c r="E29" s="471" t="s">
        <v>213</v>
      </c>
      <c r="F29" s="471" t="s">
        <v>207</v>
      </c>
      <c r="G29" s="471" t="s">
        <v>22</v>
      </c>
      <c r="H29" s="469" t="s">
        <v>23</v>
      </c>
      <c r="I29" s="470" t="s">
        <v>24</v>
      </c>
      <c r="J29" s="468" t="s">
        <v>204</v>
      </c>
      <c r="K29" s="9"/>
      <c r="N29" s="3"/>
      <c r="O29" s="3"/>
      <c r="P29" s="3"/>
      <c r="Q29" s="3"/>
      <c r="R29" s="3"/>
      <c r="S29" s="3"/>
      <c r="T29" s="3"/>
    </row>
    <row r="30" spans="1:20" s="6" customFormat="1" ht="15" customHeight="1" x14ac:dyDescent="0.2">
      <c r="B30" s="472"/>
      <c r="C30" s="473"/>
      <c r="D30" s="471"/>
      <c r="E30" s="471"/>
      <c r="F30" s="471"/>
      <c r="G30" s="471"/>
      <c r="H30" s="469"/>
      <c r="I30" s="470"/>
      <c r="J30" s="468"/>
      <c r="K30" s="9"/>
      <c r="N30" s="3"/>
      <c r="O30" s="3"/>
      <c r="P30" s="3"/>
      <c r="Q30" s="3"/>
      <c r="R30" s="3"/>
      <c r="S30" s="3"/>
      <c r="T30" s="3"/>
    </row>
    <row r="31" spans="1:20" s="6" customFormat="1" ht="15" customHeight="1" x14ac:dyDescent="0.2">
      <c r="B31" s="16"/>
      <c r="C31" s="17"/>
      <c r="D31" s="18" t="s">
        <v>222</v>
      </c>
      <c r="E31" s="18" t="s">
        <v>209</v>
      </c>
      <c r="F31" s="19" t="s">
        <v>25</v>
      </c>
      <c r="G31" s="19" t="s">
        <v>94</v>
      </c>
      <c r="H31" s="20" t="s">
        <v>26</v>
      </c>
      <c r="I31" s="21" t="s">
        <v>27</v>
      </c>
      <c r="J31" s="466" t="s">
        <v>27</v>
      </c>
      <c r="K31" s="3"/>
      <c r="N31" s="3"/>
      <c r="O31" s="3"/>
      <c r="P31" s="3"/>
      <c r="Q31" s="3"/>
      <c r="R31" s="3"/>
      <c r="S31" s="3"/>
      <c r="T31" s="3"/>
    </row>
    <row r="32" spans="1:20" s="7" customFormat="1" ht="15" customHeight="1" thickBot="1" x14ac:dyDescent="0.25">
      <c r="B32" s="22"/>
      <c r="C32" s="23"/>
      <c r="D32" s="24">
        <f>IF(E19=select,0,IF(OR(E19=rd,E19=rg),(E21*E23/10^6),IF(E19=pro,(E21*E23/10^6),IF(OR(E19=ngl,OR(E19=ngr,OR(E19=tng,E19=NGC2))),(E21*E23/(10^6))))))</f>
        <v>0</v>
      </c>
      <c r="E32" s="24">
        <f>IF(F22='Data validation'!B12,E22,IF(AND(F22='Data validation'!B13,E19=rd),(('Engine emission factors'!H53*E22)/1000000),IF(AND(F22='Data validation'!B13,E19=rg),(('Engine emission factors'!H54*E22)/1000000),IF(AND(F22='Data validation'!B13,E19=pro),(('Engine emission factors'!H55*E22)/1000000),IF(F22='Data validation'!B11,(E22*D32),IF(F22=" ",0))))))</f>
        <v>0</v>
      </c>
      <c r="F32" s="144">
        <f>IF($E$20=so,0,IF(OR($E$20=Routine,AND($E$20=Emer,$B$12="Yes")),8760,IF($E$20=Emer,500)))</f>
        <v>0</v>
      </c>
      <c r="G32" s="25" t="s">
        <v>41</v>
      </c>
      <c r="H32" s="20" t="s">
        <v>177</v>
      </c>
      <c r="I32" s="21" t="s">
        <v>223</v>
      </c>
      <c r="J32" s="467"/>
      <c r="K32" s="3"/>
      <c r="M32" s="3"/>
      <c r="N32" s="3"/>
      <c r="O32" s="3"/>
      <c r="P32" s="3"/>
      <c r="Q32" s="3"/>
      <c r="R32" s="3"/>
      <c r="S32" s="3"/>
      <c r="T32" s="3"/>
    </row>
    <row r="33" spans="2:20" s="6" customFormat="1" ht="15" customHeight="1" x14ac:dyDescent="0.2">
      <c r="B33" s="75" t="s">
        <v>44</v>
      </c>
      <c r="C33" s="26"/>
      <c r="D33" s="27"/>
      <c r="E33" s="28"/>
      <c r="F33" s="29"/>
      <c r="G33" s="30"/>
      <c r="H33" s="31"/>
      <c r="I33" s="32" t="s">
        <v>144</v>
      </c>
      <c r="J33" s="33"/>
      <c r="K33" s="3"/>
      <c r="M33" s="3"/>
      <c r="N33" s="3"/>
      <c r="O33" s="3"/>
      <c r="P33" s="3"/>
      <c r="Q33" s="3"/>
      <c r="R33" s="3"/>
      <c r="S33" s="3"/>
      <c r="T33" s="3"/>
    </row>
    <row r="34" spans="2:20" s="6" customFormat="1" ht="15" customHeight="1" x14ac:dyDescent="0.2">
      <c r="B34" s="34" t="s">
        <v>28</v>
      </c>
      <c r="D34" s="35"/>
      <c r="E34" s="36"/>
      <c r="F34" s="37"/>
      <c r="G34" s="38">
        <f>IF($E$19=rd,IF($E$21&gt;=600,'Engine emission factors'!$C5,'Engine emission factors'!$B5),IF($E$19=rg,'Engine emission factors'!$E5,IF($E$19=tng,'Engine emission factors'!$D5,IF($E$19=ngr,'Engine emission factors'!$F5,IF($E$19=ngl,'Engine emission factors'!$G5,IF($E$19=ng2l,'Engine emission factors'!$H5,IF($E$19=pro,'Engine emission factors'!$I5,IF($E$19=select,'Engine emission factors'!$AA5))))))))</f>
        <v>0</v>
      </c>
      <c r="H34" s="39">
        <f>$D$32*$F$32*$G34/2000</f>
        <v>0</v>
      </c>
      <c r="I34" s="40">
        <f>($E$32*$G34)/2000</f>
        <v>0</v>
      </c>
      <c r="J34" s="41">
        <v>1</v>
      </c>
      <c r="K34" s="3"/>
      <c r="L34" s="9"/>
      <c r="M34" s="3"/>
      <c r="N34" s="3"/>
      <c r="O34" s="3"/>
      <c r="P34" s="3"/>
      <c r="Q34" s="3"/>
      <c r="R34" s="3"/>
      <c r="S34" s="3"/>
      <c r="T34" s="3"/>
    </row>
    <row r="35" spans="2:20" s="6" customFormat="1" ht="15" customHeight="1" x14ac:dyDescent="0.2">
      <c r="B35" s="34" t="s">
        <v>29</v>
      </c>
      <c r="D35" s="35"/>
      <c r="E35" s="36"/>
      <c r="F35" s="37"/>
      <c r="G35" s="38">
        <f>IF($E$19=rd,IF($E$21&gt;=600,'Engine emission factors'!$C6,'Engine emission factors'!$B6),IF($E$19=rg,'Engine emission factors'!$E6,IF($E$19=tng,'Engine emission factors'!$D6,IF($E$19=ngr,'Engine emission factors'!$F6,IF($E$19=ngl,'Engine emission factors'!$G6,IF($E$19=ng2l,'Engine emission factors'!$H6,IF($E$19=pro,'Engine emission factors'!$I6,IF($E$19=select,'Engine emission factors'!$AA6))))))))</f>
        <v>0</v>
      </c>
      <c r="H35" s="42">
        <f t="shared" ref="H35:H40" si="0">$D$32*$F$32*$G35/2000</f>
        <v>0</v>
      </c>
      <c r="I35" s="40">
        <f t="shared" ref="I35:I40" si="1">($E$32*$G35)/2000</f>
        <v>0</v>
      </c>
      <c r="J35" s="43">
        <v>1</v>
      </c>
      <c r="K35" s="3"/>
      <c r="L35" s="3"/>
      <c r="M35" s="3"/>
      <c r="N35" s="3"/>
      <c r="O35" s="3"/>
      <c r="P35" s="3"/>
      <c r="Q35" s="3"/>
      <c r="R35" s="3"/>
      <c r="S35" s="3"/>
      <c r="T35" s="3"/>
    </row>
    <row r="36" spans="2:20" s="6" customFormat="1" ht="15" customHeight="1" x14ac:dyDescent="0.2">
      <c r="B36" s="34" t="s">
        <v>72</v>
      </c>
      <c r="D36" s="35"/>
      <c r="E36" s="36"/>
      <c r="F36" s="37"/>
      <c r="G36" s="38">
        <f>IF($E$19=rd,IF($E$21&gt;=600,'Engine emission factors'!$C7,'Engine emission factors'!$B7),IF($E$19=rg,'Engine emission factors'!$E7,IF($E$19=tng,'Engine emission factors'!$D7,IF($E$19=ngr,'Engine emission factors'!$F7,IF($E$19=ngl,'Engine emission factors'!$G7,IF($E$19=ng2l,'Engine emission factors'!$H7,IF($E$19=pro,'Engine emission factors'!$I7,IF($E$19=select,'Engine emission factors'!$AA7))))))))</f>
        <v>0</v>
      </c>
      <c r="H36" s="42">
        <f t="shared" si="0"/>
        <v>0</v>
      </c>
      <c r="I36" s="40">
        <f t="shared" si="1"/>
        <v>0</v>
      </c>
      <c r="J36" s="44"/>
      <c r="K36" s="3"/>
      <c r="L36" s="3"/>
      <c r="M36" s="211"/>
      <c r="N36" s="3"/>
      <c r="O36" s="3"/>
      <c r="P36" s="3"/>
      <c r="Q36" s="3"/>
      <c r="R36" s="3"/>
      <c r="S36" s="3"/>
      <c r="T36" s="3"/>
    </row>
    <row r="37" spans="2:20" s="6" customFormat="1" ht="15" customHeight="1" x14ac:dyDescent="0.2">
      <c r="B37" s="34" t="s">
        <v>30</v>
      </c>
      <c r="D37" s="35"/>
      <c r="E37" s="36"/>
      <c r="F37" s="37"/>
      <c r="G37" s="38">
        <f>IF($E$19=rd,IF($E$21&gt;=600,'Engine emission factors'!$C8*$E$25,'Engine emission factors'!$B8*$E$25),IF($E$19=rg,'Engine emission factors'!$E8,IF($E$19=tng,'Engine emission factors'!$D8*$E$25,IF($E$19=ngr,'Engine emission factors'!$F8,IF($E$19=ngl,'Engine emission factors'!$G8,IF($E$19=ng2l,'Engine emission factors'!$H8,IF($E$19=pro,'Engine emission factors'!$I8*$E$25,IF($E$19=select,'Engine emission factors'!$AA8))))))))</f>
        <v>0</v>
      </c>
      <c r="H37" s="42">
        <f t="shared" si="0"/>
        <v>0</v>
      </c>
      <c r="I37" s="40">
        <f t="shared" si="1"/>
        <v>0</v>
      </c>
      <c r="J37" s="43">
        <v>1</v>
      </c>
      <c r="K37" s="3"/>
      <c r="L37" s="3"/>
      <c r="M37" s="3"/>
      <c r="N37" s="3"/>
      <c r="O37" s="3"/>
      <c r="P37" s="3"/>
      <c r="Q37" s="3"/>
      <c r="R37" s="3"/>
      <c r="S37" s="3"/>
      <c r="T37" s="3"/>
    </row>
    <row r="38" spans="2:20" s="6" customFormat="1" ht="15" customHeight="1" x14ac:dyDescent="0.2">
      <c r="B38" s="34" t="s">
        <v>31</v>
      </c>
      <c r="D38" s="35"/>
      <c r="E38" s="36"/>
      <c r="F38" s="37"/>
      <c r="G38" s="38">
        <f>IF($E$19=rd,IF($E$21&gt;=600,'Engine emission factors'!$C9,'Engine emission factors'!$B9),IF($E$19=rg,'Engine emission factors'!$E9,IF($E$19=tng,'Engine emission factors'!$D9,IF($E$19=ngr,'Engine emission factors'!$F9,IF($E$19=ngl,'Engine emission factors'!$G9,IF($E$19=ng2l,'Engine emission factors'!$H9,IF($E$19=pro,'Engine emission factors'!$I9,IF($E$19=select,'Engine emission factors'!$AA9))))))))</f>
        <v>0</v>
      </c>
      <c r="H38" s="42">
        <f t="shared" si="0"/>
        <v>0</v>
      </c>
      <c r="I38" s="40">
        <f t="shared" si="1"/>
        <v>0</v>
      </c>
      <c r="J38" s="43">
        <v>1</v>
      </c>
      <c r="K38" s="3"/>
      <c r="L38" s="3"/>
      <c r="M38" s="3"/>
      <c r="N38" s="3"/>
      <c r="O38" s="3"/>
      <c r="P38" s="3"/>
      <c r="Q38" s="3"/>
      <c r="R38" s="3"/>
      <c r="S38" s="3"/>
      <c r="T38" s="3"/>
    </row>
    <row r="39" spans="2:20" s="6" customFormat="1" ht="15" customHeight="1" x14ac:dyDescent="0.2">
      <c r="B39" s="34" t="s">
        <v>32</v>
      </c>
      <c r="D39" s="35"/>
      <c r="E39" s="36"/>
      <c r="F39" s="37"/>
      <c r="G39" s="38">
        <f>IF($E$19=rd,IF($E$21&gt;=600,'Engine emission factors'!$C10,'Engine emission factors'!$B10),IF($E$19=rg,'Engine emission factors'!$E10,IF($E$19=tng,'Engine emission factors'!$D10,IF($E$19=ngr,'Engine emission factors'!$F10,IF($E$19=ngl,'Engine emission factors'!$G10,IF($E$19=ng2l,'Engine emission factors'!$H10,IF($E$19=pro,'Engine emission factors'!$I10,IF($E$19=select,'Engine emission factors'!$AA10))))))))</f>
        <v>0</v>
      </c>
      <c r="H39" s="42">
        <f t="shared" si="0"/>
        <v>0</v>
      </c>
      <c r="I39" s="40">
        <f t="shared" si="1"/>
        <v>0</v>
      </c>
      <c r="J39" s="43">
        <v>1</v>
      </c>
      <c r="K39" s="3"/>
      <c r="L39" s="3"/>
      <c r="M39" s="3"/>
      <c r="N39" s="3"/>
      <c r="O39" s="3"/>
      <c r="P39" s="3"/>
      <c r="Q39" s="3"/>
      <c r="R39" s="3"/>
      <c r="S39" s="3"/>
      <c r="T39" s="3"/>
    </row>
    <row r="40" spans="2:20" s="6" customFormat="1" ht="15" customHeight="1" x14ac:dyDescent="0.2">
      <c r="B40" s="34" t="s">
        <v>33</v>
      </c>
      <c r="D40" s="35"/>
      <c r="E40" s="36"/>
      <c r="F40" s="37"/>
      <c r="G40" s="38">
        <f>IF($E$19=rd,IF($E$21&gt;=600,'Engine emission factors'!$C11,'Engine emission factors'!$B11),IF($E$19=rg,'Engine emission factors'!$E11,IF($E$19=tng,'Engine emission factors'!$D11,IF($E$19=ngr,'Engine emission factors'!$F11,IF($E$19=ngl,'Engine emission factors'!$G11,IF($E$19=ng2l,'Engine emission factors'!$H11,IF($E$19=pro,'Engine emission factors'!$I11,IF($E$19=select,'Engine emission factors'!$AA11))))))))</f>
        <v>0</v>
      </c>
      <c r="H40" s="42">
        <f t="shared" si="0"/>
        <v>0</v>
      </c>
      <c r="I40" s="40">
        <f t="shared" si="1"/>
        <v>0</v>
      </c>
      <c r="J40" s="43">
        <v>2</v>
      </c>
      <c r="K40" s="3"/>
      <c r="L40" s="3"/>
      <c r="M40" s="3"/>
      <c r="N40" s="3"/>
      <c r="O40" s="3"/>
      <c r="P40" s="3"/>
      <c r="Q40" s="3"/>
      <c r="R40" s="3"/>
      <c r="S40" s="3"/>
      <c r="T40" s="3"/>
    </row>
    <row r="41" spans="2:20" s="6" customFormat="1" ht="15" customHeight="1" thickBot="1" x14ac:dyDescent="0.25">
      <c r="B41" s="45" t="s">
        <v>34</v>
      </c>
      <c r="C41" s="46"/>
      <c r="D41" s="47"/>
      <c r="E41" s="48"/>
      <c r="F41" s="49"/>
      <c r="G41" s="50" t="s">
        <v>45</v>
      </c>
      <c r="H41" s="51">
        <v>0</v>
      </c>
      <c r="I41" s="52">
        <v>0</v>
      </c>
      <c r="J41" s="53"/>
      <c r="K41" s="3"/>
      <c r="M41" s="3"/>
      <c r="N41" s="3"/>
      <c r="O41" s="3"/>
      <c r="P41" s="3"/>
      <c r="Q41" s="3"/>
      <c r="R41" s="3"/>
      <c r="S41" s="3"/>
      <c r="T41" s="3"/>
    </row>
    <row r="42" spans="2:20" s="6" customFormat="1" ht="15" customHeight="1" x14ac:dyDescent="0.2">
      <c r="B42" s="75" t="s">
        <v>43</v>
      </c>
      <c r="C42" s="26"/>
      <c r="D42" s="27"/>
      <c r="E42" s="28"/>
      <c r="F42" s="29"/>
      <c r="G42" s="30"/>
      <c r="H42" s="31"/>
      <c r="I42" s="76" t="s">
        <v>54</v>
      </c>
      <c r="J42" s="54"/>
      <c r="K42" s="3"/>
      <c r="L42" s="3"/>
      <c r="M42" s="3"/>
      <c r="N42" s="3"/>
      <c r="O42" s="3"/>
      <c r="P42" s="3"/>
      <c r="Q42" s="3"/>
      <c r="R42" s="3"/>
      <c r="S42" s="3"/>
      <c r="T42" s="3"/>
    </row>
    <row r="43" spans="2:20" s="6" customFormat="1" ht="15" customHeight="1" x14ac:dyDescent="0.3">
      <c r="B43" s="55" t="s">
        <v>156</v>
      </c>
      <c r="C43" s="3">
        <v>1</v>
      </c>
      <c r="D43" s="56"/>
      <c r="E43" s="56"/>
      <c r="F43" s="56"/>
      <c r="G43" s="38">
        <f>IF($E$19=rd,IF($E$21&gt;=600,'Engine emission factors'!$C13,'Engine emission factors'!$B13),IF($E$19=rg,'Engine emission factors'!$E13,IF($E$19=tng,'Engine emission factors'!$D13,IF($E$19=ngr,'Engine emission factors'!$F13,IF($E$19=ngl,'Engine emission factors'!$G13,IF($E$19=ng2l,'Engine emission factors'!$H13,IF($E$19=pro,'Engine emission factors'!$I13,IF($E$19=select,'Engine emission factors'!$AA13))))))))</f>
        <v>0</v>
      </c>
      <c r="H43" s="39">
        <f>$D$32*$F$32*$G43/2000</f>
        <v>0</v>
      </c>
      <c r="I43" s="40">
        <f>($E$32*$G43)/2000</f>
        <v>0</v>
      </c>
      <c r="J43" s="57"/>
      <c r="K43" s="3"/>
      <c r="L43" s="3"/>
      <c r="M43" s="3"/>
      <c r="N43" s="3"/>
      <c r="O43" s="3"/>
      <c r="P43" s="3"/>
      <c r="Q43" s="3"/>
      <c r="R43" s="3"/>
      <c r="S43" s="3"/>
      <c r="T43" s="3"/>
    </row>
    <row r="44" spans="2:20" s="6" customFormat="1" ht="15" customHeight="1" x14ac:dyDescent="0.3">
      <c r="B44" s="55" t="s">
        <v>157</v>
      </c>
      <c r="C44" s="3">
        <v>25</v>
      </c>
      <c r="D44" s="56"/>
      <c r="E44" s="56"/>
      <c r="F44" s="56"/>
      <c r="G44" s="38">
        <f>IF($E$19=rd,IF($E$21&gt;=600,'Engine emission factors'!$C14,'Engine emission factors'!$B14),IF($E$19=rg,'Engine emission factors'!$E14,IF($E$19=tng,'Engine emission factors'!$D14,IF($E$19=ngr,'Engine emission factors'!$F14,IF($E$19=ngl,'Engine emission factors'!$G14,IF($E$19=ng2l,'Engine emission factors'!$H14,IF($E$19=pro,'Engine emission factors'!$I14,IF($E$19=select,'Engine emission factors'!$AA14))))))))</f>
        <v>0</v>
      </c>
      <c r="H44" s="58">
        <f>$D$32*$F$32*$G44/2000</f>
        <v>0</v>
      </c>
      <c r="I44" s="59">
        <f>($E$32*$G44)/2000</f>
        <v>0</v>
      </c>
      <c r="J44" s="57"/>
      <c r="K44" s="212"/>
      <c r="L44" s="212"/>
      <c r="M44" s="3"/>
      <c r="N44" s="3"/>
      <c r="O44" s="3"/>
      <c r="P44" s="3"/>
      <c r="Q44" s="3"/>
      <c r="R44" s="3"/>
      <c r="S44" s="3"/>
      <c r="T44" s="3"/>
    </row>
    <row r="45" spans="2:20" s="6" customFormat="1" ht="15" customHeight="1" x14ac:dyDescent="0.3">
      <c r="B45" s="55" t="s">
        <v>158</v>
      </c>
      <c r="C45" s="3">
        <v>298</v>
      </c>
      <c r="D45" s="56"/>
      <c r="E45" s="56"/>
      <c r="F45" s="56"/>
      <c r="G45" s="38">
        <f>IF($E$19=rd,IF($E$21&gt;=600,'Engine emission factors'!$C15,'Engine emission factors'!$B15),IF($E$19=rg,'Engine emission factors'!$E15,IF($E$19=tng,'Engine emission factors'!$D15,IF($E$19=ngr,'Engine emission factors'!$F15,IF($E$19=ngl,'Engine emission factors'!$G15,IF($E$19=ng2l,'Engine emission factors'!$H15,IF($E$19=pro,'Engine emission factors'!$I15,IF($E$19=select,'Engine emission factors'!$Q15))))))))</f>
        <v>0</v>
      </c>
      <c r="H45" s="58">
        <f>$D$32*$F$32*$G45/2000</f>
        <v>0</v>
      </c>
      <c r="I45" s="59">
        <f>($E$32*$G45)/2000</f>
        <v>0</v>
      </c>
      <c r="J45" s="60"/>
      <c r="K45" s="212"/>
      <c r="L45" s="3"/>
      <c r="O45" s="3"/>
      <c r="P45" s="3"/>
      <c r="Q45" s="3"/>
      <c r="R45" s="3"/>
      <c r="S45" s="3"/>
      <c r="T45" s="3"/>
    </row>
    <row r="46" spans="2:20" s="6" customFormat="1" ht="15" customHeight="1" thickBot="1" x14ac:dyDescent="0.25">
      <c r="B46" s="61"/>
      <c r="C46" s="62"/>
      <c r="D46" s="62"/>
      <c r="E46" s="62"/>
      <c r="F46" s="63" t="s">
        <v>206</v>
      </c>
      <c r="G46" s="64"/>
      <c r="H46" s="51">
        <f>(C43*H43)+(C44*H44)+(C45*H45)</f>
        <v>0</v>
      </c>
      <c r="I46" s="52">
        <f>(C43*I43)+(C44*I44)+(C45*I45)</f>
        <v>0</v>
      </c>
      <c r="J46" s="65">
        <v>1000</v>
      </c>
      <c r="K46" s="212"/>
      <c r="L46" s="3"/>
      <c r="M46" s="3"/>
      <c r="N46" s="3"/>
      <c r="O46" s="3"/>
      <c r="P46" s="3"/>
      <c r="Q46" s="3"/>
      <c r="R46" s="3"/>
      <c r="S46" s="3"/>
      <c r="T46" s="3"/>
    </row>
    <row r="47" spans="2:20" s="6" customFormat="1" ht="15" customHeight="1" x14ac:dyDescent="0.2">
      <c r="B47" s="75" t="s">
        <v>42</v>
      </c>
      <c r="C47" s="26"/>
      <c r="D47" s="27"/>
      <c r="E47" s="28"/>
      <c r="F47" s="29"/>
      <c r="G47" s="474" t="s">
        <v>144</v>
      </c>
      <c r="H47" s="474"/>
      <c r="I47" s="475"/>
      <c r="K47" s="3"/>
      <c r="L47" s="3"/>
      <c r="M47" s="3"/>
      <c r="N47" s="3"/>
      <c r="O47" s="3"/>
      <c r="P47" s="3"/>
      <c r="Q47" s="3"/>
      <c r="R47" s="3"/>
      <c r="S47" s="3"/>
      <c r="T47" s="3"/>
    </row>
    <row r="48" spans="2:20" s="6" customFormat="1" ht="15" customHeight="1" x14ac:dyDescent="0.2">
      <c r="B48" s="66" t="s">
        <v>98</v>
      </c>
      <c r="D48" s="67"/>
      <c r="E48" s="68"/>
      <c r="F48" s="69"/>
      <c r="G48" s="38">
        <f>IF($E$19=rd,IF($E$21&gt;=600,'Engine emission factors'!$C17,'Engine emission factors'!$B17),IF($E$19=rg,'Engine emission factors'!$E17,IF($E$19=tng,'Engine emission factors'!$D17,IF($E$19=ngr,'Engine emission factors'!$F17,IF($E$19=ngl,'Engine emission factors'!$G17,IF($E$19=ng2l,'Engine emission factors'!$H17,IF($E$19=pro,'Engine emission factors'!$I17,IF($E$19=select,'Engine emission factors'!$Q17))))))))</f>
        <v>0</v>
      </c>
      <c r="H48" s="58">
        <f t="shared" ref="H48:H72" si="2">$D$32*$F$32*$G48/2000</f>
        <v>0</v>
      </c>
      <c r="I48" s="59">
        <f>($E$32*$G48)/2000</f>
        <v>0</v>
      </c>
      <c r="K48" s="3"/>
      <c r="L48" s="3"/>
      <c r="M48" s="3"/>
      <c r="N48" s="3"/>
      <c r="O48" s="3"/>
      <c r="P48" s="3"/>
      <c r="Q48" s="3"/>
      <c r="R48" s="3"/>
      <c r="S48" s="3"/>
      <c r="T48" s="3"/>
    </row>
    <row r="49" spans="2:20" s="6" customFormat="1" ht="15" customHeight="1" x14ac:dyDescent="0.2">
      <c r="B49" s="70" t="s">
        <v>99</v>
      </c>
      <c r="D49" s="67"/>
      <c r="E49" s="68"/>
      <c r="F49" s="69"/>
      <c r="G49" s="38">
        <f>IF($E$19=rd,IF($E$21&gt;=600,'Engine emission factors'!$C18,'Engine emission factors'!$B18),IF($E$19=rg,'Engine emission factors'!$E18,IF($E$19=tng,'Engine emission factors'!$D18,IF($E$19=ngr,'Engine emission factors'!$F18,IF($E$19=ngl,'Engine emission factors'!$G18,IF($E$19=ng2l,'Engine emission factors'!$H18,IF($E$19=pro,'Engine emission factors'!$I18,IF($E$19=select,'Engine emission factors'!$Q18))))))))</f>
        <v>0</v>
      </c>
      <c r="H49" s="58">
        <f t="shared" si="2"/>
        <v>0</v>
      </c>
      <c r="I49" s="59">
        <f t="shared" ref="I49:I72" si="3">($E$32*$G49)/2000</f>
        <v>0</v>
      </c>
      <c r="K49" s="3"/>
      <c r="L49" s="3"/>
      <c r="M49" s="3"/>
      <c r="N49" s="3"/>
      <c r="O49" s="3"/>
      <c r="P49" s="3"/>
      <c r="Q49" s="3"/>
      <c r="R49" s="3"/>
      <c r="S49" s="3"/>
      <c r="T49" s="3"/>
    </row>
    <row r="50" spans="2:20" s="6" customFormat="1" ht="15" customHeight="1" x14ac:dyDescent="0.2">
      <c r="B50" s="70" t="s">
        <v>97</v>
      </c>
      <c r="D50" s="67"/>
      <c r="E50" s="68"/>
      <c r="F50" s="69"/>
      <c r="G50" s="38">
        <f>IF($E$19=rd,IF($E$21&gt;=600,'Engine emission factors'!$C19,'Engine emission factors'!$B19),IF($E$19=rg,'Engine emission factors'!$E19,IF($E$19=tng,'Engine emission factors'!$D19,IF($E$19=ngr,'Engine emission factors'!$F19,IF($E$19=ngl,'Engine emission factors'!$G19,IF($E$19=ng2l,'Engine emission factors'!$H19,IF($E$19=pro,'Engine emission factors'!$I19,IF($E$19=select,'Engine emission factors'!$Q19))))))))</f>
        <v>0</v>
      </c>
      <c r="H50" s="58">
        <f t="shared" si="2"/>
        <v>0</v>
      </c>
      <c r="I50" s="59">
        <f t="shared" si="3"/>
        <v>0</v>
      </c>
      <c r="K50" s="3"/>
      <c r="L50" s="3"/>
      <c r="M50" s="3"/>
      <c r="N50" s="3"/>
      <c r="O50" s="3"/>
      <c r="P50" s="3"/>
      <c r="Q50" s="3"/>
      <c r="R50" s="3"/>
      <c r="S50" s="3"/>
      <c r="T50" s="3"/>
    </row>
    <row r="51" spans="2:20" s="6" customFormat="1" ht="15" customHeight="1" x14ac:dyDescent="0.2">
      <c r="B51" s="70" t="s">
        <v>100</v>
      </c>
      <c r="D51" s="67"/>
      <c r="E51" s="68"/>
      <c r="F51" s="69"/>
      <c r="G51" s="38">
        <f>IF($E$19=rd,IF($E$21&gt;=600,'Engine emission factors'!$C20,'Engine emission factors'!$B20),IF($E$19=rg,'Engine emission factors'!$E20,IF($E$19=tng,'Engine emission factors'!$D20,IF($E$19=ngr,'Engine emission factors'!$F20,IF($E$19=ngl,'Engine emission factors'!$G20,IF($E$19=ng2l,'Engine emission factors'!$H20,IF($E$19=pro,'Engine emission factors'!$I20,IF($E$19=select,'Engine emission factors'!$AA20))))))))</f>
        <v>0</v>
      </c>
      <c r="H51" s="58">
        <f t="shared" si="2"/>
        <v>0</v>
      </c>
      <c r="I51" s="59">
        <f t="shared" si="3"/>
        <v>0</v>
      </c>
      <c r="K51" s="3"/>
      <c r="L51" s="3"/>
      <c r="M51" s="3"/>
      <c r="N51" s="3"/>
      <c r="O51" s="3"/>
      <c r="P51" s="3"/>
      <c r="Q51" s="3"/>
      <c r="R51" s="3"/>
      <c r="S51" s="3"/>
      <c r="T51" s="3"/>
    </row>
    <row r="52" spans="2:20" s="6" customFormat="1" ht="15" customHeight="1" x14ac:dyDescent="0.2">
      <c r="B52" s="71" t="s">
        <v>85</v>
      </c>
      <c r="D52" s="67"/>
      <c r="E52" s="68"/>
      <c r="F52" s="69"/>
      <c r="G52" s="38">
        <f>IF($E$19=rd,IF($E$21&gt;=600,'Engine emission factors'!$C21,'Engine emission factors'!$B21),IF($E$19=rg,'Engine emission factors'!$E21,IF($E$19=tng,'Engine emission factors'!$D21,IF($E$19=ngr,'Engine emission factors'!$F21,IF($E$19=ngl,'Engine emission factors'!$G21,IF($E$19=ng2l,'Engine emission factors'!$H21,IF($E$19=pro,'Engine emission factors'!$I21,IF($E$19=select,'Engine emission factors'!$AA21))))))))</f>
        <v>0</v>
      </c>
      <c r="H52" s="58">
        <f t="shared" si="2"/>
        <v>0</v>
      </c>
      <c r="I52" s="59">
        <f t="shared" si="3"/>
        <v>0</v>
      </c>
      <c r="K52" s="3"/>
      <c r="L52" s="3"/>
      <c r="M52" s="3"/>
      <c r="N52" s="3"/>
      <c r="O52" s="3"/>
      <c r="P52" s="3"/>
      <c r="Q52" s="3"/>
      <c r="R52" s="3"/>
      <c r="S52" s="3"/>
      <c r="T52" s="3"/>
    </row>
    <row r="53" spans="2:20" s="6" customFormat="1" ht="15" customHeight="1" x14ac:dyDescent="0.2">
      <c r="B53" s="71" t="s">
        <v>87</v>
      </c>
      <c r="D53" s="67"/>
      <c r="E53" s="68"/>
      <c r="F53" s="69"/>
      <c r="G53" s="38">
        <f>IF($E$19=rd,IF($E$21&gt;=600,'Engine emission factors'!$C22,'Engine emission factors'!$B22),IF($E$19=rg,'Engine emission factors'!$E22,IF($E$19=tng,'Engine emission factors'!$D22,IF($E$19=ngr,'Engine emission factors'!$F22,IF($E$19=ngl,'Engine emission factors'!$G22,IF($E$19=ng2l,'Engine emission factors'!$H22,IF($E$19=pro,'Engine emission factors'!$I22,IF($E$19=select,'Engine emission factors'!$AA22))))))))</f>
        <v>0</v>
      </c>
      <c r="H53" s="58">
        <f t="shared" si="2"/>
        <v>0</v>
      </c>
      <c r="I53" s="59">
        <f t="shared" si="3"/>
        <v>0</v>
      </c>
      <c r="K53" s="3"/>
      <c r="L53" s="3"/>
      <c r="M53" s="3"/>
      <c r="N53" s="3"/>
      <c r="O53" s="3"/>
      <c r="P53" s="3"/>
      <c r="Q53" s="3"/>
      <c r="R53" s="3"/>
      <c r="S53" s="3"/>
      <c r="T53" s="3"/>
    </row>
    <row r="54" spans="2:20" s="6" customFormat="1" ht="15" customHeight="1" x14ac:dyDescent="0.2">
      <c r="B54" s="71" t="s">
        <v>35</v>
      </c>
      <c r="D54" s="67"/>
      <c r="E54" s="68"/>
      <c r="F54" s="69"/>
      <c r="G54" s="38">
        <f>IF($E$19=rd,IF($E$21&gt;=600,'Engine emission factors'!$C23,'Engine emission factors'!$B23),IF($E$19=rg,'Engine emission factors'!$E23,IF($E$19=tng,'Engine emission factors'!$D23,IF($E$19=ngr,'Engine emission factors'!$F23,IF($E$19=ngl,'Engine emission factors'!$G23,IF($E$19=ng2l,'Engine emission factors'!$H23,IF($E$19=pro,'Engine emission factors'!$I23,IF($E$19=select,'Engine emission factors'!$AA23))))))))</f>
        <v>0</v>
      </c>
      <c r="H54" s="58">
        <f t="shared" si="2"/>
        <v>0</v>
      </c>
      <c r="I54" s="59">
        <f t="shared" si="3"/>
        <v>0</v>
      </c>
      <c r="K54" s="3"/>
      <c r="L54" s="3"/>
      <c r="M54" s="3"/>
      <c r="N54" s="3"/>
      <c r="O54" s="3"/>
      <c r="P54" s="3"/>
      <c r="Q54" s="3"/>
      <c r="R54" s="3"/>
      <c r="S54" s="3"/>
      <c r="T54" s="3"/>
    </row>
    <row r="55" spans="2:20" s="6" customFormat="1" ht="15" customHeight="1" x14ac:dyDescent="0.2">
      <c r="B55" s="70" t="s">
        <v>102</v>
      </c>
      <c r="D55" s="67"/>
      <c r="E55" s="68"/>
      <c r="F55" s="69"/>
      <c r="G55" s="38">
        <f>IF($E$19=rd,IF($E$21&gt;=600,'Engine emission factors'!$C24,'Engine emission factors'!$B24),IF($E$19=rg,'Engine emission factors'!$E24,IF($E$19=tng,'Engine emission factors'!$D24,IF($E$19=ngr,'Engine emission factors'!$F24,IF($E$19=ngl,'Engine emission factors'!$G24,IF($E$19=ng2l,'Engine emission factors'!$H24,IF($E$19=pro,'Engine emission factors'!$I24,IF($E$19=select,'Engine emission factors'!$AA24))))))))</f>
        <v>0</v>
      </c>
      <c r="H55" s="58">
        <f t="shared" si="2"/>
        <v>0</v>
      </c>
      <c r="I55" s="59">
        <f t="shared" si="3"/>
        <v>0</v>
      </c>
      <c r="K55" s="3"/>
      <c r="L55" s="3"/>
      <c r="M55" s="3"/>
      <c r="N55" s="3"/>
      <c r="O55" s="3"/>
      <c r="P55" s="3"/>
      <c r="Q55" s="3"/>
      <c r="R55" s="3"/>
      <c r="S55" s="3"/>
      <c r="T55" s="3"/>
    </row>
    <row r="56" spans="2:20" s="6" customFormat="1" ht="15" customHeight="1" x14ac:dyDescent="0.2">
      <c r="B56" s="70" t="s">
        <v>112</v>
      </c>
      <c r="D56" s="67"/>
      <c r="E56" s="68"/>
      <c r="F56" s="69"/>
      <c r="G56" s="38">
        <f>IF($E$19=rd,IF($E$21&gt;=600,'Engine emission factors'!$C25,'Engine emission factors'!$B25),IF($E$19=rg,'Engine emission factors'!$E25,IF($E$19=tng,'Engine emission factors'!$D25,IF($E$19=ngr,'Engine emission factors'!$F25,IF($E$19=ngl,'Engine emission factors'!$G25,IF($E$19=ng2l,'Engine emission factors'!$H25,IF($E$19=pro,'Engine emission factors'!$I25,IF($E$19=select,'Engine emission factors'!$AA25))))))))</f>
        <v>0</v>
      </c>
      <c r="H56" s="58">
        <f t="shared" si="2"/>
        <v>0</v>
      </c>
      <c r="I56" s="59">
        <f t="shared" si="3"/>
        <v>0</v>
      </c>
      <c r="K56" s="3"/>
      <c r="L56" s="3"/>
      <c r="M56" s="3"/>
      <c r="N56" s="3"/>
      <c r="O56" s="3"/>
      <c r="P56" s="3"/>
      <c r="Q56" s="3"/>
      <c r="R56" s="3"/>
      <c r="S56" s="3"/>
      <c r="T56" s="3"/>
    </row>
    <row r="57" spans="2:20" s="6" customFormat="1" ht="15" customHeight="1" x14ac:dyDescent="0.2">
      <c r="B57" s="70" t="s">
        <v>104</v>
      </c>
      <c r="D57" s="67"/>
      <c r="E57" s="68"/>
      <c r="F57" s="69"/>
      <c r="G57" s="38">
        <f>IF($E$19=rd,IF($E$21&gt;=600,'Engine emission factors'!$C26,'Engine emission factors'!$B26),IF($E$19=rg,'Engine emission factors'!$E26,IF($E$19=tng,'Engine emission factors'!$D26,IF($E$19=ngr,'Engine emission factors'!$F26,IF($E$19=ngl,'Engine emission factors'!$G26,IF($E$19=ng2l,'Engine emission factors'!$H26,IF($E$19=pro,'Engine emission factors'!$I26,IF($E$19=select,'Engine emission factors'!$AA26))))))))</f>
        <v>0</v>
      </c>
      <c r="H57" s="58">
        <f t="shared" si="2"/>
        <v>0</v>
      </c>
      <c r="I57" s="59">
        <f t="shared" si="3"/>
        <v>0</v>
      </c>
      <c r="K57" s="3"/>
      <c r="L57" s="3"/>
      <c r="M57" s="3"/>
      <c r="N57" s="3"/>
      <c r="O57" s="3"/>
      <c r="P57" s="3"/>
      <c r="Q57" s="3"/>
      <c r="R57" s="3"/>
      <c r="S57" s="3"/>
      <c r="T57" s="3"/>
    </row>
    <row r="58" spans="2:20" s="6" customFormat="1" ht="15" customHeight="1" x14ac:dyDescent="0.2">
      <c r="B58" s="70" t="s">
        <v>105</v>
      </c>
      <c r="D58" s="67"/>
      <c r="E58" s="68"/>
      <c r="F58" s="69"/>
      <c r="G58" s="38">
        <f>IF($E$19=rd,IF($E$21&gt;=600,'Engine emission factors'!$C27,'Engine emission factors'!$B27),IF($E$19=rg,'Engine emission factors'!$E27,IF($E$19=tng,'Engine emission factors'!$D27,IF($E$19=ngr,'Engine emission factors'!$F27,IF($E$19=ngl,'Engine emission factors'!$G27,IF($E$19=ng2l,'Engine emission factors'!$H27,IF($E$19=pro,'Engine emission factors'!$I27,IF($E$19=select,'Engine emission factors'!$AA27))))))))</f>
        <v>0</v>
      </c>
      <c r="H58" s="58">
        <f t="shared" si="2"/>
        <v>0</v>
      </c>
      <c r="I58" s="59">
        <f t="shared" si="3"/>
        <v>0</v>
      </c>
      <c r="K58" s="3"/>
      <c r="L58" s="3"/>
      <c r="M58" s="3"/>
      <c r="N58" s="3"/>
      <c r="O58" s="3"/>
      <c r="P58" s="3"/>
      <c r="Q58" s="3"/>
      <c r="R58" s="3"/>
      <c r="S58" s="3"/>
      <c r="T58" s="3"/>
    </row>
    <row r="59" spans="2:20" s="6" customFormat="1" ht="15" customHeight="1" x14ac:dyDescent="0.2">
      <c r="B59" s="71" t="s">
        <v>83</v>
      </c>
      <c r="D59" s="67"/>
      <c r="E59" s="68"/>
      <c r="F59" s="69"/>
      <c r="G59" s="38">
        <f>IF($E$19=rd,IF($E$21&gt;=600,'Engine emission factors'!$C28,'Engine emission factors'!$B28),IF($E$19=rg,'Engine emission factors'!$E28,IF($E$19=tng,'Engine emission factors'!$D28,IF($E$19=ngr,'Engine emission factors'!$F28,IF($E$19=ngl,'Engine emission factors'!$G28,IF($E$19=ng2l,'Engine emission factors'!$H28,IF($E$19=pro,'Engine emission factors'!$I28,IF($E$19=select,'Engine emission factors'!$AA28))))))))</f>
        <v>0</v>
      </c>
      <c r="H59" s="58">
        <f t="shared" si="2"/>
        <v>0</v>
      </c>
      <c r="I59" s="59">
        <f t="shared" si="3"/>
        <v>0</v>
      </c>
      <c r="K59" s="3"/>
      <c r="L59" s="3"/>
      <c r="M59" s="3"/>
      <c r="N59" s="3"/>
      <c r="O59" s="3"/>
      <c r="P59" s="3"/>
      <c r="Q59" s="3"/>
      <c r="R59" s="3"/>
      <c r="S59" s="3"/>
      <c r="T59" s="3"/>
    </row>
    <row r="60" spans="2:20" s="6" customFormat="1" ht="15" customHeight="1" x14ac:dyDescent="0.2">
      <c r="B60" s="70" t="s">
        <v>106</v>
      </c>
      <c r="D60" s="67"/>
      <c r="E60" s="68"/>
      <c r="F60" s="69"/>
      <c r="G60" s="38">
        <f>IF($E$19=rd,IF($E$21&gt;=600,'Engine emission factors'!$C29,'Engine emission factors'!$B29),IF($E$19=rg,'Engine emission factors'!$E29,IF($E$19=tng,'Engine emission factors'!$D29,IF($E$19=ngr,'Engine emission factors'!$F29,IF($E$19=ngl,'Engine emission factors'!$G29,IF($E$19=ng2l,'Engine emission factors'!$H29,IF($E$19=pro,'Engine emission factors'!$I29,IF($E$19=select,'Engine emission factors'!$AA29))))))))</f>
        <v>0</v>
      </c>
      <c r="H60" s="58">
        <f t="shared" si="2"/>
        <v>0</v>
      </c>
      <c r="I60" s="59">
        <f t="shared" si="3"/>
        <v>0</v>
      </c>
      <c r="K60" s="3"/>
      <c r="L60" s="3"/>
      <c r="M60" s="3"/>
      <c r="N60" s="3"/>
      <c r="O60" s="3"/>
      <c r="P60" s="3"/>
      <c r="Q60" s="3"/>
      <c r="R60" s="3"/>
      <c r="S60" s="3"/>
      <c r="T60" s="3"/>
    </row>
    <row r="61" spans="2:20" s="6" customFormat="1" ht="15" customHeight="1" x14ac:dyDescent="0.2">
      <c r="B61" s="71" t="s">
        <v>36</v>
      </c>
      <c r="D61" s="67"/>
      <c r="E61" s="68"/>
      <c r="F61" s="69"/>
      <c r="G61" s="38">
        <f>IF($E$19=rd,IF($E$21&gt;=600,'Engine emission factors'!$C30,'Engine emission factors'!$B30),IF($E$19=rg,'Engine emission factors'!$E30,IF($E$19=tng,'Engine emission factors'!$D30,IF($E$19=ngr,'Engine emission factors'!$F30,IF($E$19=ngl,'Engine emission factors'!$G30,IF($E$19=ng2l,'Engine emission factors'!$H30,IF($E$19=pro,'Engine emission factors'!$I30,IF($E$19=select,'Engine emission factors'!$AA30))))))))</f>
        <v>0</v>
      </c>
      <c r="H61" s="58">
        <f t="shared" si="2"/>
        <v>0</v>
      </c>
      <c r="I61" s="59">
        <f t="shared" si="3"/>
        <v>0</v>
      </c>
      <c r="K61" s="3"/>
      <c r="L61" s="3"/>
      <c r="M61" s="3"/>
      <c r="N61" s="3"/>
      <c r="O61" s="3"/>
      <c r="P61" s="3"/>
      <c r="Q61" s="3"/>
      <c r="R61" s="3"/>
      <c r="S61" s="3"/>
      <c r="T61" s="3"/>
    </row>
    <row r="62" spans="2:20" s="6" customFormat="1" ht="15" customHeight="1" x14ac:dyDescent="0.2">
      <c r="B62" s="71" t="s">
        <v>37</v>
      </c>
      <c r="D62" s="67"/>
      <c r="E62" s="68"/>
      <c r="F62" s="69"/>
      <c r="G62" s="38">
        <f>IF($E$19=rd,IF($E$21&gt;=600,'Engine emission factors'!$C31,'Engine emission factors'!$B31),IF($E$19=rg,'Engine emission factors'!$E31,IF($E$19=tng,'Engine emission factors'!$D31,IF($E$19=ngr,'Engine emission factors'!$F31,IF($E$19=ngl,'Engine emission factors'!$G31,IF($E$19=ng2l,'Engine emission factors'!$H31,IF($E$19=pro,'Engine emission factors'!$I31,IF($E$19=select,'Engine emission factors'!$AA31))))))))</f>
        <v>0</v>
      </c>
      <c r="H62" s="58">
        <f t="shared" si="2"/>
        <v>0</v>
      </c>
      <c r="I62" s="59">
        <f t="shared" si="3"/>
        <v>0</v>
      </c>
      <c r="K62" s="3"/>
      <c r="L62" s="3"/>
      <c r="M62" s="3"/>
      <c r="N62" s="3"/>
      <c r="O62" s="3"/>
      <c r="P62" s="3"/>
      <c r="Q62" s="3"/>
      <c r="R62" s="3"/>
      <c r="S62" s="3"/>
      <c r="T62" s="3"/>
    </row>
    <row r="63" spans="2:20" s="6" customFormat="1" ht="15" customHeight="1" x14ac:dyDescent="0.2">
      <c r="B63" s="70" t="s">
        <v>103</v>
      </c>
      <c r="D63" s="67"/>
      <c r="E63" s="68"/>
      <c r="F63" s="69"/>
      <c r="G63" s="38">
        <f>IF($E$19=rd,IF($E$21&gt;=600,'Engine emission factors'!$C32,'Engine emission factors'!$B32),IF($E$19=rg,'Engine emission factors'!$E32,IF($E$19=tng,'Engine emission factors'!$D32,IF($E$19=ngr,'Engine emission factors'!$F32,IF($E$19=ngl,'Engine emission factors'!$G32,IF($E$19=ng2l,'Engine emission factors'!$H32,IF($E$19=pro,'Engine emission factors'!$I32,IF($E$19=select,'Engine emission factors'!$AA32))))))))</f>
        <v>0</v>
      </c>
      <c r="H63" s="58">
        <f t="shared" si="2"/>
        <v>0</v>
      </c>
      <c r="I63" s="59">
        <f t="shared" si="3"/>
        <v>0</v>
      </c>
      <c r="K63" s="3"/>
      <c r="L63" s="3"/>
      <c r="M63" s="3"/>
      <c r="N63" s="3"/>
      <c r="O63" s="3"/>
      <c r="P63" s="3"/>
      <c r="Q63" s="3"/>
      <c r="R63" s="3"/>
      <c r="S63" s="3"/>
      <c r="T63" s="3"/>
    </row>
    <row r="64" spans="2:20" s="6" customFormat="1" ht="15" customHeight="1" x14ac:dyDescent="0.2">
      <c r="B64" s="70" t="s">
        <v>107</v>
      </c>
      <c r="D64" s="67"/>
      <c r="E64" s="68"/>
      <c r="F64" s="69"/>
      <c r="G64" s="38">
        <f>IF($E$19=rd,IF($E$21&gt;=600,'Engine emission factors'!$C33,'Engine emission factors'!$B33),IF($E$19=rg,'Engine emission factors'!$E33,IF($E$19=tng,'Engine emission factors'!$D33,IF($E$19=ngr,'Engine emission factors'!$F33,IF($E$19=ngl,'Engine emission factors'!$G33,IF($E$19=ng2l,'Engine emission factors'!$H33,IF($E$19=pro,'Engine emission factors'!$I33,IF($E$19=select,'Engine emission factors'!$AA33))))))))</f>
        <v>0</v>
      </c>
      <c r="H64" s="58">
        <f t="shared" si="2"/>
        <v>0</v>
      </c>
      <c r="I64" s="59">
        <f t="shared" si="3"/>
        <v>0</v>
      </c>
      <c r="K64" s="3"/>
      <c r="L64" s="3"/>
      <c r="M64" s="3"/>
      <c r="N64" s="3"/>
      <c r="O64" s="3"/>
      <c r="P64" s="3"/>
      <c r="Q64" s="3"/>
      <c r="R64" s="3"/>
      <c r="S64" s="3"/>
      <c r="T64" s="3"/>
    </row>
    <row r="65" spans="2:20" s="6" customFormat="1" ht="15" customHeight="1" x14ac:dyDescent="0.2">
      <c r="B65" s="71" t="s">
        <v>38</v>
      </c>
      <c r="D65" s="67"/>
      <c r="E65" s="68"/>
      <c r="F65" s="69"/>
      <c r="G65" s="38">
        <f>IF($E$19=rd,IF($E$21&gt;=600,'Engine emission factors'!$C34,'Engine emission factors'!$B34),IF($E$19=rg,'Engine emission factors'!$E34,IF($E$19=tng,'Engine emission factors'!$D34,IF($E$19=ngr,'Engine emission factors'!$F34,IF($E$19=ngl,'Engine emission factors'!$G34,IF($E$19=ng2l,'Engine emission factors'!$H34,IF($E$19=pro,'Engine emission factors'!$I34,IF($E$19=select,'Engine emission factors'!$AA34))))))))</f>
        <v>0</v>
      </c>
      <c r="H65" s="58">
        <f t="shared" si="2"/>
        <v>0</v>
      </c>
      <c r="I65" s="59">
        <f t="shared" si="3"/>
        <v>0</v>
      </c>
      <c r="K65" s="3"/>
      <c r="L65" s="3"/>
      <c r="M65" s="3"/>
      <c r="N65" s="3"/>
      <c r="O65" s="3"/>
      <c r="P65" s="3"/>
      <c r="Q65" s="3"/>
      <c r="R65" s="3"/>
      <c r="S65" s="3"/>
      <c r="T65" s="3"/>
    </row>
    <row r="66" spans="2:20" s="6" customFormat="1" ht="15" customHeight="1" x14ac:dyDescent="0.2">
      <c r="B66" s="70" t="s">
        <v>101</v>
      </c>
      <c r="G66" s="38">
        <f>IF($E$19=rd,IF($E$21&gt;=600,'Engine emission factors'!$C35,'Engine emission factors'!$B35),IF($E$19=rg,'Engine emission factors'!$E35,IF($E$19=tng,'Engine emission factors'!$D35,IF($E$19=ngr,'Engine emission factors'!$F35,IF($E$19=ngl,'Engine emission factors'!$G35,IF($E$19=ng2l,'Engine emission factors'!$H35,IF($E$19=pro,'Engine emission factors'!$I35,IF($E$19=select,'Engine emission factors'!$AA35))))))))</f>
        <v>0</v>
      </c>
      <c r="H66" s="58">
        <f t="shared" si="2"/>
        <v>0</v>
      </c>
      <c r="I66" s="59">
        <f t="shared" si="3"/>
        <v>0</v>
      </c>
      <c r="K66" s="3"/>
      <c r="L66" s="3"/>
      <c r="M66" s="3"/>
      <c r="N66" s="3"/>
      <c r="O66" s="3"/>
      <c r="P66" s="3"/>
      <c r="Q66" s="3"/>
      <c r="R66" s="3"/>
      <c r="S66" s="3"/>
      <c r="T66" s="3"/>
    </row>
    <row r="67" spans="2:20" s="6" customFormat="1" ht="15" customHeight="1" x14ac:dyDescent="0.2">
      <c r="B67" s="70" t="s">
        <v>108</v>
      </c>
      <c r="G67" s="38">
        <f>IF($E$19=rd,IF($E$21&gt;=600,'Engine emission factors'!$C36,'Engine emission factors'!$B36),IF($E$19=rg,'Engine emission factors'!$E36,IF($E$19=tng,'Engine emission factors'!$D36,IF($E$19=ngr,'Engine emission factors'!$F36,IF($E$19=ngl,'Engine emission factors'!$G36,IF($E$19=ng2l,'Engine emission factors'!$H36,IF($E$19=pro,'Engine emission factors'!$I36,IF($E$19=select,'Engine emission factors'!$AA36))))))))</f>
        <v>0</v>
      </c>
      <c r="H67" s="58">
        <f t="shared" si="2"/>
        <v>0</v>
      </c>
      <c r="I67" s="59">
        <f t="shared" si="3"/>
        <v>0</v>
      </c>
      <c r="K67" s="3"/>
      <c r="L67" s="3"/>
      <c r="M67" s="3"/>
      <c r="N67" s="3"/>
      <c r="O67" s="3"/>
      <c r="P67" s="3"/>
      <c r="Q67" s="3"/>
      <c r="R67" s="3"/>
      <c r="S67" s="3"/>
      <c r="T67" s="3"/>
    </row>
    <row r="68" spans="2:20" s="6" customFormat="1" ht="15" customHeight="1" x14ac:dyDescent="0.2">
      <c r="B68" s="70" t="s">
        <v>109</v>
      </c>
      <c r="G68" s="38">
        <f>IF($E$19=rd,IF($E$21&gt;=600,'Engine emission factors'!$C37,'Engine emission factors'!$B37),IF($E$19=rg,'Engine emission factors'!$E37,IF($E$19=tng,'Engine emission factors'!$D37,IF($E$19=ngr,'Engine emission factors'!$F37,IF($E$19=ngl,'Engine emission factors'!$G37,IF($E$19=ng2l,'Engine emission factors'!$H37,IF($E$19=pro,'Engine emission factors'!$I37,IF($E$19=select,'Engine emission factors'!$AA37))))))))</f>
        <v>0</v>
      </c>
      <c r="H68" s="58">
        <f t="shared" si="2"/>
        <v>0</v>
      </c>
      <c r="I68" s="59">
        <f t="shared" si="3"/>
        <v>0</v>
      </c>
      <c r="K68" s="3"/>
      <c r="L68" s="3"/>
      <c r="M68" s="3"/>
      <c r="N68" s="3"/>
      <c r="O68" s="3"/>
      <c r="P68" s="3"/>
      <c r="Q68" s="3"/>
      <c r="R68" s="3"/>
      <c r="S68" s="3"/>
      <c r="T68" s="3"/>
    </row>
    <row r="69" spans="2:20" s="6" customFormat="1" ht="15" customHeight="1" x14ac:dyDescent="0.2">
      <c r="B69" s="70" t="s">
        <v>110</v>
      </c>
      <c r="G69" s="38">
        <f>IF($E$19=rd,IF($E$21&gt;=600,'Engine emission factors'!$C38,'Engine emission factors'!$B38),IF($E$19=rg,'Engine emission factors'!$E38,IF($E$19=tng,'Engine emission factors'!$D38,IF($E$19=ngr,'Engine emission factors'!$F38,IF($E$19=ngl,'Engine emission factors'!$G38,IF($E$19=ng2l,'Engine emission factors'!$H38,IF($E$19=pro,'Engine emission factors'!$I38,IF($E$19=select,'Engine emission factors'!$AA38))))))))</f>
        <v>0</v>
      </c>
      <c r="H69" s="58">
        <f t="shared" si="2"/>
        <v>0</v>
      </c>
      <c r="I69" s="59">
        <f t="shared" si="3"/>
        <v>0</v>
      </c>
      <c r="K69" s="3"/>
      <c r="L69" s="3"/>
      <c r="M69" s="3"/>
      <c r="N69" s="3"/>
      <c r="O69" s="3"/>
      <c r="P69" s="3"/>
      <c r="Q69" s="3"/>
      <c r="R69" s="3"/>
      <c r="S69" s="3"/>
      <c r="T69" s="3"/>
    </row>
    <row r="70" spans="2:20" s="6" customFormat="1" ht="15" customHeight="1" x14ac:dyDescent="0.2">
      <c r="B70" s="71" t="s">
        <v>39</v>
      </c>
      <c r="G70" s="38">
        <f>IF($E$19=rd,IF($E$21&gt;=600,'Engine emission factors'!$C39,'Engine emission factors'!$B39),IF($E$19=rg,'Engine emission factors'!$E39,IF($E$19=tng,'Engine emission factors'!$D39,IF($E$19=ngr,'Engine emission factors'!$F39,IF($E$19=ngl,'Engine emission factors'!$G39,IF($E$19=ng2l,'Engine emission factors'!$H39,IF($E$19=pro,'Engine emission factors'!$I39,IF($E$19=select,'Engine emission factors'!$AA39))))))))</f>
        <v>0</v>
      </c>
      <c r="H70" s="58">
        <f t="shared" si="2"/>
        <v>0</v>
      </c>
      <c r="I70" s="59">
        <f t="shared" si="3"/>
        <v>0</v>
      </c>
      <c r="K70" s="3"/>
      <c r="L70" s="3"/>
      <c r="M70" s="3"/>
      <c r="N70" s="3"/>
      <c r="O70" s="3"/>
      <c r="P70" s="3"/>
      <c r="Q70" s="3"/>
      <c r="R70" s="3"/>
      <c r="S70" s="3"/>
      <c r="T70" s="3"/>
    </row>
    <row r="71" spans="2:20" s="6" customFormat="1" ht="15" customHeight="1" x14ac:dyDescent="0.2">
      <c r="B71" s="70" t="s">
        <v>111</v>
      </c>
      <c r="G71" s="38">
        <f>IF($E$19=rd,IF($E$21&gt;=600,'Engine emission factors'!$C40,'Engine emission factors'!$B40),IF($E$19=rg,'Engine emission factors'!$E40,IF($E$19=tng,'Engine emission factors'!$D40,IF($E$19=ngr,'Engine emission factors'!$F40,IF($E$19=ngl,'Engine emission factors'!$G40,IF($E$19=ng2l,'Engine emission factors'!$H40,IF($E$19=pro,'Engine emission factors'!$I40,IF($E$19=select,'Engine emission factors'!$AA40))))))))</f>
        <v>0</v>
      </c>
      <c r="H71" s="58">
        <f t="shared" si="2"/>
        <v>0</v>
      </c>
      <c r="I71" s="59">
        <f t="shared" si="3"/>
        <v>0</v>
      </c>
      <c r="K71" s="3"/>
      <c r="L71" s="3"/>
      <c r="M71" s="3"/>
      <c r="N71" s="3"/>
      <c r="O71" s="3"/>
      <c r="P71" s="3"/>
      <c r="Q71" s="3"/>
      <c r="R71" s="3"/>
      <c r="S71" s="3"/>
      <c r="T71" s="3"/>
    </row>
    <row r="72" spans="2:20" s="6" customFormat="1" ht="15" customHeight="1" x14ac:dyDescent="0.2">
      <c r="B72" s="71" t="s">
        <v>84</v>
      </c>
      <c r="G72" s="38">
        <f>IF($E$19=rd,IF($E$21&gt;=600,'Engine emission factors'!$C41,'Engine emission factors'!$B41),IF($E$19=rg,'Engine emission factors'!$E41,IF($E$19=tng,'Engine emission factors'!$D41,IF($E$19=ngr,'Engine emission factors'!$F41,IF($E$19=ngl,'Engine emission factors'!$G41,IF($E$19=ng2l,'Engine emission factors'!$H41,IF($E$19=pro,'Engine emission factors'!$I41,IF($E$19=select,'Engine emission factors'!$AA41))))))))</f>
        <v>0</v>
      </c>
      <c r="H72" s="58">
        <f t="shared" si="2"/>
        <v>0</v>
      </c>
      <c r="I72" s="59">
        <f t="shared" si="3"/>
        <v>0</v>
      </c>
      <c r="K72" s="3"/>
      <c r="L72" s="3"/>
      <c r="M72" s="3"/>
      <c r="N72" s="3"/>
      <c r="O72" s="3"/>
      <c r="P72" s="3"/>
      <c r="Q72" s="3"/>
      <c r="R72" s="3"/>
      <c r="S72" s="3"/>
      <c r="T72" s="3"/>
    </row>
    <row r="73" spans="2:20" s="6" customFormat="1" ht="15" customHeight="1" thickBot="1" x14ac:dyDescent="0.25">
      <c r="B73" s="61"/>
      <c r="C73" s="62"/>
      <c r="D73" s="62"/>
      <c r="E73" s="62"/>
      <c r="F73" s="63" t="s">
        <v>40</v>
      </c>
      <c r="G73" s="64"/>
      <c r="H73" s="72">
        <f>SUM(H48:H72)</f>
        <v>0</v>
      </c>
      <c r="I73" s="73">
        <f>SUM(I48:I72)</f>
        <v>0</v>
      </c>
      <c r="K73" s="3"/>
      <c r="L73" s="3"/>
      <c r="M73" s="3"/>
      <c r="N73" s="3"/>
      <c r="O73" s="3"/>
      <c r="P73" s="3"/>
      <c r="Q73" s="3"/>
      <c r="R73" s="3"/>
      <c r="S73" s="3"/>
      <c r="T73" s="3"/>
    </row>
    <row r="74" spans="2:20" s="6" customFormat="1" ht="15" customHeight="1" x14ac:dyDescent="0.2">
      <c r="B74" s="476" t="s">
        <v>187</v>
      </c>
      <c r="C74" s="476"/>
      <c r="D74" s="476"/>
      <c r="E74" s="476"/>
      <c r="F74" s="302"/>
      <c r="G74" s="302"/>
      <c r="H74" s="302"/>
      <c r="I74" s="302"/>
      <c r="K74" s="3"/>
      <c r="L74" s="3"/>
      <c r="M74" s="3"/>
      <c r="N74" s="3"/>
      <c r="O74" s="3"/>
      <c r="P74" s="3"/>
      <c r="Q74" s="3"/>
      <c r="R74" s="3"/>
      <c r="S74" s="3"/>
      <c r="T74" s="3"/>
    </row>
    <row r="75" spans="2:20" s="6" customFormat="1" ht="15" customHeight="1" x14ac:dyDescent="0.25">
      <c r="B75" s="463" t="s">
        <v>188</v>
      </c>
      <c r="C75" s="463"/>
      <c r="D75" s="463"/>
      <c r="E75" s="463"/>
      <c r="K75" s="3"/>
      <c r="L75" s="3"/>
      <c r="M75" s="3"/>
      <c r="N75" s="3"/>
      <c r="O75" s="3"/>
      <c r="P75" s="3"/>
      <c r="Q75" s="3"/>
      <c r="R75" s="3"/>
      <c r="S75" s="3"/>
      <c r="T75" s="3"/>
    </row>
    <row r="76" spans="2:20" s="6" customFormat="1" ht="15" customHeight="1" x14ac:dyDescent="0.2">
      <c r="B76" s="282" t="s">
        <v>531</v>
      </c>
      <c r="C76" s="282"/>
      <c r="D76" s="282"/>
      <c r="E76" s="282"/>
      <c r="K76" s="3"/>
      <c r="L76" s="3"/>
      <c r="M76" s="3"/>
      <c r="N76" s="3"/>
      <c r="O76" s="3"/>
      <c r="P76" s="3"/>
      <c r="Q76" s="3"/>
      <c r="R76" s="3"/>
      <c r="S76" s="3"/>
      <c r="T76" s="3"/>
    </row>
    <row r="77" spans="2:20" s="6" customFormat="1" ht="15" customHeight="1" x14ac:dyDescent="0.25">
      <c r="B77" s="283" t="s">
        <v>419</v>
      </c>
      <c r="C77" s="284"/>
      <c r="D77" s="284"/>
      <c r="E77" s="284"/>
      <c r="F77"/>
      <c r="G77" s="281" t="s">
        <v>190</v>
      </c>
      <c r="H77" s="281"/>
      <c r="I77"/>
      <c r="J77"/>
      <c r="K77" s="3"/>
      <c r="L77" s="3"/>
      <c r="M77" s="3"/>
      <c r="N77" s="3"/>
      <c r="O77" s="3"/>
      <c r="P77" s="3"/>
      <c r="Q77" s="3"/>
      <c r="R77" s="3"/>
      <c r="S77" s="3"/>
      <c r="T77" s="3"/>
    </row>
    <row r="78" spans="2:20" ht="15" customHeight="1" x14ac:dyDescent="0.25">
      <c r="B78" s="215"/>
      <c r="C78" s="215"/>
      <c r="D78" s="215"/>
      <c r="E78" s="215"/>
    </row>
    <row r="79" spans="2:20" x14ac:dyDescent="0.25">
      <c r="D79" s="215"/>
      <c r="E79" s="215"/>
      <c r="F79" s="1"/>
      <c r="G79" s="1"/>
      <c r="H79" s="1"/>
      <c r="I79" s="1"/>
    </row>
    <row r="413" hidden="1" x14ac:dyDescent="0.25"/>
  </sheetData>
  <protectedRanges>
    <protectedRange sqref="B22 N28:Q29 C11:C13 M33:M36 J21:J26 E21:E24 F5:F6 A14:A19 R22:W27 P24:Q27 K22:K27" name="Range2"/>
    <protectedRange sqref="O28:Q410 L42:L406 N28:N44 M32:M44 M46:N410 J25:J407 A5:B7 L34:L40 B19:C20 H11:H12 A26:A408 B25:I73 B80:I407 B74:E76 D77:I79 B77:C78 L6:L8 G5:I8 C5:D8 M5:XFD8 A1:XFD4 C10:E10 A8:A10 D11:E13 G11:G13 C9:XFD9 G10:L10 I11:L13 K14:L19 R10:XFD21 R26:XFD408 M10:Q23 M24:O27 B14:I18 A20:A21 K20:K21 K26:K408 E19:J19 E20 G20:J20" name="Range1"/>
    <protectedRange sqref="D19:D20" name="Range1_2"/>
    <protectedRange sqref="F20" name="Range1_3"/>
  </protectedRanges>
  <mergeCells count="27">
    <mergeCell ref="B75:E75"/>
    <mergeCell ref="H29:H30"/>
    <mergeCell ref="I29:I30"/>
    <mergeCell ref="J29:J30"/>
    <mergeCell ref="J31:J32"/>
    <mergeCell ref="G47:I47"/>
    <mergeCell ref="B74:E74"/>
    <mergeCell ref="B29:B30"/>
    <mergeCell ref="C29:C30"/>
    <mergeCell ref="D29:D30"/>
    <mergeCell ref="E29:E30"/>
    <mergeCell ref="F29:F30"/>
    <mergeCell ref="G29:G30"/>
    <mergeCell ref="B25:D25"/>
    <mergeCell ref="F25:I25"/>
    <mergeCell ref="B26:I26"/>
    <mergeCell ref="B27:I27"/>
    <mergeCell ref="B22:D22"/>
    <mergeCell ref="C8:D8"/>
    <mergeCell ref="E19:F19"/>
    <mergeCell ref="G19:H19"/>
    <mergeCell ref="B1:J1"/>
    <mergeCell ref="B2:J2"/>
    <mergeCell ref="B3:I3"/>
    <mergeCell ref="C5:D5"/>
    <mergeCell ref="C6:D6"/>
    <mergeCell ref="C7:D7"/>
  </mergeCells>
  <conditionalFormatting sqref="G34:G41 G43:G45 G48:G72">
    <cfRule type="cellIs" dxfId="32" priority="1" operator="equal">
      <formula>0</formula>
    </cfRule>
  </conditionalFormatting>
  <conditionalFormatting sqref="E23:E24">
    <cfRule type="containsBlanks" dxfId="31" priority="2">
      <formula>LEN(TRIM(E23))=0</formula>
    </cfRule>
  </conditionalFormatting>
  <dataValidations count="4">
    <dataValidation type="list" allowBlank="1" showInputMessage="1" showErrorMessage="1" sqref="G8" xr:uid="{00000000-0002-0000-0700-000000000000}">
      <formula1>"Choose one, Tier 1, Tier 2, Tier 3, Tier 4, other"</formula1>
    </dataValidation>
    <dataValidation type="list" allowBlank="1" showInputMessage="1" showErrorMessage="1" sqref="B16" xr:uid="{00000000-0002-0000-0700-000001000000}">
      <formula1>"Choose one, Yes - NSPS, Yes - NESHAP, No"</formula1>
    </dataValidation>
    <dataValidation type="list" allowBlank="1" showInputMessage="1" showErrorMessage="1" sqref="B11:B13" xr:uid="{00000000-0002-0000-0700-000002000000}">
      <formula1>"Choose one, Yes, No"</formula1>
    </dataValidation>
    <dataValidation allowBlank="1" showErrorMessage="1" sqref="E21:E31 B23:C32 D32:E32 B21:D21 D23:D31 F21:I32" xr:uid="{00000000-0002-0000-0700-000003000000}"/>
  </dataValidations>
  <hyperlinks>
    <hyperlink ref="I42" r:id="rId1" xr:uid="{00000000-0004-0000-0700-000000000000}"/>
    <hyperlink ref="G77:H77" r:id="rId2" display="Minn. R. 7007.1300, subp. 3(I)" xr:uid="{00000000-0004-0000-0700-000001000000}"/>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47" min="1" max="9" man="1"/>
  </rowBreaks>
  <extLst>
    <ext xmlns:x14="http://schemas.microsoft.com/office/spreadsheetml/2009/9/main" uri="{CCE6A557-97BC-4b89-ADB6-D9C93CAAB3DF}">
      <x14:dataValidations xmlns:xm="http://schemas.microsoft.com/office/excel/2006/main" count="3">
        <x14:dataValidation type="list" allowBlank="1" showErrorMessage="1" xr:uid="{00000000-0002-0000-0700-000004000000}">
          <x14:formula1>
            <xm:f>'Data validation'!$B$5:$B$7</xm:f>
          </x14:formula1>
          <xm:sqref>B22:D22</xm:sqref>
        </x14:dataValidation>
        <x14:dataValidation type="list" errorStyle="information" allowBlank="1" showInputMessage="1" showErrorMessage="1" errorTitle="Incorrect Entry" error="Please choose from the drop down list._x000a__x000a_----&gt; Press CANCEL" xr:uid="{00000000-0002-0000-0700-000005000000}">
          <x14:formula1>
            <xm:f>'Data validation'!$A$17:$A$19</xm:f>
          </x14:formula1>
          <xm:sqref>E20</xm:sqref>
        </x14:dataValidation>
        <x14:dataValidation type="list" errorStyle="information" allowBlank="1" showInputMessage="1" showErrorMessage="1" errorTitle="Incorrect Entry" error="Please choose from the drop down list._x000a__x000a_----&gt; Press CANCEL" xr:uid="{00000000-0002-0000-0700-000006000000}">
          <x14:formula1>
            <xm:f>'Data validation'!$A$6:$A$13</xm:f>
          </x14:formula1>
          <xm:sqref>E19:F19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D1EAFF"/>
    <pageSetUpPr fitToPage="1"/>
  </sheetPr>
  <dimension ref="A1:T413"/>
  <sheetViews>
    <sheetView showGridLines="0" zoomScaleNormal="100" zoomScaleSheetLayoutView="100" zoomScalePageLayoutView="85" workbookViewId="0">
      <selection activeCell="C5" sqref="C5:D5"/>
    </sheetView>
  </sheetViews>
  <sheetFormatPr defaultRowHeight="15" x14ac:dyDescent="0.25"/>
  <cols>
    <col min="1" max="1" width="5.140625" customWidth="1"/>
    <col min="2" max="2" width="21.140625" customWidth="1"/>
    <col min="3" max="3" width="9" customWidth="1"/>
    <col min="4" max="5" width="17.85546875" customWidth="1"/>
    <col min="6" max="6" width="19.28515625" customWidth="1"/>
    <col min="7" max="9" width="17.85546875" customWidth="1"/>
    <col min="10" max="10" width="16" customWidth="1"/>
    <col min="11" max="13" width="12" style="3" customWidth="1"/>
    <col min="14" max="18" width="9.140625" style="3"/>
    <col min="19" max="20" width="9.140625" style="210"/>
  </cols>
  <sheetData>
    <row r="1" spans="1:20" x14ac:dyDescent="0.25">
      <c r="B1" s="439" t="str">
        <f>Instructions!O3</f>
        <v>p-sbap5-25  •  12/13/23</v>
      </c>
      <c r="C1" s="439"/>
      <c r="D1" s="439"/>
      <c r="E1" s="439"/>
      <c r="F1" s="439"/>
      <c r="G1" s="439"/>
      <c r="H1" s="439"/>
      <c r="I1" s="439"/>
      <c r="J1" s="439"/>
    </row>
    <row r="2" spans="1:20" ht="19.5" thickBot="1" x14ac:dyDescent="0.3">
      <c r="B2" s="413" t="s">
        <v>129</v>
      </c>
      <c r="C2" s="413"/>
      <c r="D2" s="413"/>
      <c r="E2" s="413"/>
      <c r="F2" s="413"/>
      <c r="G2" s="413"/>
      <c r="H2" s="413"/>
      <c r="I2" s="413"/>
      <c r="J2" s="413"/>
      <c r="K2"/>
      <c r="L2"/>
      <c r="M2"/>
      <c r="N2"/>
      <c r="O2"/>
      <c r="P2"/>
      <c r="Q2"/>
      <c r="R2"/>
      <c r="S2"/>
      <c r="T2"/>
    </row>
    <row r="3" spans="1:20" s="6" customFormat="1" ht="14.25" x14ac:dyDescent="0.2">
      <c r="B3" s="486" t="s">
        <v>277</v>
      </c>
      <c r="C3" s="486"/>
      <c r="D3" s="486"/>
      <c r="E3" s="486"/>
      <c r="F3" s="486"/>
      <c r="G3" s="486"/>
      <c r="H3" s="486"/>
      <c r="I3" s="486"/>
      <c r="J3" s="9"/>
    </row>
    <row r="4" spans="1:20" s="6" customFormat="1" x14ac:dyDescent="0.25">
      <c r="B4" s="278"/>
      <c r="C4" s="233"/>
      <c r="D4" s="233"/>
      <c r="E4" s="233"/>
      <c r="F4" s="233"/>
      <c r="G4" s="233"/>
      <c r="H4" s="233"/>
      <c r="I4" s="233"/>
      <c r="J4" s="9"/>
    </row>
    <row r="5" spans="1:20" s="6" customFormat="1" ht="14.25" x14ac:dyDescent="0.2">
      <c r="B5" s="347" t="s">
        <v>267</v>
      </c>
      <c r="C5" s="484" t="s">
        <v>77</v>
      </c>
      <c r="D5" s="485"/>
      <c r="E5" s="3"/>
      <c r="F5" s="347" t="s">
        <v>270</v>
      </c>
      <c r="G5" s="301"/>
      <c r="H5" s="3" t="s">
        <v>420</v>
      </c>
      <c r="I5" s="226"/>
    </row>
    <row r="6" spans="1:20" s="6" customFormat="1" ht="14.25" x14ac:dyDescent="0.2">
      <c r="B6" s="347" t="s">
        <v>226</v>
      </c>
      <c r="C6" s="484"/>
      <c r="D6" s="485"/>
      <c r="E6" s="3"/>
      <c r="F6" s="347" t="s">
        <v>271</v>
      </c>
      <c r="G6" s="301"/>
      <c r="H6" s="3" t="s">
        <v>274</v>
      </c>
      <c r="I6" s="226"/>
    </row>
    <row r="7" spans="1:20" s="6" customFormat="1" ht="14.25" x14ac:dyDescent="0.2">
      <c r="B7" s="347" t="s">
        <v>227</v>
      </c>
      <c r="C7" s="484"/>
      <c r="D7" s="485"/>
      <c r="E7" s="3"/>
      <c r="F7" s="347" t="s">
        <v>272</v>
      </c>
      <c r="G7" s="301"/>
      <c r="H7" s="3" t="s">
        <v>275</v>
      </c>
      <c r="I7" s="226"/>
    </row>
    <row r="8" spans="1:20" s="6" customFormat="1" ht="14.25" x14ac:dyDescent="0.2">
      <c r="B8" s="347" t="s">
        <v>269</v>
      </c>
      <c r="C8" s="484"/>
      <c r="D8" s="485"/>
      <c r="E8" s="3" t="s">
        <v>268</v>
      </c>
      <c r="F8" s="347" t="s">
        <v>273</v>
      </c>
      <c r="G8" s="301" t="s">
        <v>178</v>
      </c>
      <c r="H8" s="3" t="s">
        <v>276</v>
      </c>
      <c r="I8" s="226"/>
    </row>
    <row r="9" spans="1:20" s="6" customFormat="1" ht="14.25" x14ac:dyDescent="0.2">
      <c r="B9" s="3"/>
      <c r="C9" s="275"/>
      <c r="D9" s="275"/>
      <c r="E9" s="275"/>
      <c r="F9" s="275"/>
      <c r="G9" s="275"/>
      <c r="H9" s="275"/>
      <c r="I9" s="275"/>
      <c r="J9" s="9"/>
      <c r="K9" s="9"/>
    </row>
    <row r="10" spans="1:20" s="6" customFormat="1" ht="14.25" x14ac:dyDescent="0.2">
      <c r="B10" s="344" t="s">
        <v>500</v>
      </c>
      <c r="C10" s="275"/>
      <c r="D10" s="275"/>
      <c r="E10" s="275"/>
      <c r="G10" s="9"/>
    </row>
    <row r="11" spans="1:20" s="6" customFormat="1" ht="14.25" x14ac:dyDescent="0.2">
      <c r="B11" s="277" t="s">
        <v>178</v>
      </c>
      <c r="C11" s="348" t="s">
        <v>263</v>
      </c>
      <c r="D11" s="275"/>
      <c r="E11" s="275"/>
      <c r="G11" s="9"/>
      <c r="H11" s="344"/>
    </row>
    <row r="12" spans="1:20" s="6" customFormat="1" ht="14.25" x14ac:dyDescent="0.2">
      <c r="B12" s="216" t="s">
        <v>178</v>
      </c>
      <c r="C12" s="348" t="s">
        <v>264</v>
      </c>
      <c r="D12" s="275"/>
      <c r="E12" s="275"/>
      <c r="G12" s="9"/>
      <c r="H12" s="348"/>
    </row>
    <row r="13" spans="1:20" s="6" customFormat="1" ht="15.75" customHeight="1" x14ac:dyDescent="0.2">
      <c r="B13" s="216" t="s">
        <v>178</v>
      </c>
      <c r="C13" s="348" t="s">
        <v>265</v>
      </c>
      <c r="D13" s="275"/>
      <c r="E13" s="275"/>
      <c r="G13" s="9"/>
    </row>
    <row r="14" spans="1:20" s="6" customFormat="1" ht="15.75" customHeight="1" x14ac:dyDescent="0.2">
      <c r="A14" s="348"/>
      <c r="B14" s="275"/>
      <c r="C14" s="275"/>
      <c r="D14" s="275"/>
      <c r="E14" s="275"/>
      <c r="F14" s="275"/>
      <c r="G14" s="275"/>
      <c r="H14" s="9"/>
      <c r="I14" s="9"/>
    </row>
    <row r="15" spans="1:20" s="6" customFormat="1" ht="15.75" customHeight="1" x14ac:dyDescent="0.2">
      <c r="A15" s="348"/>
      <c r="B15" s="344" t="s">
        <v>421</v>
      </c>
      <c r="C15" s="275"/>
      <c r="D15" s="275"/>
      <c r="E15" s="275"/>
      <c r="F15" s="275"/>
      <c r="G15" s="275"/>
      <c r="H15" s="9"/>
      <c r="I15" s="9"/>
    </row>
    <row r="16" spans="1:20" s="6" customFormat="1" ht="15.75" customHeight="1" x14ac:dyDescent="0.2">
      <c r="A16" s="348"/>
      <c r="B16" s="277" t="s">
        <v>178</v>
      </c>
      <c r="C16" s="348" t="s">
        <v>422</v>
      </c>
      <c r="D16" s="275"/>
      <c r="E16" s="275"/>
      <c r="F16" s="275"/>
      <c r="G16" s="275"/>
      <c r="H16" s="9"/>
      <c r="I16" s="9"/>
    </row>
    <row r="17" spans="1:20" s="6" customFormat="1" ht="15.75" customHeight="1" x14ac:dyDescent="0.2">
      <c r="A17" s="348"/>
      <c r="B17" s="344"/>
      <c r="C17" s="286"/>
      <c r="D17" s="275"/>
      <c r="E17" s="275"/>
      <c r="F17" s="275"/>
      <c r="G17" s="275"/>
      <c r="H17" s="9"/>
      <c r="I17" s="9"/>
    </row>
    <row r="18" spans="1:20" s="6" customFormat="1" ht="15.75" customHeight="1" x14ac:dyDescent="0.25">
      <c r="A18" s="348"/>
      <c r="B18" s="287" t="s">
        <v>423</v>
      </c>
      <c r="C18" s="286"/>
      <c r="D18" s="275"/>
      <c r="E18" s="275"/>
      <c r="F18" s="275"/>
      <c r="G18" s="275"/>
      <c r="H18" s="9"/>
      <c r="I18" s="9"/>
    </row>
    <row r="19" spans="1:20" s="6" customFormat="1" ht="15.75" customHeight="1" x14ac:dyDescent="0.25">
      <c r="A19" s="348"/>
      <c r="B19" s="357"/>
      <c r="C19" s="357"/>
      <c r="D19" s="346" t="s">
        <v>130</v>
      </c>
      <c r="E19" s="480" t="s">
        <v>178</v>
      </c>
      <c r="F19" s="481"/>
      <c r="G19" s="482"/>
      <c r="H19" s="482"/>
      <c r="I19" s="233"/>
    </row>
    <row r="20" spans="1:20" s="6" customFormat="1" ht="15" customHeight="1" x14ac:dyDescent="0.2">
      <c r="B20" s="357"/>
      <c r="C20" s="357"/>
      <c r="D20" s="346" t="s">
        <v>131</v>
      </c>
      <c r="E20" s="216" t="s">
        <v>178</v>
      </c>
      <c r="F20" s="359"/>
      <c r="G20" s="358"/>
      <c r="H20" s="358"/>
      <c r="I20" s="358"/>
      <c r="J20" s="9"/>
      <c r="K20" s="3"/>
    </row>
    <row r="21" spans="1:20" s="6" customFormat="1" ht="15" customHeight="1" x14ac:dyDescent="0.2">
      <c r="B21" s="357"/>
      <c r="C21" s="357"/>
      <c r="D21" s="346" t="str">
        <f>IF($E$19='Data validation'!$A$6," ",IF(OR($E$19=rd,$E$19=rg),"Rated mechanical output",IF(OR($E$19=pro,OR($E$19=ngl,OR($E$19=ngr,OR($E$19=tng,$E$19=ng2l)))),"Rated fuel input"," ")))</f>
        <v xml:space="preserve"> </v>
      </c>
      <c r="E21" s="74">
        <v>0</v>
      </c>
      <c r="F21" s="358" t="str">
        <f>IF($D$21=" "," ",IF($D$21="Rated mechanical output",'Data validation'!$A$24,IF(AND($D$21="Rated fuel input",$E$19=pro),'Data validation'!$A$26,'Data validation'!$A$25)))</f>
        <v xml:space="preserve"> </v>
      </c>
      <c r="G21" s="358"/>
      <c r="H21" s="358"/>
      <c r="I21" s="358"/>
      <c r="J21" s="9"/>
      <c r="K21" s="9"/>
      <c r="R21" s="3"/>
      <c r="S21" s="3"/>
      <c r="T21" s="3"/>
    </row>
    <row r="22" spans="1:20" s="6" customFormat="1" ht="15" customHeight="1" x14ac:dyDescent="0.2">
      <c r="B22" s="477" t="s">
        <v>214</v>
      </c>
      <c r="C22" s="478"/>
      <c r="D22" s="479"/>
      <c r="E22" s="74">
        <v>0</v>
      </c>
      <c r="F22" s="359" t="str">
        <f>IF($B$22='Data validation'!$B$5," ",IF($B$22='Data validation'!$B$6,'Data validation'!$B$11,IF(AND($B$22='Data validation'!$B$7,OR($E$19=tng,OR($E$19=ngl,OR($E$19=ngr,OR($E$19=ng2l))))),'Data validation'!$B$12,IF(AND($B$22='Data validation'!$B$7,OR($E$19=rd,OR($E$19=rg,OR($E$19=pro)))),'Data validation'!$B$13," "))))</f>
        <v xml:space="preserve"> </v>
      </c>
      <c r="G22" s="358"/>
      <c r="H22" s="358"/>
      <c r="I22" s="358"/>
      <c r="J22" s="9"/>
      <c r="K22" s="9"/>
      <c r="R22" s="3"/>
      <c r="S22" s="3"/>
      <c r="T22" s="3"/>
    </row>
    <row r="23" spans="1:20" s="6" customFormat="1" ht="15" customHeight="1" x14ac:dyDescent="0.2">
      <c r="B23" s="332"/>
      <c r="C23" s="332"/>
      <c r="D23" s="345" t="str">
        <f>IF($F$21=" "," ",IF($F$21='Data validation'!$A$24,'Data validation'!$A$29,IF(OR($F$21='Data validation'!$A$25,$F$21='Data validation'!$A$26),'Data validation'!$A$30)))</f>
        <v xml:space="preserve"> </v>
      </c>
      <c r="E23" s="145" t="str">
        <f>IF(E19='Data validation'!A6," ",IF(E19=rd,'Engine emission factors'!F53,IF(E19=rg,'Engine emission factors'!F54,IF(OR(E19=ngl,OR(E19=ngr,OR(E19=tng,E19=NGC2))),'Engine emission factors'!G52,IF(E19=pro,'Engine emission factors'!H55," ")))))</f>
        <v xml:space="preserve"> </v>
      </c>
      <c r="F23" s="280" t="str">
        <f>IF($D$23=" "," ",IF($D$23='Data validation'!$A$29,"(Btu/HP-hr)",IF(AND($D$23='Data validation'!$A$30,$E$19=pro),"(Btu/gal)",IF($D$23='Data validation'!$A$30,"(Btu/scf)"))))</f>
        <v xml:space="preserve"> </v>
      </c>
      <c r="G23" s="280"/>
      <c r="H23" s="280"/>
      <c r="I23" s="280"/>
      <c r="J23" s="9"/>
      <c r="K23" s="9"/>
      <c r="M23" s="3"/>
      <c r="N23" s="3"/>
      <c r="O23" s="3"/>
      <c r="P23" s="3"/>
      <c r="Q23" s="3"/>
      <c r="R23" s="3"/>
      <c r="S23" s="3"/>
      <c r="T23" s="3"/>
    </row>
    <row r="24" spans="1:20" s="6" customFormat="1" ht="15" customHeight="1" x14ac:dyDescent="0.2">
      <c r="B24" s="332"/>
      <c r="C24" s="332"/>
      <c r="D24" s="345" t="str">
        <f>IF($E$19='Data validation'!$A$6," ",IF($E$19=rd,"Heat value of fuel",IF($E$19=rg,"Heat value of fuel"," ")))</f>
        <v xml:space="preserve"> </v>
      </c>
      <c r="E24" s="145" t="str">
        <f>IF(E19=rd,'Engine emission factors'!H53,IF(E19=rg,'Engine emission factors'!H54," "))</f>
        <v xml:space="preserve"> </v>
      </c>
      <c r="F24" s="280" t="str">
        <f>IF($E$19='Data validation'!$A$6," ",IF($E$19=rd,"(Btu/gal)",IF($E$19=rg,"(Btu/gal)"," ")))</f>
        <v xml:space="preserve"> </v>
      </c>
      <c r="G24" s="280"/>
      <c r="H24" s="280"/>
      <c r="I24" s="280"/>
      <c r="J24" s="9"/>
      <c r="K24" s="9"/>
      <c r="P24" s="3"/>
      <c r="Q24" s="3"/>
      <c r="R24" s="3"/>
      <c r="S24" s="3"/>
      <c r="T24" s="3"/>
    </row>
    <row r="25" spans="1:20" s="6" customFormat="1" ht="15" customHeight="1" x14ac:dyDescent="0.2">
      <c r="B25" s="483" t="s">
        <v>132</v>
      </c>
      <c r="C25" s="483"/>
      <c r="D25" s="483"/>
      <c r="E25" s="207" t="str">
        <f>IF(E19=rd,"0.0015",IF(E19=pro,"0.54",IF(E19=tng,"0.00065","NA")))</f>
        <v>NA</v>
      </c>
      <c r="F25" s="487" t="str">
        <f>IF(OR(E19=rd,E19=tng),"%",IF(E19=pro,"gr/100ft3",""))</f>
        <v/>
      </c>
      <c r="G25" s="487"/>
      <c r="H25" s="487"/>
      <c r="I25" s="487"/>
      <c r="J25" s="9"/>
      <c r="K25" s="9"/>
      <c r="P25" s="3"/>
      <c r="Q25" s="3"/>
      <c r="R25" s="3"/>
      <c r="S25" s="3"/>
      <c r="T25" s="3"/>
    </row>
    <row r="26" spans="1:20" s="6" customFormat="1" ht="15" customHeight="1" x14ac:dyDescent="0.2">
      <c r="B26" s="464"/>
      <c r="C26" s="464"/>
      <c r="D26" s="464"/>
      <c r="E26" s="464"/>
      <c r="F26" s="464"/>
      <c r="G26" s="464"/>
      <c r="H26" s="464"/>
      <c r="I26" s="464"/>
      <c r="J26" s="9"/>
      <c r="K26" s="9"/>
      <c r="P26" s="3"/>
      <c r="Q26" s="3"/>
      <c r="R26" s="3"/>
      <c r="S26" s="3"/>
      <c r="T26" s="3"/>
    </row>
    <row r="27" spans="1:20" s="6" customFormat="1" ht="15" customHeight="1" thickBot="1" x14ac:dyDescent="0.25">
      <c r="B27" s="465" t="s">
        <v>133</v>
      </c>
      <c r="C27" s="465"/>
      <c r="D27" s="465"/>
      <c r="E27" s="465"/>
      <c r="F27" s="465"/>
      <c r="G27" s="465"/>
      <c r="H27" s="465"/>
      <c r="I27" s="465"/>
      <c r="J27" s="9"/>
      <c r="K27" s="9"/>
      <c r="P27" s="3"/>
      <c r="Q27" s="3"/>
      <c r="R27" s="3"/>
      <c r="S27" s="3"/>
      <c r="T27" s="3"/>
    </row>
    <row r="28" spans="1:20" s="6" customFormat="1" ht="15" customHeight="1" x14ac:dyDescent="0.2">
      <c r="B28" s="10"/>
      <c r="C28" s="11" t="s">
        <v>16</v>
      </c>
      <c r="D28" s="12" t="s">
        <v>17</v>
      </c>
      <c r="E28" s="12" t="s">
        <v>18</v>
      </c>
      <c r="F28" s="11" t="s">
        <v>19</v>
      </c>
      <c r="G28" s="11" t="s">
        <v>20</v>
      </c>
      <c r="H28" s="13"/>
      <c r="I28" s="14"/>
      <c r="J28" s="15"/>
      <c r="K28" s="9"/>
      <c r="N28" s="3"/>
      <c r="O28" s="3"/>
      <c r="P28" s="3"/>
      <c r="Q28" s="3"/>
      <c r="R28" s="3"/>
      <c r="S28" s="3"/>
      <c r="T28" s="3"/>
    </row>
    <row r="29" spans="1:20" s="6" customFormat="1" ht="15" customHeight="1" x14ac:dyDescent="0.2">
      <c r="B29" s="472" t="s">
        <v>21</v>
      </c>
      <c r="C29" s="473" t="s">
        <v>205</v>
      </c>
      <c r="D29" s="471" t="s">
        <v>186</v>
      </c>
      <c r="E29" s="471" t="s">
        <v>213</v>
      </c>
      <c r="F29" s="471" t="s">
        <v>207</v>
      </c>
      <c r="G29" s="471" t="s">
        <v>22</v>
      </c>
      <c r="H29" s="469" t="s">
        <v>23</v>
      </c>
      <c r="I29" s="470" t="s">
        <v>24</v>
      </c>
      <c r="J29" s="468" t="s">
        <v>204</v>
      </c>
      <c r="K29" s="9"/>
      <c r="N29" s="3"/>
      <c r="O29" s="3"/>
      <c r="P29" s="3"/>
      <c r="Q29" s="3"/>
      <c r="R29" s="3"/>
      <c r="S29" s="3"/>
      <c r="T29" s="3"/>
    </row>
    <row r="30" spans="1:20" s="6" customFormat="1" ht="15" customHeight="1" x14ac:dyDescent="0.2">
      <c r="B30" s="472"/>
      <c r="C30" s="473"/>
      <c r="D30" s="471"/>
      <c r="E30" s="471"/>
      <c r="F30" s="471"/>
      <c r="G30" s="471"/>
      <c r="H30" s="469"/>
      <c r="I30" s="470"/>
      <c r="J30" s="468"/>
      <c r="K30" s="9"/>
      <c r="N30" s="3"/>
      <c r="O30" s="3"/>
      <c r="P30" s="3"/>
      <c r="Q30" s="3"/>
      <c r="R30" s="3"/>
      <c r="S30" s="3"/>
      <c r="T30" s="3"/>
    </row>
    <row r="31" spans="1:20" s="6" customFormat="1" ht="15" customHeight="1" x14ac:dyDescent="0.2">
      <c r="B31" s="16"/>
      <c r="C31" s="17"/>
      <c r="D31" s="18" t="s">
        <v>222</v>
      </c>
      <c r="E31" s="18" t="s">
        <v>209</v>
      </c>
      <c r="F31" s="19" t="s">
        <v>25</v>
      </c>
      <c r="G31" s="19" t="s">
        <v>94</v>
      </c>
      <c r="H31" s="20" t="s">
        <v>26</v>
      </c>
      <c r="I31" s="21" t="s">
        <v>27</v>
      </c>
      <c r="J31" s="466" t="s">
        <v>27</v>
      </c>
      <c r="K31" s="3"/>
      <c r="N31" s="3"/>
      <c r="O31" s="3"/>
      <c r="P31" s="3"/>
      <c r="Q31" s="3"/>
      <c r="R31" s="3"/>
      <c r="S31" s="3"/>
      <c r="T31" s="3"/>
    </row>
    <row r="32" spans="1:20" s="7" customFormat="1" ht="15" customHeight="1" thickBot="1" x14ac:dyDescent="0.25">
      <c r="B32" s="22"/>
      <c r="C32" s="23"/>
      <c r="D32" s="24">
        <f>IF(E19=select,0,IF(OR(E19=rd,E19=rg),(E21*E23/10^6),IF(E19=pro,(E21*E23/10^6),IF(OR(E19=ngl,OR(E19=ngr,OR(E19=tng,E19=NGC2))),(E21*E23/(10^6))))))</f>
        <v>0</v>
      </c>
      <c r="E32" s="24">
        <f>IF(F22='Data validation'!B12,E22,IF(AND(F22='Data validation'!B13,E19=rd),(('Engine emission factors'!H53*E22)/1000000),IF(AND(F22='Data validation'!B13,E19=rg),(('Engine emission factors'!H54*E22)/1000000),IF(AND(F22='Data validation'!B13,E19=pro),(('Engine emission factors'!H55*E22)/1000000),IF(F22='Data validation'!B11,(E22*D32),IF(F22=" ",0))))))</f>
        <v>0</v>
      </c>
      <c r="F32" s="144">
        <f>IF($E$20=so,0,IF(OR($E$20=Routine,AND($E$20=Emer,$B$12="Yes")),8760,IF($E$20=Emer,500)))</f>
        <v>0</v>
      </c>
      <c r="G32" s="25" t="s">
        <v>41</v>
      </c>
      <c r="H32" s="20" t="s">
        <v>177</v>
      </c>
      <c r="I32" s="21" t="s">
        <v>223</v>
      </c>
      <c r="J32" s="467"/>
      <c r="K32" s="3"/>
      <c r="M32" s="3"/>
      <c r="N32" s="3"/>
      <c r="O32" s="3"/>
      <c r="P32" s="3"/>
      <c r="Q32" s="3"/>
      <c r="R32" s="3"/>
      <c r="S32" s="3"/>
      <c r="T32" s="3"/>
    </row>
    <row r="33" spans="2:20" s="6" customFormat="1" ht="15" customHeight="1" x14ac:dyDescent="0.2">
      <c r="B33" s="75" t="s">
        <v>44</v>
      </c>
      <c r="C33" s="26"/>
      <c r="D33" s="27"/>
      <c r="E33" s="28"/>
      <c r="F33" s="29"/>
      <c r="G33" s="30"/>
      <c r="H33" s="31"/>
      <c r="I33" s="32" t="s">
        <v>144</v>
      </c>
      <c r="J33" s="33"/>
      <c r="K33" s="3"/>
      <c r="M33" s="3"/>
      <c r="N33" s="3"/>
      <c r="O33" s="3"/>
      <c r="P33" s="3"/>
      <c r="Q33" s="3"/>
      <c r="R33" s="3"/>
      <c r="S33" s="3"/>
      <c r="T33" s="3"/>
    </row>
    <row r="34" spans="2:20" s="6" customFormat="1" ht="15" customHeight="1" x14ac:dyDescent="0.2">
      <c r="B34" s="34" t="s">
        <v>28</v>
      </c>
      <c r="D34" s="35"/>
      <c r="E34" s="36"/>
      <c r="F34" s="37"/>
      <c r="G34" s="38">
        <f>IF($E$19=rd,IF($E$21&gt;=600,'Engine emission factors'!$C5,'Engine emission factors'!$B5),IF($E$19=rg,'Engine emission factors'!$E5,IF($E$19=tng,'Engine emission factors'!$D5,IF($E$19=ngr,'Engine emission factors'!$F5,IF($E$19=ngl,'Engine emission factors'!$G5,IF($E$19=ng2l,'Engine emission factors'!$H5,IF($E$19=pro,'Engine emission factors'!$I5,IF($E$19=select,'Engine emission factors'!$AA5))))))))</f>
        <v>0</v>
      </c>
      <c r="H34" s="39">
        <f>$D$32*$F$32*$G34/2000</f>
        <v>0</v>
      </c>
      <c r="I34" s="40">
        <f>($E$32*$G34)/2000</f>
        <v>0</v>
      </c>
      <c r="J34" s="41">
        <v>1</v>
      </c>
      <c r="K34" s="3"/>
      <c r="L34" s="9"/>
      <c r="M34" s="3"/>
      <c r="N34" s="3"/>
      <c r="O34" s="3"/>
      <c r="P34" s="3"/>
      <c r="Q34" s="3"/>
      <c r="R34" s="3"/>
      <c r="S34" s="3"/>
      <c r="T34" s="3"/>
    </row>
    <row r="35" spans="2:20" s="6" customFormat="1" ht="15" customHeight="1" x14ac:dyDescent="0.2">
      <c r="B35" s="34" t="s">
        <v>29</v>
      </c>
      <c r="D35" s="35"/>
      <c r="E35" s="36"/>
      <c r="F35" s="37"/>
      <c r="G35" s="38">
        <f>IF($E$19=rd,IF($E$21&gt;=600,'Engine emission factors'!$C6,'Engine emission factors'!$B6),IF($E$19=rg,'Engine emission factors'!$E6,IF($E$19=tng,'Engine emission factors'!$D6,IF($E$19=ngr,'Engine emission factors'!$F6,IF($E$19=ngl,'Engine emission factors'!$G6,IF($E$19=ng2l,'Engine emission factors'!$H6,IF($E$19=pro,'Engine emission factors'!$I6,IF($E$19=select,'Engine emission factors'!$AA6))))))))</f>
        <v>0</v>
      </c>
      <c r="H35" s="42">
        <f t="shared" ref="H35:H40" si="0">$D$32*$F$32*$G35/2000</f>
        <v>0</v>
      </c>
      <c r="I35" s="40">
        <f t="shared" ref="I35:I40" si="1">($E$32*$G35)/2000</f>
        <v>0</v>
      </c>
      <c r="J35" s="43">
        <v>1</v>
      </c>
      <c r="K35" s="3"/>
      <c r="L35" s="3"/>
      <c r="M35" s="3"/>
      <c r="N35" s="3"/>
      <c r="O35" s="3"/>
      <c r="P35" s="3"/>
      <c r="Q35" s="3"/>
      <c r="R35" s="3"/>
      <c r="S35" s="3"/>
      <c r="T35" s="3"/>
    </row>
    <row r="36" spans="2:20" s="6" customFormat="1" ht="15" customHeight="1" x14ac:dyDescent="0.2">
      <c r="B36" s="34" t="s">
        <v>72</v>
      </c>
      <c r="D36" s="35"/>
      <c r="E36" s="36"/>
      <c r="F36" s="37"/>
      <c r="G36" s="38">
        <f>IF($E$19=rd,IF($E$21&gt;=600,'Engine emission factors'!$C7,'Engine emission factors'!$B7),IF($E$19=rg,'Engine emission factors'!$E7,IF($E$19=tng,'Engine emission factors'!$D7,IF($E$19=ngr,'Engine emission factors'!$F7,IF($E$19=ngl,'Engine emission factors'!$G7,IF($E$19=ng2l,'Engine emission factors'!$H7,IF($E$19=pro,'Engine emission factors'!$I7,IF($E$19=select,'Engine emission factors'!$AA7))))))))</f>
        <v>0</v>
      </c>
      <c r="H36" s="42">
        <f t="shared" si="0"/>
        <v>0</v>
      </c>
      <c r="I36" s="40">
        <f t="shared" si="1"/>
        <v>0</v>
      </c>
      <c r="J36" s="44"/>
      <c r="K36" s="3"/>
      <c r="L36" s="3"/>
      <c r="M36" s="211"/>
      <c r="N36" s="3"/>
      <c r="O36" s="3"/>
      <c r="P36" s="3"/>
      <c r="Q36" s="3"/>
      <c r="R36" s="3"/>
      <c r="S36" s="3"/>
      <c r="T36" s="3"/>
    </row>
    <row r="37" spans="2:20" s="6" customFormat="1" ht="15" customHeight="1" x14ac:dyDescent="0.2">
      <c r="B37" s="34" t="s">
        <v>30</v>
      </c>
      <c r="D37" s="35"/>
      <c r="E37" s="36"/>
      <c r="F37" s="37"/>
      <c r="G37" s="38">
        <f>IF($E$19=rd,IF($E$21&gt;=600,'Engine emission factors'!$C8*$E$25,'Engine emission factors'!$B8*$E$25),IF($E$19=rg,'Engine emission factors'!$E8,IF($E$19=tng,'Engine emission factors'!$D8*$E$25,IF($E$19=ngr,'Engine emission factors'!$F8,IF($E$19=ngl,'Engine emission factors'!$G8,IF($E$19=ng2l,'Engine emission factors'!$H8,IF($E$19=pro,'Engine emission factors'!$I8*$E$25,IF($E$19=select,'Engine emission factors'!$AA8))))))))</f>
        <v>0</v>
      </c>
      <c r="H37" s="42">
        <f t="shared" si="0"/>
        <v>0</v>
      </c>
      <c r="I37" s="40">
        <f t="shared" si="1"/>
        <v>0</v>
      </c>
      <c r="J37" s="43">
        <v>1</v>
      </c>
      <c r="K37" s="3"/>
      <c r="L37" s="3"/>
      <c r="M37" s="3"/>
      <c r="N37" s="3"/>
      <c r="O37" s="3"/>
      <c r="P37" s="3"/>
      <c r="Q37" s="3"/>
      <c r="R37" s="3"/>
      <c r="S37" s="3"/>
      <c r="T37" s="3"/>
    </row>
    <row r="38" spans="2:20" s="6" customFormat="1" ht="15" customHeight="1" x14ac:dyDescent="0.2">
      <c r="B38" s="34" t="s">
        <v>31</v>
      </c>
      <c r="D38" s="35"/>
      <c r="E38" s="36"/>
      <c r="F38" s="37"/>
      <c r="G38" s="38">
        <f>IF($E$19=rd,IF($E$21&gt;=600,'Engine emission factors'!$C9,'Engine emission factors'!$B9),IF($E$19=rg,'Engine emission factors'!$E9,IF($E$19=tng,'Engine emission factors'!$D9,IF($E$19=ngr,'Engine emission factors'!$F9,IF($E$19=ngl,'Engine emission factors'!$G9,IF($E$19=ng2l,'Engine emission factors'!$H9,IF($E$19=pro,'Engine emission factors'!$I9,IF($E$19=select,'Engine emission factors'!$AA9))))))))</f>
        <v>0</v>
      </c>
      <c r="H38" s="42">
        <f t="shared" si="0"/>
        <v>0</v>
      </c>
      <c r="I38" s="40">
        <f t="shared" si="1"/>
        <v>0</v>
      </c>
      <c r="J38" s="43">
        <v>1</v>
      </c>
      <c r="K38" s="3"/>
      <c r="L38" s="3"/>
      <c r="M38" s="3"/>
      <c r="N38" s="3"/>
      <c r="O38" s="3"/>
      <c r="P38" s="3"/>
      <c r="Q38" s="3"/>
      <c r="R38" s="3"/>
      <c r="S38" s="3"/>
      <c r="T38" s="3"/>
    </row>
    <row r="39" spans="2:20" s="6" customFormat="1" ht="15" customHeight="1" x14ac:dyDescent="0.2">
      <c r="B39" s="34" t="s">
        <v>32</v>
      </c>
      <c r="D39" s="35"/>
      <c r="E39" s="36"/>
      <c r="F39" s="37"/>
      <c r="G39" s="38">
        <f>IF($E$19=rd,IF($E$21&gt;=600,'Engine emission factors'!$C10,'Engine emission factors'!$B10),IF($E$19=rg,'Engine emission factors'!$E10,IF($E$19=tng,'Engine emission factors'!$D10,IF($E$19=ngr,'Engine emission factors'!$F10,IF($E$19=ngl,'Engine emission factors'!$G10,IF($E$19=ng2l,'Engine emission factors'!$H10,IF($E$19=pro,'Engine emission factors'!$I10,IF($E$19=select,'Engine emission factors'!$AA10))))))))</f>
        <v>0</v>
      </c>
      <c r="H39" s="42">
        <f t="shared" si="0"/>
        <v>0</v>
      </c>
      <c r="I39" s="40">
        <f t="shared" si="1"/>
        <v>0</v>
      </c>
      <c r="J39" s="43">
        <v>1</v>
      </c>
      <c r="K39" s="3"/>
      <c r="L39" s="3"/>
      <c r="M39" s="3"/>
      <c r="N39" s="3"/>
      <c r="O39" s="3"/>
      <c r="P39" s="3"/>
      <c r="Q39" s="3"/>
      <c r="R39" s="3"/>
      <c r="S39" s="3"/>
      <c r="T39" s="3"/>
    </row>
    <row r="40" spans="2:20" s="6" customFormat="1" ht="15" customHeight="1" x14ac:dyDescent="0.2">
      <c r="B40" s="34" t="s">
        <v>33</v>
      </c>
      <c r="D40" s="35"/>
      <c r="E40" s="36"/>
      <c r="F40" s="37"/>
      <c r="G40" s="38">
        <f>IF($E$19=rd,IF($E$21&gt;=600,'Engine emission factors'!$C11,'Engine emission factors'!$B11),IF($E$19=rg,'Engine emission factors'!$E11,IF($E$19=tng,'Engine emission factors'!$D11,IF($E$19=ngr,'Engine emission factors'!$F11,IF($E$19=ngl,'Engine emission factors'!$G11,IF($E$19=ng2l,'Engine emission factors'!$H11,IF($E$19=pro,'Engine emission factors'!$I11,IF($E$19=select,'Engine emission factors'!$AA11))))))))</f>
        <v>0</v>
      </c>
      <c r="H40" s="42">
        <f t="shared" si="0"/>
        <v>0</v>
      </c>
      <c r="I40" s="40">
        <f t="shared" si="1"/>
        <v>0</v>
      </c>
      <c r="J40" s="43">
        <v>2</v>
      </c>
      <c r="K40" s="3"/>
      <c r="L40" s="3"/>
      <c r="M40" s="3"/>
      <c r="N40" s="3"/>
      <c r="O40" s="3"/>
      <c r="P40" s="3"/>
      <c r="Q40" s="3"/>
      <c r="R40" s="3"/>
      <c r="S40" s="3"/>
      <c r="T40" s="3"/>
    </row>
    <row r="41" spans="2:20" s="6" customFormat="1" ht="15" customHeight="1" thickBot="1" x14ac:dyDescent="0.25">
      <c r="B41" s="45" t="s">
        <v>34</v>
      </c>
      <c r="C41" s="46"/>
      <c r="D41" s="47"/>
      <c r="E41" s="48"/>
      <c r="F41" s="49"/>
      <c r="G41" s="50" t="s">
        <v>45</v>
      </c>
      <c r="H41" s="51">
        <v>0</v>
      </c>
      <c r="I41" s="52">
        <v>0</v>
      </c>
      <c r="J41" s="53"/>
      <c r="K41" s="3"/>
      <c r="M41" s="3"/>
      <c r="N41" s="3"/>
      <c r="O41" s="3"/>
      <c r="P41" s="3"/>
      <c r="Q41" s="3"/>
      <c r="R41" s="3"/>
      <c r="S41" s="3"/>
      <c r="T41" s="3"/>
    </row>
    <row r="42" spans="2:20" s="6" customFormat="1" ht="15" customHeight="1" x14ac:dyDescent="0.2">
      <c r="B42" s="75" t="s">
        <v>43</v>
      </c>
      <c r="C42" s="26"/>
      <c r="D42" s="27"/>
      <c r="E42" s="28"/>
      <c r="F42" s="29"/>
      <c r="G42" s="30"/>
      <c r="H42" s="31"/>
      <c r="I42" s="76" t="s">
        <v>54</v>
      </c>
      <c r="J42" s="54"/>
      <c r="K42" s="3"/>
      <c r="L42" s="3"/>
      <c r="M42" s="3"/>
      <c r="N42" s="3"/>
      <c r="O42" s="3"/>
      <c r="P42" s="3"/>
      <c r="Q42" s="3"/>
      <c r="R42" s="3"/>
      <c r="S42" s="3"/>
      <c r="T42" s="3"/>
    </row>
    <row r="43" spans="2:20" s="6" customFormat="1" ht="15" customHeight="1" x14ac:dyDescent="0.3">
      <c r="B43" s="55" t="s">
        <v>156</v>
      </c>
      <c r="C43" s="3">
        <v>1</v>
      </c>
      <c r="D43" s="56"/>
      <c r="E43" s="56"/>
      <c r="F43" s="56"/>
      <c r="G43" s="38">
        <f>IF($E$19=rd,IF($E$21&gt;=600,'Engine emission factors'!$C13,'Engine emission factors'!$B13),IF($E$19=rg,'Engine emission factors'!$E13,IF($E$19=tng,'Engine emission factors'!$D13,IF($E$19=ngr,'Engine emission factors'!$F13,IF($E$19=ngl,'Engine emission factors'!$G13,IF($E$19=ng2l,'Engine emission factors'!$H13,IF($E$19=pro,'Engine emission factors'!$I13,IF($E$19=select,'Engine emission factors'!$AA13))))))))</f>
        <v>0</v>
      </c>
      <c r="H43" s="39">
        <f>$D$32*$F$32*$G43/2000</f>
        <v>0</v>
      </c>
      <c r="I43" s="40">
        <f>($E$32*$G43)/2000</f>
        <v>0</v>
      </c>
      <c r="J43" s="57"/>
      <c r="K43" s="3"/>
      <c r="L43" s="3"/>
      <c r="M43" s="3"/>
      <c r="N43" s="3"/>
      <c r="O43" s="3"/>
      <c r="P43" s="3"/>
      <c r="Q43" s="3"/>
      <c r="R43" s="3"/>
      <c r="S43" s="3"/>
      <c r="T43" s="3"/>
    </row>
    <row r="44" spans="2:20" s="6" customFormat="1" ht="15" customHeight="1" x14ac:dyDescent="0.3">
      <c r="B44" s="55" t="s">
        <v>157</v>
      </c>
      <c r="C44" s="3">
        <v>25</v>
      </c>
      <c r="D44" s="56"/>
      <c r="E44" s="56"/>
      <c r="F44" s="56"/>
      <c r="G44" s="38">
        <f>IF($E$19=rd,IF($E$21&gt;=600,'Engine emission factors'!$C14,'Engine emission factors'!$B14),IF($E$19=rg,'Engine emission factors'!$E14,IF($E$19=tng,'Engine emission factors'!$D14,IF($E$19=ngr,'Engine emission factors'!$F14,IF($E$19=ngl,'Engine emission factors'!$G14,IF($E$19=ng2l,'Engine emission factors'!$H14,IF($E$19=pro,'Engine emission factors'!$I14,IF($E$19=select,'Engine emission factors'!$AA14))))))))</f>
        <v>0</v>
      </c>
      <c r="H44" s="58">
        <f>$D$32*$F$32*$G44/2000</f>
        <v>0</v>
      </c>
      <c r="I44" s="59">
        <f>($E$32*$G44)/2000</f>
        <v>0</v>
      </c>
      <c r="J44" s="57"/>
      <c r="K44" s="212"/>
      <c r="L44" s="212"/>
      <c r="M44" s="3"/>
      <c r="N44" s="3"/>
      <c r="O44" s="3"/>
      <c r="P44" s="3"/>
      <c r="Q44" s="3"/>
      <c r="R44" s="3"/>
      <c r="S44" s="3"/>
      <c r="T44" s="3"/>
    </row>
    <row r="45" spans="2:20" s="6" customFormat="1" ht="15" customHeight="1" x14ac:dyDescent="0.3">
      <c r="B45" s="55" t="s">
        <v>158</v>
      </c>
      <c r="C45" s="3">
        <v>298</v>
      </c>
      <c r="D45" s="56"/>
      <c r="E45" s="56"/>
      <c r="F45" s="56"/>
      <c r="G45" s="38">
        <f>IF($E$19=rd,IF($E$21&gt;=600,'Engine emission factors'!$C15,'Engine emission factors'!$B15),IF($E$19=rg,'Engine emission factors'!$E15,IF($E$19=tng,'Engine emission factors'!$D15,IF($E$19=ngr,'Engine emission factors'!$F15,IF($E$19=ngl,'Engine emission factors'!$G15,IF($E$19=ng2l,'Engine emission factors'!$H15,IF($E$19=pro,'Engine emission factors'!$I15,IF($E$19=select,'Engine emission factors'!$Q15))))))))</f>
        <v>0</v>
      </c>
      <c r="H45" s="58">
        <f>$D$32*$F$32*$G45/2000</f>
        <v>0</v>
      </c>
      <c r="I45" s="59">
        <f>($E$32*$G45)/2000</f>
        <v>0</v>
      </c>
      <c r="J45" s="60"/>
      <c r="K45" s="212"/>
      <c r="L45" s="3"/>
      <c r="O45" s="3"/>
      <c r="P45" s="3"/>
      <c r="Q45" s="3"/>
      <c r="R45" s="3"/>
      <c r="S45" s="3"/>
      <c r="T45" s="3"/>
    </row>
    <row r="46" spans="2:20" s="6" customFormat="1" ht="15" customHeight="1" thickBot="1" x14ac:dyDescent="0.25">
      <c r="B46" s="61"/>
      <c r="C46" s="62"/>
      <c r="D46" s="62"/>
      <c r="E46" s="62"/>
      <c r="F46" s="63" t="s">
        <v>206</v>
      </c>
      <c r="G46" s="64"/>
      <c r="H46" s="51">
        <f>(C43*H43)+(C44*H44)+(C45*H45)</f>
        <v>0</v>
      </c>
      <c r="I46" s="52">
        <f>(C43*I43)+(C44*I44)+(C45*I45)</f>
        <v>0</v>
      </c>
      <c r="J46" s="65">
        <v>1000</v>
      </c>
      <c r="K46" s="212"/>
      <c r="L46" s="3"/>
      <c r="M46" s="3"/>
      <c r="N46" s="3"/>
      <c r="O46" s="3"/>
      <c r="P46" s="3"/>
      <c r="Q46" s="3"/>
      <c r="R46" s="3"/>
      <c r="S46" s="3"/>
      <c r="T46" s="3"/>
    </row>
    <row r="47" spans="2:20" s="6" customFormat="1" ht="15" customHeight="1" x14ac:dyDescent="0.2">
      <c r="B47" s="75" t="s">
        <v>42</v>
      </c>
      <c r="C47" s="26"/>
      <c r="D47" s="27"/>
      <c r="E47" s="28"/>
      <c r="F47" s="29"/>
      <c r="G47" s="474" t="s">
        <v>144</v>
      </c>
      <c r="H47" s="474"/>
      <c r="I47" s="475"/>
      <c r="K47" s="3"/>
      <c r="L47" s="3"/>
      <c r="M47" s="3"/>
      <c r="N47" s="3"/>
      <c r="O47" s="3"/>
      <c r="P47" s="3"/>
      <c r="Q47" s="3"/>
      <c r="R47" s="3"/>
      <c r="S47" s="3"/>
      <c r="T47" s="3"/>
    </row>
    <row r="48" spans="2:20" s="6" customFormat="1" ht="15" customHeight="1" x14ac:dyDescent="0.2">
      <c r="B48" s="66" t="s">
        <v>98</v>
      </c>
      <c r="D48" s="67"/>
      <c r="E48" s="68"/>
      <c r="F48" s="69"/>
      <c r="G48" s="38">
        <f>IF($E$19=rd,IF($E$21&gt;=600,'Engine emission factors'!$C17,'Engine emission factors'!$B17),IF($E$19=rg,'Engine emission factors'!$E17,IF($E$19=tng,'Engine emission factors'!$D17,IF($E$19=ngr,'Engine emission factors'!$F17,IF($E$19=ngl,'Engine emission factors'!$G17,IF($E$19=ng2l,'Engine emission factors'!$H17,IF($E$19=pro,'Engine emission factors'!$I17,IF($E$19=select,'Engine emission factors'!$Q17))))))))</f>
        <v>0</v>
      </c>
      <c r="H48" s="58">
        <f t="shared" ref="H48:H72" si="2">$D$32*$F$32*$G48/2000</f>
        <v>0</v>
      </c>
      <c r="I48" s="59">
        <f>($E$32*$G48)/2000</f>
        <v>0</v>
      </c>
      <c r="K48" s="3"/>
      <c r="L48" s="3"/>
      <c r="M48" s="3"/>
      <c r="N48" s="3"/>
      <c r="O48" s="3"/>
      <c r="P48" s="3"/>
      <c r="Q48" s="3"/>
      <c r="R48" s="3"/>
      <c r="S48" s="3"/>
      <c r="T48" s="3"/>
    </row>
    <row r="49" spans="2:20" s="6" customFormat="1" ht="15" customHeight="1" x14ac:dyDescent="0.2">
      <c r="B49" s="70" t="s">
        <v>99</v>
      </c>
      <c r="D49" s="67"/>
      <c r="E49" s="68"/>
      <c r="F49" s="69"/>
      <c r="G49" s="38">
        <f>IF($E$19=rd,IF($E$21&gt;=600,'Engine emission factors'!$C18,'Engine emission factors'!$B18),IF($E$19=rg,'Engine emission factors'!$E18,IF($E$19=tng,'Engine emission factors'!$D18,IF($E$19=ngr,'Engine emission factors'!$F18,IF($E$19=ngl,'Engine emission factors'!$G18,IF($E$19=ng2l,'Engine emission factors'!$H18,IF($E$19=pro,'Engine emission factors'!$I18,IF($E$19=select,'Engine emission factors'!$Q18))))))))</f>
        <v>0</v>
      </c>
      <c r="H49" s="58">
        <f t="shared" si="2"/>
        <v>0</v>
      </c>
      <c r="I49" s="59">
        <f t="shared" ref="I49:I72" si="3">($E$32*$G49)/2000</f>
        <v>0</v>
      </c>
      <c r="K49" s="3"/>
      <c r="L49" s="3"/>
      <c r="M49" s="3"/>
      <c r="N49" s="3"/>
      <c r="O49" s="3"/>
      <c r="P49" s="3"/>
      <c r="Q49" s="3"/>
      <c r="R49" s="3"/>
      <c r="S49" s="3"/>
      <c r="T49" s="3"/>
    </row>
    <row r="50" spans="2:20" s="6" customFormat="1" ht="15" customHeight="1" x14ac:dyDescent="0.2">
      <c r="B50" s="70" t="s">
        <v>97</v>
      </c>
      <c r="D50" s="67"/>
      <c r="E50" s="68"/>
      <c r="F50" s="69"/>
      <c r="G50" s="38">
        <f>IF($E$19=rd,IF($E$21&gt;=600,'Engine emission factors'!$C19,'Engine emission factors'!$B19),IF($E$19=rg,'Engine emission factors'!$E19,IF($E$19=tng,'Engine emission factors'!$D19,IF($E$19=ngr,'Engine emission factors'!$F19,IF($E$19=ngl,'Engine emission factors'!$G19,IF($E$19=ng2l,'Engine emission factors'!$H19,IF($E$19=pro,'Engine emission factors'!$I19,IF($E$19=select,'Engine emission factors'!$Q19))))))))</f>
        <v>0</v>
      </c>
      <c r="H50" s="58">
        <f t="shared" si="2"/>
        <v>0</v>
      </c>
      <c r="I50" s="59">
        <f t="shared" si="3"/>
        <v>0</v>
      </c>
      <c r="K50" s="3"/>
      <c r="L50" s="3"/>
      <c r="M50" s="3"/>
      <c r="N50" s="3"/>
      <c r="O50" s="3"/>
      <c r="P50" s="3"/>
      <c r="Q50" s="3"/>
      <c r="R50" s="3"/>
      <c r="S50" s="3"/>
      <c r="T50" s="3"/>
    </row>
    <row r="51" spans="2:20" s="6" customFormat="1" ht="15" customHeight="1" x14ac:dyDescent="0.2">
      <c r="B51" s="70" t="s">
        <v>100</v>
      </c>
      <c r="D51" s="67"/>
      <c r="E51" s="68"/>
      <c r="F51" s="69"/>
      <c r="G51" s="38">
        <f>IF($E$19=rd,IF($E$21&gt;=600,'Engine emission factors'!$C20,'Engine emission factors'!$B20),IF($E$19=rg,'Engine emission factors'!$E20,IF($E$19=tng,'Engine emission factors'!$D20,IF($E$19=ngr,'Engine emission factors'!$F20,IF($E$19=ngl,'Engine emission factors'!$G20,IF($E$19=ng2l,'Engine emission factors'!$H20,IF($E$19=pro,'Engine emission factors'!$I20,IF($E$19=select,'Engine emission factors'!$AA20))))))))</f>
        <v>0</v>
      </c>
      <c r="H51" s="58">
        <f t="shared" si="2"/>
        <v>0</v>
      </c>
      <c r="I51" s="59">
        <f t="shared" si="3"/>
        <v>0</v>
      </c>
      <c r="K51" s="3"/>
      <c r="L51" s="3"/>
      <c r="M51" s="3"/>
      <c r="N51" s="3"/>
      <c r="O51" s="3"/>
      <c r="P51" s="3"/>
      <c r="Q51" s="3"/>
      <c r="R51" s="3"/>
      <c r="S51" s="3"/>
      <c r="T51" s="3"/>
    </row>
    <row r="52" spans="2:20" s="6" customFormat="1" ht="15" customHeight="1" x14ac:dyDescent="0.2">
      <c r="B52" s="71" t="s">
        <v>85</v>
      </c>
      <c r="D52" s="67"/>
      <c r="E52" s="68"/>
      <c r="F52" s="69"/>
      <c r="G52" s="38">
        <f>IF($E$19=rd,IF($E$21&gt;=600,'Engine emission factors'!$C21,'Engine emission factors'!$B21),IF($E$19=rg,'Engine emission factors'!$E21,IF($E$19=tng,'Engine emission factors'!$D21,IF($E$19=ngr,'Engine emission factors'!$F21,IF($E$19=ngl,'Engine emission factors'!$G21,IF($E$19=ng2l,'Engine emission factors'!$H21,IF($E$19=pro,'Engine emission factors'!$I21,IF($E$19=select,'Engine emission factors'!$AA21))))))))</f>
        <v>0</v>
      </c>
      <c r="H52" s="58">
        <f t="shared" si="2"/>
        <v>0</v>
      </c>
      <c r="I52" s="59">
        <f t="shared" si="3"/>
        <v>0</v>
      </c>
      <c r="K52" s="3"/>
      <c r="L52" s="3"/>
      <c r="M52" s="3"/>
      <c r="N52" s="3"/>
      <c r="O52" s="3"/>
      <c r="P52" s="3"/>
      <c r="Q52" s="3"/>
      <c r="R52" s="3"/>
      <c r="S52" s="3"/>
      <c r="T52" s="3"/>
    </row>
    <row r="53" spans="2:20" s="6" customFormat="1" ht="15" customHeight="1" x14ac:dyDescent="0.2">
      <c r="B53" s="71" t="s">
        <v>87</v>
      </c>
      <c r="D53" s="67"/>
      <c r="E53" s="68"/>
      <c r="F53" s="69"/>
      <c r="G53" s="38">
        <f>IF($E$19=rd,IF($E$21&gt;=600,'Engine emission factors'!$C22,'Engine emission factors'!$B22),IF($E$19=rg,'Engine emission factors'!$E22,IF($E$19=tng,'Engine emission factors'!$D22,IF($E$19=ngr,'Engine emission factors'!$F22,IF($E$19=ngl,'Engine emission factors'!$G22,IF($E$19=ng2l,'Engine emission factors'!$H22,IF($E$19=pro,'Engine emission factors'!$I22,IF($E$19=select,'Engine emission factors'!$AA22))))))))</f>
        <v>0</v>
      </c>
      <c r="H53" s="58">
        <f t="shared" si="2"/>
        <v>0</v>
      </c>
      <c r="I53" s="59">
        <f t="shared" si="3"/>
        <v>0</v>
      </c>
      <c r="K53" s="3"/>
      <c r="L53" s="3"/>
      <c r="M53" s="3"/>
      <c r="N53" s="3"/>
      <c r="O53" s="3"/>
      <c r="P53" s="3"/>
      <c r="Q53" s="3"/>
      <c r="R53" s="3"/>
      <c r="S53" s="3"/>
      <c r="T53" s="3"/>
    </row>
    <row r="54" spans="2:20" s="6" customFormat="1" ht="15" customHeight="1" x14ac:dyDescent="0.2">
      <c r="B54" s="71" t="s">
        <v>35</v>
      </c>
      <c r="D54" s="67"/>
      <c r="E54" s="68"/>
      <c r="F54" s="69"/>
      <c r="G54" s="38">
        <f>IF($E$19=rd,IF($E$21&gt;=600,'Engine emission factors'!$C23,'Engine emission factors'!$B23),IF($E$19=rg,'Engine emission factors'!$E23,IF($E$19=tng,'Engine emission factors'!$D23,IF($E$19=ngr,'Engine emission factors'!$F23,IF($E$19=ngl,'Engine emission factors'!$G23,IF($E$19=ng2l,'Engine emission factors'!$H23,IF($E$19=pro,'Engine emission factors'!$I23,IF($E$19=select,'Engine emission factors'!$AA23))))))))</f>
        <v>0</v>
      </c>
      <c r="H54" s="58">
        <f t="shared" si="2"/>
        <v>0</v>
      </c>
      <c r="I54" s="59">
        <f t="shared" si="3"/>
        <v>0</v>
      </c>
      <c r="K54" s="3"/>
      <c r="L54" s="3"/>
      <c r="M54" s="3"/>
      <c r="N54" s="3"/>
      <c r="O54" s="3"/>
      <c r="P54" s="3"/>
      <c r="Q54" s="3"/>
      <c r="R54" s="3"/>
      <c r="S54" s="3"/>
      <c r="T54" s="3"/>
    </row>
    <row r="55" spans="2:20" s="6" customFormat="1" ht="15" customHeight="1" x14ac:dyDescent="0.2">
      <c r="B55" s="70" t="s">
        <v>102</v>
      </c>
      <c r="D55" s="67"/>
      <c r="E55" s="68"/>
      <c r="F55" s="69"/>
      <c r="G55" s="38">
        <f>IF($E$19=rd,IF($E$21&gt;=600,'Engine emission factors'!$C24,'Engine emission factors'!$B24),IF($E$19=rg,'Engine emission factors'!$E24,IF($E$19=tng,'Engine emission factors'!$D24,IF($E$19=ngr,'Engine emission factors'!$F24,IF($E$19=ngl,'Engine emission factors'!$G24,IF($E$19=ng2l,'Engine emission factors'!$H24,IF($E$19=pro,'Engine emission factors'!$I24,IF($E$19=select,'Engine emission factors'!$AA24))))))))</f>
        <v>0</v>
      </c>
      <c r="H55" s="58">
        <f t="shared" si="2"/>
        <v>0</v>
      </c>
      <c r="I55" s="59">
        <f t="shared" si="3"/>
        <v>0</v>
      </c>
      <c r="K55" s="3"/>
      <c r="L55" s="3"/>
      <c r="M55" s="3"/>
      <c r="N55" s="3"/>
      <c r="O55" s="3"/>
      <c r="P55" s="3"/>
      <c r="Q55" s="3"/>
      <c r="R55" s="3"/>
      <c r="S55" s="3"/>
      <c r="T55" s="3"/>
    </row>
    <row r="56" spans="2:20" s="6" customFormat="1" ht="15" customHeight="1" x14ac:dyDescent="0.2">
      <c r="B56" s="70" t="s">
        <v>112</v>
      </c>
      <c r="D56" s="67"/>
      <c r="E56" s="68"/>
      <c r="F56" s="69"/>
      <c r="G56" s="38">
        <f>IF($E$19=rd,IF($E$21&gt;=600,'Engine emission factors'!$C25,'Engine emission factors'!$B25),IF($E$19=rg,'Engine emission factors'!$E25,IF($E$19=tng,'Engine emission factors'!$D25,IF($E$19=ngr,'Engine emission factors'!$F25,IF($E$19=ngl,'Engine emission factors'!$G25,IF($E$19=ng2l,'Engine emission factors'!$H25,IF($E$19=pro,'Engine emission factors'!$I25,IF($E$19=select,'Engine emission factors'!$AA25))))))))</f>
        <v>0</v>
      </c>
      <c r="H56" s="58">
        <f t="shared" si="2"/>
        <v>0</v>
      </c>
      <c r="I56" s="59">
        <f t="shared" si="3"/>
        <v>0</v>
      </c>
      <c r="K56" s="3"/>
      <c r="L56" s="3"/>
      <c r="M56" s="3"/>
      <c r="N56" s="3"/>
      <c r="O56" s="3"/>
      <c r="P56" s="3"/>
      <c r="Q56" s="3"/>
      <c r="R56" s="3"/>
      <c r="S56" s="3"/>
      <c r="T56" s="3"/>
    </row>
    <row r="57" spans="2:20" s="6" customFormat="1" ht="15" customHeight="1" x14ac:dyDescent="0.2">
      <c r="B57" s="70" t="s">
        <v>104</v>
      </c>
      <c r="D57" s="67"/>
      <c r="E57" s="68"/>
      <c r="F57" s="69"/>
      <c r="G57" s="38">
        <f>IF($E$19=rd,IF($E$21&gt;=600,'Engine emission factors'!$C26,'Engine emission factors'!$B26),IF($E$19=rg,'Engine emission factors'!$E26,IF($E$19=tng,'Engine emission factors'!$D26,IF($E$19=ngr,'Engine emission factors'!$F26,IF($E$19=ngl,'Engine emission factors'!$G26,IF($E$19=ng2l,'Engine emission factors'!$H26,IF($E$19=pro,'Engine emission factors'!$I26,IF($E$19=select,'Engine emission factors'!$AA26))))))))</f>
        <v>0</v>
      </c>
      <c r="H57" s="58">
        <f t="shared" si="2"/>
        <v>0</v>
      </c>
      <c r="I57" s="59">
        <f t="shared" si="3"/>
        <v>0</v>
      </c>
      <c r="K57" s="3"/>
      <c r="L57" s="3"/>
      <c r="M57" s="3"/>
      <c r="N57" s="3"/>
      <c r="O57" s="3"/>
      <c r="P57" s="3"/>
      <c r="Q57" s="3"/>
      <c r="R57" s="3"/>
      <c r="S57" s="3"/>
      <c r="T57" s="3"/>
    </row>
    <row r="58" spans="2:20" s="6" customFormat="1" ht="15" customHeight="1" x14ac:dyDescent="0.2">
      <c r="B58" s="70" t="s">
        <v>105</v>
      </c>
      <c r="D58" s="67"/>
      <c r="E58" s="68"/>
      <c r="F58" s="69"/>
      <c r="G58" s="38">
        <f>IF($E$19=rd,IF($E$21&gt;=600,'Engine emission factors'!$C27,'Engine emission factors'!$B27),IF($E$19=rg,'Engine emission factors'!$E27,IF($E$19=tng,'Engine emission factors'!$D27,IF($E$19=ngr,'Engine emission factors'!$F27,IF($E$19=ngl,'Engine emission factors'!$G27,IF($E$19=ng2l,'Engine emission factors'!$H27,IF($E$19=pro,'Engine emission factors'!$I27,IF($E$19=select,'Engine emission factors'!$AA27))))))))</f>
        <v>0</v>
      </c>
      <c r="H58" s="58">
        <f t="shared" si="2"/>
        <v>0</v>
      </c>
      <c r="I58" s="59">
        <f t="shared" si="3"/>
        <v>0</v>
      </c>
      <c r="K58" s="3"/>
      <c r="L58" s="3"/>
      <c r="M58" s="3"/>
      <c r="N58" s="3"/>
      <c r="O58" s="3"/>
      <c r="P58" s="3"/>
      <c r="Q58" s="3"/>
      <c r="R58" s="3"/>
      <c r="S58" s="3"/>
      <c r="T58" s="3"/>
    </row>
    <row r="59" spans="2:20" s="6" customFormat="1" ht="15" customHeight="1" x14ac:dyDescent="0.2">
      <c r="B59" s="71" t="s">
        <v>83</v>
      </c>
      <c r="D59" s="67"/>
      <c r="E59" s="68"/>
      <c r="F59" s="69"/>
      <c r="G59" s="38">
        <f>IF($E$19=rd,IF($E$21&gt;=600,'Engine emission factors'!$C28,'Engine emission factors'!$B28),IF($E$19=rg,'Engine emission factors'!$E28,IF($E$19=tng,'Engine emission factors'!$D28,IF($E$19=ngr,'Engine emission factors'!$F28,IF($E$19=ngl,'Engine emission factors'!$G28,IF($E$19=ng2l,'Engine emission factors'!$H28,IF($E$19=pro,'Engine emission factors'!$I28,IF($E$19=select,'Engine emission factors'!$AA28))))))))</f>
        <v>0</v>
      </c>
      <c r="H59" s="58">
        <f t="shared" si="2"/>
        <v>0</v>
      </c>
      <c r="I59" s="59">
        <f t="shared" si="3"/>
        <v>0</v>
      </c>
      <c r="K59" s="3"/>
      <c r="L59" s="3"/>
      <c r="M59" s="3"/>
      <c r="N59" s="3"/>
      <c r="O59" s="3"/>
      <c r="P59" s="3"/>
      <c r="Q59" s="3"/>
      <c r="R59" s="3"/>
      <c r="S59" s="3"/>
      <c r="T59" s="3"/>
    </row>
    <row r="60" spans="2:20" s="6" customFormat="1" ht="15" customHeight="1" x14ac:dyDescent="0.2">
      <c r="B60" s="70" t="s">
        <v>106</v>
      </c>
      <c r="D60" s="67"/>
      <c r="E60" s="68"/>
      <c r="F60" s="69"/>
      <c r="G60" s="38">
        <f>IF($E$19=rd,IF($E$21&gt;=600,'Engine emission factors'!$C29,'Engine emission factors'!$B29),IF($E$19=rg,'Engine emission factors'!$E29,IF($E$19=tng,'Engine emission factors'!$D29,IF($E$19=ngr,'Engine emission factors'!$F29,IF($E$19=ngl,'Engine emission factors'!$G29,IF($E$19=ng2l,'Engine emission factors'!$H29,IF($E$19=pro,'Engine emission factors'!$I29,IF($E$19=select,'Engine emission factors'!$AA29))))))))</f>
        <v>0</v>
      </c>
      <c r="H60" s="58">
        <f t="shared" si="2"/>
        <v>0</v>
      </c>
      <c r="I60" s="59">
        <f t="shared" si="3"/>
        <v>0</v>
      </c>
      <c r="K60" s="3"/>
      <c r="L60" s="3"/>
      <c r="M60" s="3"/>
      <c r="N60" s="3"/>
      <c r="O60" s="3"/>
      <c r="P60" s="3"/>
      <c r="Q60" s="3"/>
      <c r="R60" s="3"/>
      <c r="S60" s="3"/>
      <c r="T60" s="3"/>
    </row>
    <row r="61" spans="2:20" s="6" customFormat="1" ht="15" customHeight="1" x14ac:dyDescent="0.2">
      <c r="B61" s="71" t="s">
        <v>36</v>
      </c>
      <c r="D61" s="67"/>
      <c r="E61" s="68"/>
      <c r="F61" s="69"/>
      <c r="G61" s="38">
        <f>IF($E$19=rd,IF($E$21&gt;=600,'Engine emission factors'!$C30,'Engine emission factors'!$B30),IF($E$19=rg,'Engine emission factors'!$E30,IF($E$19=tng,'Engine emission factors'!$D30,IF($E$19=ngr,'Engine emission factors'!$F30,IF($E$19=ngl,'Engine emission factors'!$G30,IF($E$19=ng2l,'Engine emission factors'!$H30,IF($E$19=pro,'Engine emission factors'!$I30,IF($E$19=select,'Engine emission factors'!$AA30))))))))</f>
        <v>0</v>
      </c>
      <c r="H61" s="58">
        <f t="shared" si="2"/>
        <v>0</v>
      </c>
      <c r="I61" s="59">
        <f t="shared" si="3"/>
        <v>0</v>
      </c>
      <c r="K61" s="3"/>
      <c r="L61" s="3"/>
      <c r="M61" s="3"/>
      <c r="N61" s="3"/>
      <c r="O61" s="3"/>
      <c r="P61" s="3"/>
      <c r="Q61" s="3"/>
      <c r="R61" s="3"/>
      <c r="S61" s="3"/>
      <c r="T61" s="3"/>
    </row>
    <row r="62" spans="2:20" s="6" customFormat="1" ht="15" customHeight="1" x14ac:dyDescent="0.2">
      <c r="B62" s="71" t="s">
        <v>37</v>
      </c>
      <c r="D62" s="67"/>
      <c r="E62" s="68"/>
      <c r="F62" s="69"/>
      <c r="G62" s="38">
        <f>IF($E$19=rd,IF($E$21&gt;=600,'Engine emission factors'!$C31,'Engine emission factors'!$B31),IF($E$19=rg,'Engine emission factors'!$E31,IF($E$19=tng,'Engine emission factors'!$D31,IF($E$19=ngr,'Engine emission factors'!$F31,IF($E$19=ngl,'Engine emission factors'!$G31,IF($E$19=ng2l,'Engine emission factors'!$H31,IF($E$19=pro,'Engine emission factors'!$I31,IF($E$19=select,'Engine emission factors'!$AA31))))))))</f>
        <v>0</v>
      </c>
      <c r="H62" s="58">
        <f t="shared" si="2"/>
        <v>0</v>
      </c>
      <c r="I62" s="59">
        <f t="shared" si="3"/>
        <v>0</v>
      </c>
      <c r="K62" s="3"/>
      <c r="L62" s="3"/>
      <c r="M62" s="3"/>
      <c r="N62" s="3"/>
      <c r="O62" s="3"/>
      <c r="P62" s="3"/>
      <c r="Q62" s="3"/>
      <c r="R62" s="3"/>
      <c r="S62" s="3"/>
      <c r="T62" s="3"/>
    </row>
    <row r="63" spans="2:20" s="6" customFormat="1" ht="15" customHeight="1" x14ac:dyDescent="0.2">
      <c r="B63" s="70" t="s">
        <v>103</v>
      </c>
      <c r="D63" s="67"/>
      <c r="E63" s="68"/>
      <c r="F63" s="69"/>
      <c r="G63" s="38">
        <f>IF($E$19=rd,IF($E$21&gt;=600,'Engine emission factors'!$C32,'Engine emission factors'!$B32),IF($E$19=rg,'Engine emission factors'!$E32,IF($E$19=tng,'Engine emission factors'!$D32,IF($E$19=ngr,'Engine emission factors'!$F32,IF($E$19=ngl,'Engine emission factors'!$G32,IF($E$19=ng2l,'Engine emission factors'!$H32,IF($E$19=pro,'Engine emission factors'!$I32,IF($E$19=select,'Engine emission factors'!$AA32))))))))</f>
        <v>0</v>
      </c>
      <c r="H63" s="58">
        <f t="shared" si="2"/>
        <v>0</v>
      </c>
      <c r="I63" s="59">
        <f t="shared" si="3"/>
        <v>0</v>
      </c>
      <c r="K63" s="3"/>
      <c r="L63" s="3"/>
      <c r="M63" s="3"/>
      <c r="N63" s="3"/>
      <c r="O63" s="3"/>
      <c r="P63" s="3"/>
      <c r="Q63" s="3"/>
      <c r="R63" s="3"/>
      <c r="S63" s="3"/>
      <c r="T63" s="3"/>
    </row>
    <row r="64" spans="2:20" s="6" customFormat="1" ht="15" customHeight="1" x14ac:dyDescent="0.2">
      <c r="B64" s="70" t="s">
        <v>107</v>
      </c>
      <c r="D64" s="67"/>
      <c r="E64" s="68"/>
      <c r="F64" s="69"/>
      <c r="G64" s="38">
        <f>IF($E$19=rd,IF($E$21&gt;=600,'Engine emission factors'!$C33,'Engine emission factors'!$B33),IF($E$19=rg,'Engine emission factors'!$E33,IF($E$19=tng,'Engine emission factors'!$D33,IF($E$19=ngr,'Engine emission factors'!$F33,IF($E$19=ngl,'Engine emission factors'!$G33,IF($E$19=ng2l,'Engine emission factors'!$H33,IF($E$19=pro,'Engine emission factors'!$I33,IF($E$19=select,'Engine emission factors'!$AA33))))))))</f>
        <v>0</v>
      </c>
      <c r="H64" s="58">
        <f t="shared" si="2"/>
        <v>0</v>
      </c>
      <c r="I64" s="59">
        <f t="shared" si="3"/>
        <v>0</v>
      </c>
      <c r="K64" s="3"/>
      <c r="L64" s="3"/>
      <c r="M64" s="3"/>
      <c r="N64" s="3"/>
      <c r="O64" s="3"/>
      <c r="P64" s="3"/>
      <c r="Q64" s="3"/>
      <c r="R64" s="3"/>
      <c r="S64" s="3"/>
      <c r="T64" s="3"/>
    </row>
    <row r="65" spans="2:20" s="6" customFormat="1" ht="15" customHeight="1" x14ac:dyDescent="0.2">
      <c r="B65" s="71" t="s">
        <v>38</v>
      </c>
      <c r="D65" s="67"/>
      <c r="E65" s="68"/>
      <c r="F65" s="69"/>
      <c r="G65" s="38">
        <f>IF($E$19=rd,IF($E$21&gt;=600,'Engine emission factors'!$C34,'Engine emission factors'!$B34),IF($E$19=rg,'Engine emission factors'!$E34,IF($E$19=tng,'Engine emission factors'!$D34,IF($E$19=ngr,'Engine emission factors'!$F34,IF($E$19=ngl,'Engine emission factors'!$G34,IF($E$19=ng2l,'Engine emission factors'!$H34,IF($E$19=pro,'Engine emission factors'!$I34,IF($E$19=select,'Engine emission factors'!$AA34))))))))</f>
        <v>0</v>
      </c>
      <c r="H65" s="58">
        <f t="shared" si="2"/>
        <v>0</v>
      </c>
      <c r="I65" s="59">
        <f t="shared" si="3"/>
        <v>0</v>
      </c>
      <c r="K65" s="3"/>
      <c r="L65" s="3"/>
      <c r="M65" s="3"/>
      <c r="N65" s="3"/>
      <c r="O65" s="3"/>
      <c r="P65" s="3"/>
      <c r="Q65" s="3"/>
      <c r="R65" s="3"/>
      <c r="S65" s="3"/>
      <c r="T65" s="3"/>
    </row>
    <row r="66" spans="2:20" s="6" customFormat="1" ht="15" customHeight="1" x14ac:dyDescent="0.2">
      <c r="B66" s="70" t="s">
        <v>101</v>
      </c>
      <c r="G66" s="38">
        <f>IF($E$19=rd,IF($E$21&gt;=600,'Engine emission factors'!$C35,'Engine emission factors'!$B35),IF($E$19=rg,'Engine emission factors'!$E35,IF($E$19=tng,'Engine emission factors'!$D35,IF($E$19=ngr,'Engine emission factors'!$F35,IF($E$19=ngl,'Engine emission factors'!$G35,IF($E$19=ng2l,'Engine emission factors'!$H35,IF($E$19=pro,'Engine emission factors'!$I35,IF($E$19=select,'Engine emission factors'!$AA35))))))))</f>
        <v>0</v>
      </c>
      <c r="H66" s="58">
        <f t="shared" si="2"/>
        <v>0</v>
      </c>
      <c r="I66" s="59">
        <f t="shared" si="3"/>
        <v>0</v>
      </c>
      <c r="K66" s="3"/>
      <c r="L66" s="3"/>
      <c r="M66" s="3"/>
      <c r="N66" s="3"/>
      <c r="O66" s="3"/>
      <c r="P66" s="3"/>
      <c r="Q66" s="3"/>
      <c r="R66" s="3"/>
      <c r="S66" s="3"/>
      <c r="T66" s="3"/>
    </row>
    <row r="67" spans="2:20" s="6" customFormat="1" ht="15" customHeight="1" x14ac:dyDescent="0.2">
      <c r="B67" s="70" t="s">
        <v>108</v>
      </c>
      <c r="G67" s="38">
        <f>IF($E$19=rd,IF($E$21&gt;=600,'Engine emission factors'!$C36,'Engine emission factors'!$B36),IF($E$19=rg,'Engine emission factors'!$E36,IF($E$19=tng,'Engine emission factors'!$D36,IF($E$19=ngr,'Engine emission factors'!$F36,IF($E$19=ngl,'Engine emission factors'!$G36,IF($E$19=ng2l,'Engine emission factors'!$H36,IF($E$19=pro,'Engine emission factors'!$I36,IF($E$19=select,'Engine emission factors'!$AA36))))))))</f>
        <v>0</v>
      </c>
      <c r="H67" s="58">
        <f t="shared" si="2"/>
        <v>0</v>
      </c>
      <c r="I67" s="59">
        <f t="shared" si="3"/>
        <v>0</v>
      </c>
      <c r="K67" s="3"/>
      <c r="L67" s="3"/>
      <c r="M67" s="3"/>
      <c r="N67" s="3"/>
      <c r="O67" s="3"/>
      <c r="P67" s="3"/>
      <c r="Q67" s="3"/>
      <c r="R67" s="3"/>
      <c r="S67" s="3"/>
      <c r="T67" s="3"/>
    </row>
    <row r="68" spans="2:20" s="6" customFormat="1" ht="15" customHeight="1" x14ac:dyDescent="0.2">
      <c r="B68" s="70" t="s">
        <v>109</v>
      </c>
      <c r="G68" s="38">
        <f>IF($E$19=rd,IF($E$21&gt;=600,'Engine emission factors'!$C37,'Engine emission factors'!$B37),IF($E$19=rg,'Engine emission factors'!$E37,IF($E$19=tng,'Engine emission factors'!$D37,IF($E$19=ngr,'Engine emission factors'!$F37,IF($E$19=ngl,'Engine emission factors'!$G37,IF($E$19=ng2l,'Engine emission factors'!$H37,IF($E$19=pro,'Engine emission factors'!$I37,IF($E$19=select,'Engine emission factors'!$AA37))))))))</f>
        <v>0</v>
      </c>
      <c r="H68" s="58">
        <f t="shared" si="2"/>
        <v>0</v>
      </c>
      <c r="I68" s="59">
        <f t="shared" si="3"/>
        <v>0</v>
      </c>
      <c r="K68" s="3"/>
      <c r="L68" s="3"/>
      <c r="M68" s="3"/>
      <c r="N68" s="3"/>
      <c r="O68" s="3"/>
      <c r="P68" s="3"/>
      <c r="Q68" s="3"/>
      <c r="R68" s="3"/>
      <c r="S68" s="3"/>
      <c r="T68" s="3"/>
    </row>
    <row r="69" spans="2:20" s="6" customFormat="1" ht="15" customHeight="1" x14ac:dyDescent="0.2">
      <c r="B69" s="70" t="s">
        <v>110</v>
      </c>
      <c r="G69" s="38">
        <f>IF($E$19=rd,IF($E$21&gt;=600,'Engine emission factors'!$C38,'Engine emission factors'!$B38),IF($E$19=rg,'Engine emission factors'!$E38,IF($E$19=tng,'Engine emission factors'!$D38,IF($E$19=ngr,'Engine emission factors'!$F38,IF($E$19=ngl,'Engine emission factors'!$G38,IF($E$19=ng2l,'Engine emission factors'!$H38,IF($E$19=pro,'Engine emission factors'!$I38,IF($E$19=select,'Engine emission factors'!$AA38))))))))</f>
        <v>0</v>
      </c>
      <c r="H69" s="58">
        <f t="shared" si="2"/>
        <v>0</v>
      </c>
      <c r="I69" s="59">
        <f t="shared" si="3"/>
        <v>0</v>
      </c>
      <c r="K69" s="3"/>
      <c r="L69" s="3"/>
      <c r="M69" s="3"/>
      <c r="N69" s="3"/>
      <c r="O69" s="3"/>
      <c r="P69" s="3"/>
      <c r="Q69" s="3"/>
      <c r="R69" s="3"/>
      <c r="S69" s="3"/>
      <c r="T69" s="3"/>
    </row>
    <row r="70" spans="2:20" s="6" customFormat="1" ht="15" customHeight="1" x14ac:dyDescent="0.2">
      <c r="B70" s="71" t="s">
        <v>39</v>
      </c>
      <c r="G70" s="38">
        <f>IF($E$19=rd,IF($E$21&gt;=600,'Engine emission factors'!$C39,'Engine emission factors'!$B39),IF($E$19=rg,'Engine emission factors'!$E39,IF($E$19=tng,'Engine emission factors'!$D39,IF($E$19=ngr,'Engine emission factors'!$F39,IF($E$19=ngl,'Engine emission factors'!$G39,IF($E$19=ng2l,'Engine emission factors'!$H39,IF($E$19=pro,'Engine emission factors'!$I39,IF($E$19=select,'Engine emission factors'!$AA39))))))))</f>
        <v>0</v>
      </c>
      <c r="H70" s="58">
        <f t="shared" si="2"/>
        <v>0</v>
      </c>
      <c r="I70" s="59">
        <f t="shared" si="3"/>
        <v>0</v>
      </c>
      <c r="K70" s="3"/>
      <c r="L70" s="3"/>
      <c r="M70" s="3"/>
      <c r="N70" s="3"/>
      <c r="O70" s="3"/>
      <c r="P70" s="3"/>
      <c r="Q70" s="3"/>
      <c r="R70" s="3"/>
      <c r="S70" s="3"/>
      <c r="T70" s="3"/>
    </row>
    <row r="71" spans="2:20" s="6" customFormat="1" ht="15" customHeight="1" x14ac:dyDescent="0.2">
      <c r="B71" s="70" t="s">
        <v>111</v>
      </c>
      <c r="G71" s="38">
        <f>IF($E$19=rd,IF($E$21&gt;=600,'Engine emission factors'!$C40,'Engine emission factors'!$B40),IF($E$19=rg,'Engine emission factors'!$E40,IF($E$19=tng,'Engine emission factors'!$D40,IF($E$19=ngr,'Engine emission factors'!$F40,IF($E$19=ngl,'Engine emission factors'!$G40,IF($E$19=ng2l,'Engine emission factors'!$H40,IF($E$19=pro,'Engine emission factors'!$I40,IF($E$19=select,'Engine emission factors'!$AA40))))))))</f>
        <v>0</v>
      </c>
      <c r="H71" s="58">
        <f t="shared" si="2"/>
        <v>0</v>
      </c>
      <c r="I71" s="59">
        <f t="shared" si="3"/>
        <v>0</v>
      </c>
      <c r="K71" s="3"/>
      <c r="L71" s="3"/>
      <c r="M71" s="3"/>
      <c r="N71" s="3"/>
      <c r="O71" s="3"/>
      <c r="P71" s="3"/>
      <c r="Q71" s="3"/>
      <c r="R71" s="3"/>
      <c r="S71" s="3"/>
      <c r="T71" s="3"/>
    </row>
    <row r="72" spans="2:20" s="6" customFormat="1" ht="15" customHeight="1" x14ac:dyDescent="0.2">
      <c r="B72" s="71" t="s">
        <v>84</v>
      </c>
      <c r="G72" s="38">
        <f>IF($E$19=rd,IF($E$21&gt;=600,'Engine emission factors'!$C41,'Engine emission factors'!$B41),IF($E$19=rg,'Engine emission factors'!$E41,IF($E$19=tng,'Engine emission factors'!$D41,IF($E$19=ngr,'Engine emission factors'!$F41,IF($E$19=ngl,'Engine emission factors'!$G41,IF($E$19=ng2l,'Engine emission factors'!$H41,IF($E$19=pro,'Engine emission factors'!$I41,IF($E$19=select,'Engine emission factors'!$AA41))))))))</f>
        <v>0</v>
      </c>
      <c r="H72" s="58">
        <f t="shared" si="2"/>
        <v>0</v>
      </c>
      <c r="I72" s="59">
        <f t="shared" si="3"/>
        <v>0</v>
      </c>
      <c r="K72" s="3"/>
      <c r="L72" s="3"/>
      <c r="M72" s="3"/>
      <c r="N72" s="3"/>
      <c r="O72" s="3"/>
      <c r="P72" s="3"/>
      <c r="Q72" s="3"/>
      <c r="R72" s="3"/>
      <c r="S72" s="3"/>
      <c r="T72" s="3"/>
    </row>
    <row r="73" spans="2:20" s="6" customFormat="1" ht="15" customHeight="1" thickBot="1" x14ac:dyDescent="0.25">
      <c r="B73" s="61"/>
      <c r="C73" s="62"/>
      <c r="D73" s="62"/>
      <c r="E73" s="62"/>
      <c r="F73" s="63" t="s">
        <v>40</v>
      </c>
      <c r="G73" s="64"/>
      <c r="H73" s="72">
        <f>SUM(H48:H72)</f>
        <v>0</v>
      </c>
      <c r="I73" s="73">
        <f>SUM(I48:I72)</f>
        <v>0</v>
      </c>
      <c r="K73" s="3"/>
      <c r="L73" s="3"/>
      <c r="M73" s="3"/>
      <c r="N73" s="3"/>
      <c r="O73" s="3"/>
      <c r="P73" s="3"/>
      <c r="Q73" s="3"/>
      <c r="R73" s="3"/>
      <c r="S73" s="3"/>
      <c r="T73" s="3"/>
    </row>
    <row r="74" spans="2:20" s="6" customFormat="1" ht="15" customHeight="1" x14ac:dyDescent="0.2">
      <c r="B74" s="476" t="s">
        <v>187</v>
      </c>
      <c r="C74" s="476"/>
      <c r="D74" s="476"/>
      <c r="E74" s="476"/>
      <c r="F74" s="302"/>
      <c r="G74" s="302"/>
      <c r="H74" s="302"/>
      <c r="I74" s="302"/>
      <c r="K74" s="3"/>
      <c r="L74" s="3"/>
      <c r="M74" s="3"/>
      <c r="N74" s="3"/>
      <c r="O74" s="3"/>
      <c r="P74" s="3"/>
      <c r="Q74" s="3"/>
      <c r="R74" s="3"/>
      <c r="S74" s="3"/>
      <c r="T74" s="3"/>
    </row>
    <row r="75" spans="2:20" s="6" customFormat="1" ht="15" customHeight="1" x14ac:dyDescent="0.25">
      <c r="B75" s="463" t="s">
        <v>188</v>
      </c>
      <c r="C75" s="463"/>
      <c r="D75" s="463"/>
      <c r="E75" s="463"/>
      <c r="K75" s="3"/>
      <c r="L75" s="3"/>
      <c r="M75" s="3"/>
      <c r="N75" s="3"/>
      <c r="O75" s="3"/>
      <c r="P75" s="3"/>
      <c r="Q75" s="3"/>
      <c r="R75" s="3"/>
      <c r="S75" s="3"/>
      <c r="T75" s="3"/>
    </row>
    <row r="76" spans="2:20" s="6" customFormat="1" ht="15" customHeight="1" x14ac:dyDescent="0.2">
      <c r="B76" s="282" t="s">
        <v>531</v>
      </c>
      <c r="C76" s="282"/>
      <c r="D76" s="282"/>
      <c r="E76" s="282"/>
      <c r="K76" s="3"/>
      <c r="L76" s="3"/>
      <c r="M76" s="3"/>
      <c r="N76" s="3"/>
      <c r="O76" s="3"/>
      <c r="P76" s="3"/>
      <c r="Q76" s="3"/>
      <c r="R76" s="3"/>
      <c r="S76" s="3"/>
      <c r="T76" s="3"/>
    </row>
    <row r="77" spans="2:20" s="6" customFormat="1" ht="15" customHeight="1" x14ac:dyDescent="0.25">
      <c r="B77" s="283" t="s">
        <v>419</v>
      </c>
      <c r="C77" s="284"/>
      <c r="D77" s="284"/>
      <c r="E77" s="284"/>
      <c r="F77"/>
      <c r="G77" s="281" t="s">
        <v>190</v>
      </c>
      <c r="H77" s="281"/>
      <c r="I77"/>
      <c r="J77"/>
      <c r="K77" s="3"/>
      <c r="L77" s="3"/>
      <c r="M77" s="3"/>
      <c r="N77" s="3"/>
      <c r="O77" s="3"/>
      <c r="P77" s="3"/>
      <c r="Q77" s="3"/>
      <c r="R77" s="3"/>
      <c r="S77" s="3"/>
      <c r="T77" s="3"/>
    </row>
    <row r="78" spans="2:20" ht="15" customHeight="1" x14ac:dyDescent="0.25">
      <c r="B78" s="215"/>
      <c r="C78" s="215"/>
      <c r="D78" s="215"/>
      <c r="E78" s="215"/>
    </row>
    <row r="79" spans="2:20" x14ac:dyDescent="0.25">
      <c r="D79" s="215"/>
      <c r="E79" s="215"/>
      <c r="F79" s="1"/>
      <c r="G79" s="1"/>
      <c r="H79" s="1"/>
      <c r="I79" s="1"/>
    </row>
    <row r="413" hidden="1" x14ac:dyDescent="0.25"/>
  </sheetData>
  <protectedRanges>
    <protectedRange sqref="B22 N28:Q29 C11:C13 M33:M36 J21:J26 E21:E24 F5:F6 A14:A19 R22:W27 P24:Q27 K22:K27" name="Range2"/>
    <protectedRange sqref="O28:Q410 L42:L406 N28:N44 M32:M44 M46:N410 J25:J407 A5:B7 L34:L40 B19:C20 H11:H12 A26:A408 B25:I73 B80:I407 B74:E76 D77:I79 B77:C78 L6:L8 G5:I8 C5:D8 M5:XFD8 A1:XFD4 C10:E10 A8:A10 D11:E13 G11:G13 C9:XFD9 G10:L10 I11:L13 K14:L19 R10:XFD21 R26:XFD408 M10:Q23 M24:O27 B14:I18 A20:A21 K20:K21 K26:K408 E19:J19 E20 G20:J20" name="Range1"/>
    <protectedRange sqref="D19:D20" name="Range1_2"/>
    <protectedRange sqref="F20" name="Range1_3"/>
  </protectedRanges>
  <mergeCells count="27">
    <mergeCell ref="B75:E75"/>
    <mergeCell ref="H29:H30"/>
    <mergeCell ref="I29:I30"/>
    <mergeCell ref="J29:J30"/>
    <mergeCell ref="J31:J32"/>
    <mergeCell ref="G47:I47"/>
    <mergeCell ref="B74:E74"/>
    <mergeCell ref="B29:B30"/>
    <mergeCell ref="C29:C30"/>
    <mergeCell ref="D29:D30"/>
    <mergeCell ref="E29:E30"/>
    <mergeCell ref="F29:F30"/>
    <mergeCell ref="G29:G30"/>
    <mergeCell ref="B25:D25"/>
    <mergeCell ref="F25:I25"/>
    <mergeCell ref="B26:I26"/>
    <mergeCell ref="B27:I27"/>
    <mergeCell ref="B22:D22"/>
    <mergeCell ref="C8:D8"/>
    <mergeCell ref="E19:F19"/>
    <mergeCell ref="G19:H19"/>
    <mergeCell ref="B1:J1"/>
    <mergeCell ref="B2:J2"/>
    <mergeCell ref="B3:I3"/>
    <mergeCell ref="C5:D5"/>
    <mergeCell ref="C6:D6"/>
    <mergeCell ref="C7:D7"/>
  </mergeCells>
  <conditionalFormatting sqref="G34:G41 G43:G45 G48:G72">
    <cfRule type="cellIs" dxfId="30" priority="1" operator="equal">
      <formula>0</formula>
    </cfRule>
  </conditionalFormatting>
  <conditionalFormatting sqref="E23:E24">
    <cfRule type="containsBlanks" dxfId="29" priority="2">
      <formula>LEN(TRIM(E23))=0</formula>
    </cfRule>
  </conditionalFormatting>
  <dataValidations count="4">
    <dataValidation allowBlank="1" showErrorMessage="1" sqref="E21:E31 B23:C32 D32:E32 B21:D21 D23:D31 F21:I32" xr:uid="{00000000-0002-0000-0800-000000000000}"/>
    <dataValidation type="list" allowBlank="1" showInputMessage="1" showErrorMessage="1" sqref="B11:B13" xr:uid="{00000000-0002-0000-0800-000001000000}">
      <formula1>"Choose one, Yes, No"</formula1>
    </dataValidation>
    <dataValidation type="list" allowBlank="1" showInputMessage="1" showErrorMessage="1" sqref="B16" xr:uid="{00000000-0002-0000-0800-000002000000}">
      <formula1>"Choose one, Yes - NSPS, Yes - NESHAP, No"</formula1>
    </dataValidation>
    <dataValidation type="list" allowBlank="1" showInputMessage="1" showErrorMessage="1" sqref="G8" xr:uid="{00000000-0002-0000-0800-000003000000}">
      <formula1>"Choose one, Tier 1, Tier 2, Tier 3, Tier 4, other"</formula1>
    </dataValidation>
  </dataValidations>
  <hyperlinks>
    <hyperlink ref="I42" r:id="rId1" xr:uid="{00000000-0004-0000-0800-000000000000}"/>
    <hyperlink ref="G77:H77" r:id="rId2" display="Minn. R. 7007.1300, subp. 3(I)" xr:uid="{00000000-0004-0000-0800-000001000000}"/>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47" min="1" max="9" man="1"/>
  </rowBreaks>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Incorrect Entry" error="Please choose from the drop down list._x000a__x000a_----&gt; Press CANCEL" xr:uid="{00000000-0002-0000-0800-000004000000}">
          <x14:formula1>
            <xm:f>'Data validation'!$A$6:$A$13</xm:f>
          </x14:formula1>
          <xm:sqref>E19:F19</xm:sqref>
        </x14:dataValidation>
        <x14:dataValidation type="list" errorStyle="information" allowBlank="1" showInputMessage="1" showErrorMessage="1" errorTitle="Incorrect Entry" error="Please choose from the drop down list._x000a__x000a_----&gt; Press CANCEL" xr:uid="{00000000-0002-0000-0800-000005000000}">
          <x14:formula1>
            <xm:f>'Data validation'!$A$17:$A$19</xm:f>
          </x14:formula1>
          <xm:sqref>E20</xm:sqref>
        </x14:dataValidation>
        <x14:dataValidation type="list" allowBlank="1" showErrorMessage="1" xr:uid="{00000000-0002-0000-0800-000006000000}">
          <x14:formula1>
            <xm:f>'Data validation'!$B$5:$B$7</xm:f>
          </x14:formula1>
          <xm:sqref>B22:D22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I D A A B Q S w M E F A A C A A g A J 0 k Q T Y A t 9 0 2 n A A A A + A A A A B I A H A B D b 2 5 m a W c v U G F j a 2 F n Z S 5 4 b W w g o h g A K K A U A A A A A A A A A A A A A A A A A A A A A A A A A A A A h Y 9 B D o I w F E S v Q r q n L V U M I Z + y c C u J C d G 4 b W q F R i i G F s v d X H g k r y C J o u 5 c z u R N 8 u Z x u 0 M + t k 1 w V b 3 V n c l Q h C k K l J H d U Z s q Q 4 M 7 h Q n K O W y F P I t K B R N s b D p a n a H a u U t K i P c e + w X u + o o w S i N y K D a l r F U r Q m 2 s E 0 Y q 9 F k d / 6 8 Q h / 1 L h j M c R 3 i Z J D F m q w j I X E O h z R d h k z G m Q H 5 K W A + N G 3 r F l Q l 3 J Z A 5 A n m / 4 E 9 Q S w M E F A A C A A g A J 0 k Q 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d J E E 1 u G T F 2 2 Q A A A G 8 B A A A T A B w A R m 9 y b X V s Y X M v U 2 V j d G l v b j E u b S C i G A A o o B Q A A A A A A A A A A A A A A A A A A A A A A A A A A A B 1 T r 1 q w z A Q 3 g 1 + h 0 N d b F A D n k M m k 4 4 d m p A O I Y M i X x 0 R + W R O E i Q Y v 3 u V K J S 2 k F s O v n + P O h h H s M m / W Z Z F W f i T Y u x g q 4 4 W G 1 i B x V A W k G 7 j I m t M y P q i 0 S 7 a y I w U P h 2 f j 8 6 d q 3 r a v 6 s B V y I 7 x W H e t 4 5 C k h x k D n g R 7 U l R f w u / j i h S 0 l 2 6 2 L I i / + V 4 a J 2 N A 9 1 I X + U 2 O U 1 i T b 0 h B E U d v E W 0 2 S w h p A c B L 2 G e 6 5 + C D x y t 0 q l h p 2 z 8 V f H A 7 2 j 1 b 4 c U j N q M 7 L Q K h n p 4 h c 6 g R 5 u I R s i H k / 9 E y C e r 5 r o s D D 0 Z s / w G U E s B A i 0 A F A A C A A g A J 0 k Q T Y A t 9 0 2 n A A A A + A A A A B I A A A A A A A A A A A A A A A A A A A A A A E N v b m Z p Z y 9 Q Y W N r Y W d l L n h t b F B L A Q I t A B Q A A g A I A C d J E E 0 P y u m r p A A A A O k A A A A T A A A A A A A A A A A A A A A A A P M A A A B b Q 2 9 u d G V u d F 9 U e X B l c 1 0 u e G 1 s U E s B A i 0 A F A A C A A g A J 0 k Q T W 4 Z M X b Z A A A A b w E A A B M A A A A A A A A A A A A A A A A A 5 A E A A E Z v c m 1 1 b G F z L 1 N l Y 3 R p b 2 4 x L m 1 Q S w U G A A A A A A M A A w D C A A A A C 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g g A A A A A A A C k 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U 3 R h d H V z I i B W Y W x 1 Z T 0 i c 0 N v b X B s Z X R l I i A v P j x F b n R y e S B U e X B l P S J G a W x s Q 2 9 1 b n Q i I F Z h b H V l P S J s N S I g L z 4 8 R W 5 0 c n k g V H l w Z T 0 i R m l s b E V y c m 9 y Q 2 9 1 b n Q i I F Z h b H V l P S J s M C I g L z 4 8 R W 5 0 c n k g V H l w Z T 0 i R m l s b E N v b H V t b l R 5 c G V z I i B W Y W x 1 Z T 0 i c 0 J n P T 0 i I C 8 + P E V u d H J 5 I F R 5 c G U 9 I k Z p b G x D b 2 x 1 b W 5 O Y W 1 l c y I g V m F s d W U 9 I n N b J n F 1 b 3 Q 7 R W 5 n a W 5 l I G F u Z C B G d W V s I F R 5 c G U m c X V v d D t d I i A v P j x F b n R y e S B U e X B l P S J G a W x s R X J y b 3 J D b 2 R l I i B W Y W x 1 Z T 0 i c 1 V u a 2 5 v d 2 4 i I C 8 + P E V u d H J 5 I F R 5 c G U 9 I k Z p b G x M Y X N 0 V X B k Y X R l Z C I g V m F s d W U 9 I m Q y M D E 4 L T A 4 L T E 2 V D E 0 O j A 5 O j A x L j Y 0 N j A 3 M T l a I i A v P j x F b n R y e S B U e X B l P S J G a W x s Z W R D b 2 1 w b G V 0 Z V J l c 3 V s d F R v V 2 9 y a 3 N o Z W V 0 I i B W Y W x 1 Z T 0 i b D E i I C 8 + P E V u d H J 5 I F R 5 c G U 9 I k F k Z G V k V G 9 E Y X R h T W 9 k Z W w i I F Z h b H V l P S J s M C I g L z 4 8 R W 5 0 c n k g V H l w Z T 0 i U m V j b 3 Z l c n l U Y X J n Z X R T a G V l d C I g V m F s d W U 9 I n N T a G V l d D E i I C 8 + P E V u d H J 5 I F R 5 c G U 9 I l J l Y 2 9 2 Z X J 5 V G F y Z 2 V 0 Q 2 9 s d W 1 u I i B W Y W x 1 Z T 0 i b D E i I C 8 + P E V u d H J 5 I F R 5 c G U 9 I l J l Y 2 9 2 Z X J 5 V G F y Z 2 V 0 U m 9 3 I i B W Y W x 1 Z T 0 i b D E i I C 8 + P E V u d H J 5 I F R 5 c G U 9 I k 5 h b W V V c G R h d G V k Q W Z 0 Z X J G a W x s I i B W Y W x 1 Z T 0 i b D A i I C 8 + P E V u d H J 5 I F R 5 c G U 9 I l J l b G F 0 a W 9 u c 2 h p c E l u Z m 9 D b 2 5 0 Y W l u Z X I i I F Z h b H V l P S J z e y Z x d W 9 0 O 2 N v b H V t b k N v d W 5 0 J n F 1 b 3 Q 7 O j E s J n F 1 b 3 Q 7 a 2 V 5 Q 2 9 s d W 1 u T m F t Z X M m c X V v d D s 6 W 1 0 s J n F 1 b 3 Q 7 c X V l c n l S Z W x h d G l v b n N o a X B z J n F 1 b 3 Q 7 O l t d L C Z x d W 9 0 O 2 N v b H V t b k l k Z W 5 0 a X R p Z X M m c X V v d D s 6 W y Z x d W 9 0 O 1 N l Y 3 R p b 2 4 x L 1 R h Y m x l M S 9 S Z X B s Y W N l Z C B W Y W x 1 Z S 5 7 R W 5 n a W 5 l I G F u Z C B G d W V s I F R 5 c G U s M H 0 m c X V v d D t d L C Z x d W 9 0 O 0 N v b H V t b k N v d W 5 0 J n F 1 b 3 Q 7 O j E s J n F 1 b 3 Q 7 S 2 V 5 Q 2 9 s d W 1 u T m F t Z X M m c X V v d D s 6 W 1 0 s J n F 1 b 3 Q 7 Q 2 9 s d W 1 u S W R l b n R p d G l l c y Z x d W 9 0 O z p b J n F 1 b 3 Q 7 U 2 V j d G l v b j E v V G F i b G U x L 1 J l c G x h Y 2 V k I F Z h b H V l L n t F b m d p b m U g Y W 5 k I E Z 1 Z W w g V H l w Z 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S Z X B s Y W N l Z C U y M F Z h b H V l P C 9 J d G V t U G F 0 a D 4 8 L 0 l 0 Z W 1 M b 2 N h d G l v b j 4 8 U 3 R h Y m x l R W 5 0 c m l l c y A v P j w v S X R l b T 4 8 L 0 l 0 Z W 1 z P j w v T G 9 j Y W x Q Y W N r Y W d l T W V 0 Y W R h d G F G a W x l P h Y A A A B Q S w U G A A A A A A A A A A A A A A A A A A A A A A A A 2 g A A A A E A A A D Q j J 3 f A R X R E Y x 6 A M B P w p f r A Q A A A F 8 D j K R G u T B H n x F U D + o G d z Y A A A A A A g A A A A A A A 2 Y A A M A A A A A Q A A A A 9 O d C 1 Q x t E I q 4 y r V p N 1 c K f w A A A A A E g A A A o A A A A B A A A A B c v H 6 6 q 2 u G K D O l y T I B z q X n U A A A A O v H R 7 q j C x k j y 1 8 8 L 1 v d 5 Y 4 c D F Y A x + x a m l T C l n F H X D s o o G G 1 / P L w U I I 8 s 0 r S A U L 7 x 0 O m z B P T s f 7 G / Z 8 r s B 6 E 0 v 1 p X v 5 9 z D u F o w 2 h 5 8 n M z E K 1 F A A A A H j V w 8 R B A S B o i t 4 J z W 5 3 1 / I u J L b s < / D a t a M a s h u p > 
</file>

<file path=customXml/itemProps1.xml><?xml version="1.0" encoding="utf-8"?>
<ds:datastoreItem xmlns:ds="http://schemas.openxmlformats.org/officeDocument/2006/customXml" ds:itemID="{24B4D508-D085-4731-8E89-6751BC500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34</vt:i4>
      </vt:variant>
    </vt:vector>
  </HeadingPairs>
  <TitlesOfParts>
    <vt:vector size="50" baseType="lpstr">
      <vt:lpstr>Instructions</vt:lpstr>
      <vt:lpstr>Business information</vt:lpstr>
      <vt:lpstr>Federal standards</vt:lpstr>
      <vt:lpstr>FAQs</vt:lpstr>
      <vt:lpstr>Engine 1</vt:lpstr>
      <vt:lpstr>Engine 2</vt:lpstr>
      <vt:lpstr>Engine 3</vt:lpstr>
      <vt:lpstr>Engine 4</vt:lpstr>
      <vt:lpstr>Engine 5</vt:lpstr>
      <vt:lpstr>Potential emissions</vt:lpstr>
      <vt:lpstr>Actual emissions</vt:lpstr>
      <vt:lpstr>Permits &amp; requirements</vt:lpstr>
      <vt:lpstr>Engine emission factors</vt:lpstr>
      <vt:lpstr>Propane reference</vt:lpstr>
      <vt:lpstr>Data validation</vt:lpstr>
      <vt:lpstr>Data collection</vt:lpstr>
      <vt:lpstr>Emer</vt:lpstr>
      <vt:lpstr>ng2l</vt:lpstr>
      <vt:lpstr>ngl</vt:lpstr>
      <vt:lpstr>ngr</vt:lpstr>
      <vt:lpstr>'Actual emissions'!Print_Area</vt:lpstr>
      <vt:lpstr>'Business information'!Print_Area</vt:lpstr>
      <vt:lpstr>'Engine 1'!Print_Area</vt:lpstr>
      <vt:lpstr>'Engine 2'!Print_Area</vt:lpstr>
      <vt:lpstr>'Engine 3'!Print_Area</vt:lpstr>
      <vt:lpstr>'Engine 4'!Print_Area</vt:lpstr>
      <vt:lpstr>'Engine 5'!Print_Area</vt:lpstr>
      <vt:lpstr>'Engine emission factors'!Print_Area</vt:lpstr>
      <vt:lpstr>FAQs!Print_Area</vt:lpstr>
      <vt:lpstr>'Federal standards'!Print_Area</vt:lpstr>
      <vt:lpstr>Instructions!Print_Area</vt:lpstr>
      <vt:lpstr>'Permits &amp; requirements'!Print_Area</vt:lpstr>
      <vt:lpstr>'Potential emissions'!Print_Area</vt:lpstr>
      <vt:lpstr>'Actual emissions'!Print_Titles</vt:lpstr>
      <vt:lpstr>'Engine 1'!Print_Titles</vt:lpstr>
      <vt:lpstr>'Engine 2'!Print_Titles</vt:lpstr>
      <vt:lpstr>'Engine 3'!Print_Titles</vt:lpstr>
      <vt:lpstr>'Engine 4'!Print_Titles</vt:lpstr>
      <vt:lpstr>'Engine 5'!Print_Titles</vt:lpstr>
      <vt:lpstr>'Engine emission factors'!Print_Titles</vt:lpstr>
      <vt:lpstr>'Federal standards'!Print_Titles</vt:lpstr>
      <vt:lpstr>'Permits &amp; requirements'!Print_Titles</vt:lpstr>
      <vt:lpstr>'Potential emissions'!Print_Titles</vt:lpstr>
      <vt:lpstr>pro</vt:lpstr>
      <vt:lpstr>rd</vt:lpstr>
      <vt:lpstr>rg</vt:lpstr>
      <vt:lpstr>Routine</vt:lpstr>
      <vt:lpstr>select</vt:lpstr>
      <vt:lpstr>so</vt:lpstr>
      <vt:lpstr>tng</vt:lpstr>
    </vt:vector>
  </TitlesOfParts>
  <Manager>Chris Klucas (SS)</Manager>
  <Company>MPCA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Peak shaving and demand response internal combustion engines air emissions calculator</dc:title>
  <dc:subject>SBAP has developed a series of forms to help small businesses determine if they need an air emissions permit and/or track compliance with their current permit.</dc:subject>
  <dc:creator>Minnesota Pollution Control Agency - Emily Ohde (Sandra Simbeck)</dc:creator>
  <cp:keywords>Minnesota Pollution Control Agency,p-sbap5-25,MPCA,planning,small business assistance program,emission summary,internal combustion engine,emisisons calculator,peak shaving,demand response</cp:keywords>
  <dc:description/>
  <cp:lastModifiedBy>Simbeck, Sandra (MPCA)</cp:lastModifiedBy>
  <cp:lastPrinted>2023-06-06T14:34:48Z</cp:lastPrinted>
  <dcterms:created xsi:type="dcterms:W3CDTF">2018-08-09T13:21:05Z</dcterms:created>
  <dcterms:modified xsi:type="dcterms:W3CDTF">2023-12-13T16:13:29Z</dcterms:modified>
  <cp:category>planning, small business assistance program</cp:category>
</cp:coreProperties>
</file>