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X:\Publications\Working drive - Simbeck\FORMS - ALL\Planning\p-sbap5 - SmallBusinessAsstProgram\"/>
    </mc:Choice>
  </mc:AlternateContent>
  <xr:revisionPtr revIDLastSave="0" documentId="13_ncr:1_{825790E7-A648-4159-B91D-5F6F6764BA30}" xr6:coauthVersionLast="47" xr6:coauthVersionMax="47" xr10:uidLastSave="{00000000-0000-0000-0000-000000000000}"/>
  <bookViews>
    <workbookView xWindow="-120" yWindow="-120" windowWidth="29040" windowHeight="15720" tabRatio="911" xr2:uid="{00000000-000D-0000-FFFF-FFFF00000000}"/>
  </bookViews>
  <sheets>
    <sheet name="Instructions" sheetId="1" r:id="rId1"/>
    <sheet name="Federal standards" sheetId="37" r:id="rId2"/>
    <sheet name="State rules" sheetId="39" r:id="rId3"/>
    <sheet name="Hot mix asphalt" sheetId="30" r:id="rId4"/>
    <sheet name="Load out and silos" sheetId="32" r:id="rId5"/>
    <sheet name="Generator" sheetId="40" r:id="rId6"/>
    <sheet name="Natural gas (auxilary heat)" sheetId="17" r:id="rId7"/>
    <sheet name="Propane (auxilary heat)" sheetId="18" r:id="rId8"/>
    <sheet name="Fugitive" sheetId="20" r:id="rId9"/>
    <sheet name="Potential emissions" sheetId="19" r:id="rId10"/>
    <sheet name="Actual emissions" sheetId="38" r:id="rId11"/>
    <sheet name="Permits &amp; requirements" sheetId="36" r:id="rId12"/>
    <sheet name="Hot mix emission factors" sheetId="31" r:id="rId13"/>
    <sheet name="Engine Emission Factors" sheetId="41" r:id="rId14"/>
    <sheet name="Data Validation" sheetId="6" state="hidden" r:id="rId15"/>
    <sheet name="Data Validation Generator" sheetId="42" state="hidden" r:id="rId16"/>
  </sheets>
  <definedNames>
    <definedName name="Ba">'Data Validation'!$B$7</definedName>
    <definedName name="Batch">'Data Validation'!$B$7</definedName>
    <definedName name="D">'Data Validation'!$B$14</definedName>
    <definedName name="Dr">'Data Validation'!$B$8</definedName>
    <definedName name="Drum">'Data Validation'!$B$8</definedName>
    <definedName name="Emer">'Data Validation Generator'!$A$19</definedName>
    <definedName name="FC">'Data Validation'!$B$36</definedName>
    <definedName name="FT">'Data Validation'!$B$35</definedName>
    <definedName name="FU">'Data Validation'!$B$37</definedName>
    <definedName name="NatGas" localSheetId="10">'Data Validation'!#REF!,'Data Validation'!$B$20,'Data Validation'!$B$21,'Data Validation'!$B$22</definedName>
    <definedName name="NG">'Data Validation'!$B$13</definedName>
    <definedName name="ng2l">'Data Validation Generator'!$A$13</definedName>
    <definedName name="ngl">'Data Validation Generator'!$A$12</definedName>
    <definedName name="ngr">'Data Validation Generator'!$A$11</definedName>
    <definedName name="No">'Data Validation'!$B$34</definedName>
    <definedName name="NtrlGas">'Data Validation'!$B$13</definedName>
    <definedName name="O">'Data Validation'!$B$15</definedName>
    <definedName name="_xlnm.Print_Area" localSheetId="10">'Actual emissions'!$B$1:$K$105</definedName>
    <definedName name="_xlnm.Print_Area" localSheetId="14">'Data Validation'!$A$1:$C$48</definedName>
    <definedName name="_xlnm.Print_Area" localSheetId="1">'Federal standards'!$B$1:$O$66</definedName>
    <definedName name="_xlnm.Print_Area" localSheetId="8">Fugitive!$B$1:$I$90,Fugitive!$K$22:$M$41,Fugitive!$K$42:$U$69</definedName>
    <definedName name="_xlnm.Print_Area" localSheetId="5">Generator!$B$1:$J$76</definedName>
    <definedName name="_xlnm.Print_Area" localSheetId="3">'Hot mix asphalt'!$B$1:$J$102</definedName>
    <definedName name="_xlnm.Print_Area" localSheetId="12">'Hot mix emission factors'!$A$1:$I$102,'Hot mix emission factors'!$K$1:$O$63</definedName>
    <definedName name="_xlnm.Print_Area" localSheetId="0">Instructions!$B$1:$O$28</definedName>
    <definedName name="_xlnm.Print_Area" localSheetId="4">'Load out and silos'!$B$1:$H$65,'Load out and silos'!$J$9:$P$66</definedName>
    <definedName name="_xlnm.Print_Area" localSheetId="6">'Natural gas (auxilary heat)'!$B$1:$I$49</definedName>
    <definedName name="_xlnm.Print_Area" localSheetId="11">'Permits &amp; requirements'!$B$1:$I$51</definedName>
    <definedName name="_xlnm.Print_Area" localSheetId="9">'Potential emissions'!$B$1:$K$105</definedName>
    <definedName name="_xlnm.Print_Area" localSheetId="7">'Propane (auxilary heat)'!$B$1:$I$50</definedName>
    <definedName name="_xlnm.Print_Area" localSheetId="2">'State rules'!$B$1:$O$35</definedName>
    <definedName name="_xlnm.Print_Titles" localSheetId="10">'Actual emissions'!$1:$5</definedName>
    <definedName name="_xlnm.Print_Titles" localSheetId="13">'Engine Emission Factors'!$3:$3</definedName>
    <definedName name="_xlnm.Print_Titles" localSheetId="1">'Federal standards'!$1:$2</definedName>
    <definedName name="_xlnm.Print_Titles" localSheetId="5">Generator!$26:$31</definedName>
    <definedName name="_xlnm.Print_Titles" localSheetId="3">'Hot mix asphalt'!$20:$24</definedName>
    <definedName name="_xlnm.Print_Titles" localSheetId="4">'Load out and silos'!$10:$13</definedName>
    <definedName name="_xlnm.Print_Titles" localSheetId="6">'Natural gas (auxilary heat)'!$12:$16</definedName>
    <definedName name="_xlnm.Print_Titles" localSheetId="11">'Permits &amp; requirements'!$1:$2</definedName>
    <definedName name="_xlnm.Print_Titles" localSheetId="9">'Potential emissions'!$1:$5</definedName>
    <definedName name="pro">'Data Validation Generator'!$A$9</definedName>
    <definedName name="rd">'Data Validation Generator'!$A$7</definedName>
    <definedName name="rg">'Data Validation Generator'!$A$8</definedName>
    <definedName name="routine">'Data Validation Generator'!$A$18</definedName>
    <definedName name="SC">'Data Validation'!$B$39</definedName>
    <definedName name="select">'Data Validation Generator'!$A$6</definedName>
    <definedName name="so">'Data Validation Generator'!$A$17</definedName>
    <definedName name="ST">'Data Validation'!$B$38</definedName>
    <definedName name="SU">'Data Validation'!$B$40</definedName>
    <definedName name="tng">'Data Validation Generator'!$A$10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40" l="1"/>
  <c r="J5" i="30" l="1"/>
  <c r="G36" i="30"/>
  <c r="F9" i="30"/>
  <c r="J39" i="30"/>
  <c r="G38" i="30"/>
  <c r="H38" i="30" s="1"/>
  <c r="G39" i="30"/>
  <c r="H39" i="30" s="1"/>
  <c r="G37" i="30"/>
  <c r="H37" i="30" s="1"/>
  <c r="F10" i="30"/>
  <c r="F8" i="30"/>
  <c r="B75" i="31"/>
  <c r="B74" i="31"/>
  <c r="B73" i="31"/>
  <c r="B72" i="31"/>
  <c r="B70" i="31"/>
  <c r="B69" i="31"/>
  <c r="B68" i="31"/>
  <c r="B67" i="31"/>
  <c r="B66" i="31"/>
  <c r="F75" i="31"/>
  <c r="F74" i="31"/>
  <c r="F73" i="31"/>
  <c r="F72" i="31"/>
  <c r="F71" i="31"/>
  <c r="F70" i="31"/>
  <c r="F69" i="31"/>
  <c r="F68" i="31"/>
  <c r="F66" i="31"/>
  <c r="I19" i="31"/>
  <c r="F19" i="31"/>
  <c r="E19" i="31"/>
  <c r="D19" i="31"/>
  <c r="B19" i="31"/>
  <c r="G49" i="40" l="1"/>
  <c r="G50" i="40"/>
  <c r="G51" i="40"/>
  <c r="G52" i="40"/>
  <c r="G53" i="40"/>
  <c r="G54" i="40"/>
  <c r="G55" i="40"/>
  <c r="G56" i="40"/>
  <c r="G57" i="40"/>
  <c r="G58" i="40"/>
  <c r="G59" i="40"/>
  <c r="G60" i="40"/>
  <c r="G61" i="40"/>
  <c r="G62" i="40"/>
  <c r="G63" i="40"/>
  <c r="G64" i="40"/>
  <c r="G65" i="40"/>
  <c r="G66" i="40"/>
  <c r="G67" i="40"/>
  <c r="G68" i="40"/>
  <c r="G69" i="40"/>
  <c r="G70" i="40"/>
  <c r="G71" i="40"/>
  <c r="G72" i="40"/>
  <c r="G48" i="40"/>
  <c r="G44" i="40"/>
  <c r="G45" i="40"/>
  <c r="G43" i="40"/>
  <c r="F22" i="40"/>
  <c r="G40" i="40"/>
  <c r="G39" i="40"/>
  <c r="G38" i="40"/>
  <c r="G36" i="40"/>
  <c r="G35" i="40"/>
  <c r="G34" i="40"/>
  <c r="E23" i="40"/>
  <c r="D32" i="40" s="1" a="1"/>
  <c r="D32" i="40" s="1"/>
  <c r="I8" i="41"/>
  <c r="E25" i="40"/>
  <c r="G37" i="40" s="1"/>
  <c r="F25" i="40"/>
  <c r="F24" i="40"/>
  <c r="E24" i="40"/>
  <c r="D24" i="40"/>
  <c r="D21" i="40"/>
  <c r="F21" i="40" s="1"/>
  <c r="D23" i="40" s="1"/>
  <c r="F23" i="40" s="1"/>
  <c r="A1" i="42"/>
  <c r="E32" i="40" l="1"/>
  <c r="I41" i="41"/>
  <c r="I40" i="41"/>
  <c r="I39" i="41"/>
  <c r="I38" i="41"/>
  <c r="I37" i="41"/>
  <c r="I36" i="41"/>
  <c r="I35" i="41"/>
  <c r="I34" i="41"/>
  <c r="I33" i="41"/>
  <c r="I32" i="41"/>
  <c r="I31" i="41"/>
  <c r="I30" i="41"/>
  <c r="I29" i="41"/>
  <c r="I28" i="41"/>
  <c r="I27" i="41"/>
  <c r="I26" i="41"/>
  <c r="I25" i="41"/>
  <c r="I24" i="41"/>
  <c r="I23" i="41"/>
  <c r="I22" i="41"/>
  <c r="I21" i="41"/>
  <c r="I20" i="41"/>
  <c r="I19" i="41"/>
  <c r="I18" i="41"/>
  <c r="I17" i="41"/>
  <c r="I15" i="41"/>
  <c r="I14" i="41"/>
  <c r="I13" i="41"/>
  <c r="I11" i="41"/>
  <c r="I10" i="41"/>
  <c r="I9" i="41"/>
  <c r="I6" i="41"/>
  <c r="I7" i="41" s="1"/>
  <c r="H55" i="41"/>
  <c r="D55" i="41"/>
  <c r="C55" i="41"/>
  <c r="B55" i="41"/>
  <c r="I5" i="41" l="1"/>
  <c r="Q24" i="30" l="1"/>
  <c r="I47" i="20"/>
  <c r="I46" i="20"/>
  <c r="I45" i="20"/>
  <c r="B1" i="39" l="1"/>
  <c r="C37" i="6" l="1"/>
  <c r="C34" i="6"/>
  <c r="E26" i="30" l="1"/>
  <c r="C20" i="20" s="1"/>
  <c r="G6" i="30"/>
  <c r="A1" i="6" l="1"/>
  <c r="B52" i="41" l="1"/>
  <c r="C7" i="41"/>
  <c r="F6" i="41"/>
  <c r="F7" i="41" s="1"/>
  <c r="D6" i="41"/>
  <c r="D7" i="41" s="1"/>
  <c r="C6" i="41"/>
  <c r="H5" i="41"/>
  <c r="H6" i="41" s="1"/>
  <c r="H7" i="41" s="1"/>
  <c r="G5" i="41"/>
  <c r="G7" i="41" s="1"/>
  <c r="F5" i="41"/>
  <c r="G6" i="41" l="1"/>
  <c r="H2" i="41"/>
  <c r="I1" i="31"/>
  <c r="I1" i="36"/>
  <c r="K1" i="38"/>
  <c r="K1" i="19"/>
  <c r="I1" i="20"/>
  <c r="I1" i="18"/>
  <c r="I1" i="17"/>
  <c r="J1" i="40"/>
  <c r="H1" i="32"/>
  <c r="J1" i="30"/>
  <c r="B1" i="37"/>
  <c r="D100" i="19" l="1"/>
  <c r="F101" i="19" s="1"/>
  <c r="D94" i="19"/>
  <c r="F95" i="19" s="1"/>
  <c r="N21" i="32"/>
  <c r="F21" i="32"/>
  <c r="E13" i="36"/>
  <c r="A22" i="6"/>
  <c r="A21" i="6"/>
  <c r="E101" i="19" l="1"/>
  <c r="F100" i="19"/>
  <c r="E95" i="19"/>
  <c r="F94" i="19"/>
  <c r="I25" i="20"/>
  <c r="N40" i="37" l="1"/>
  <c r="N32" i="37"/>
  <c r="N16" i="37" l="1"/>
  <c r="J31" i="38" l="1"/>
  <c r="N46" i="32"/>
  <c r="N47" i="32"/>
  <c r="N48" i="32"/>
  <c r="N53" i="32"/>
  <c r="N54" i="32"/>
  <c r="N56" i="32"/>
  <c r="N57" i="32"/>
  <c r="N59" i="32"/>
  <c r="N60" i="32"/>
  <c r="N61" i="32"/>
  <c r="N62" i="32"/>
  <c r="N63" i="32"/>
  <c r="N45" i="32"/>
  <c r="N25" i="32"/>
  <c r="N26" i="32"/>
  <c r="N27" i="32"/>
  <c r="N28" i="32"/>
  <c r="N29" i="32"/>
  <c r="N31" i="32"/>
  <c r="N32" i="32"/>
  <c r="N33" i="32"/>
  <c r="N34" i="32"/>
  <c r="N35" i="32"/>
  <c r="N37" i="32"/>
  <c r="N39" i="32"/>
  <c r="F25" i="32"/>
  <c r="F26" i="32"/>
  <c r="F27" i="32"/>
  <c r="F28" i="32"/>
  <c r="F29" i="32"/>
  <c r="F30" i="32"/>
  <c r="F31" i="32"/>
  <c r="F32" i="32"/>
  <c r="F33" i="32"/>
  <c r="F34" i="32"/>
  <c r="F35" i="32"/>
  <c r="F36" i="32"/>
  <c r="F37" i="32"/>
  <c r="F38" i="32"/>
  <c r="F39" i="32"/>
  <c r="F40" i="32"/>
  <c r="F41" i="32"/>
  <c r="F42" i="32"/>
  <c r="F24" i="32"/>
  <c r="J31" i="19"/>
  <c r="I19" i="30" l="1"/>
  <c r="B85" i="30"/>
  <c r="B86" i="30"/>
  <c r="B87" i="30"/>
  <c r="G87" i="30"/>
  <c r="B88" i="30"/>
  <c r="G88" i="30"/>
  <c r="I88" i="30" s="1"/>
  <c r="J88" i="30" s="1"/>
  <c r="B89" i="30"/>
  <c r="G89" i="30"/>
  <c r="B90" i="30"/>
  <c r="G90" i="30"/>
  <c r="B91" i="30"/>
  <c r="G91" i="30"/>
  <c r="I91" i="30" s="1"/>
  <c r="J91" i="30" s="1"/>
  <c r="B92" i="30"/>
  <c r="B93" i="30"/>
  <c r="G93" i="30"/>
  <c r="B94" i="30"/>
  <c r="G94" i="30"/>
  <c r="B95" i="30"/>
  <c r="G95" i="30"/>
  <c r="I95" i="30" s="1"/>
  <c r="J95" i="30" s="1"/>
  <c r="B96" i="30"/>
  <c r="G96" i="30"/>
  <c r="I96" i="30" s="1"/>
  <c r="J96" i="30" s="1"/>
  <c r="B97" i="30"/>
  <c r="G97" i="30"/>
  <c r="B73" i="30"/>
  <c r="G73" i="30"/>
  <c r="I73" i="30" s="1"/>
  <c r="J73" i="30" s="1"/>
  <c r="B74" i="30"/>
  <c r="B75" i="30"/>
  <c r="G75" i="30"/>
  <c r="I75" i="30" s="1"/>
  <c r="J75" i="30" s="1"/>
  <c r="B76" i="30"/>
  <c r="B77" i="30"/>
  <c r="B78" i="30"/>
  <c r="B79" i="30"/>
  <c r="B80" i="30"/>
  <c r="B81" i="30"/>
  <c r="G81" i="30"/>
  <c r="I81" i="30" s="1"/>
  <c r="J81" i="30" s="1"/>
  <c r="B82" i="30"/>
  <c r="B83" i="30"/>
  <c r="B84" i="30"/>
  <c r="I75" i="31"/>
  <c r="D75" i="31"/>
  <c r="G85" i="30" s="1"/>
  <c r="I74" i="31"/>
  <c r="D74" i="31"/>
  <c r="G84" i="30" s="1"/>
  <c r="I84" i="30" s="1"/>
  <c r="J84" i="30" s="1"/>
  <c r="I73" i="31"/>
  <c r="E73" i="31"/>
  <c r="I72" i="31"/>
  <c r="D72" i="31"/>
  <c r="G82" i="30" s="1"/>
  <c r="I82" i="30" s="1"/>
  <c r="J82" i="30" s="1"/>
  <c r="H71" i="31"/>
  <c r="H70" i="31"/>
  <c r="E70" i="31"/>
  <c r="H69" i="31"/>
  <c r="E69" i="31"/>
  <c r="I68" i="31"/>
  <c r="E68" i="31"/>
  <c r="D67" i="31"/>
  <c r="G77" i="30" s="1"/>
  <c r="I77" i="30" s="1"/>
  <c r="J77" i="30" s="1"/>
  <c r="I66" i="31"/>
  <c r="E66" i="31"/>
  <c r="I87" i="30" l="1"/>
  <c r="J87" i="30" s="1"/>
  <c r="I94" i="30"/>
  <c r="J94" i="30" s="1"/>
  <c r="I90" i="30"/>
  <c r="J90" i="30" s="1"/>
  <c r="I97" i="30"/>
  <c r="J97" i="30" s="1"/>
  <c r="I93" i="30"/>
  <c r="J93" i="30" s="1"/>
  <c r="I89" i="30"/>
  <c r="J89" i="30" s="1"/>
  <c r="I85" i="30"/>
  <c r="J85" i="30" s="1"/>
  <c r="I71" i="31"/>
  <c r="E67" i="31"/>
  <c r="D69" i="31"/>
  <c r="G79" i="30" s="1"/>
  <c r="I79" i="30" s="1"/>
  <c r="J79" i="30" s="1"/>
  <c r="H66" i="31"/>
  <c r="E74" i="31"/>
  <c r="H75" i="31"/>
  <c r="E72" i="31"/>
  <c r="H73" i="31"/>
  <c r="I69" i="31"/>
  <c r="D66" i="31"/>
  <c r="G76" i="30" s="1"/>
  <c r="I76" i="30" s="1"/>
  <c r="J76" i="30" s="1"/>
  <c r="H68" i="31"/>
  <c r="D73" i="31"/>
  <c r="G83" i="30" s="1"/>
  <c r="I83" i="30" s="1"/>
  <c r="J83" i="30" s="1"/>
  <c r="D68" i="31"/>
  <c r="G78" i="30" s="1"/>
  <c r="I78" i="30" s="1"/>
  <c r="J78" i="30" s="1"/>
  <c r="D70" i="31"/>
  <c r="G80" i="30" s="1"/>
  <c r="I80" i="30" s="1"/>
  <c r="J80" i="30" s="1"/>
  <c r="I70" i="31"/>
  <c r="H72" i="31"/>
  <c r="H74" i="31"/>
  <c r="E75" i="31"/>
  <c r="F23" i="32" l="1"/>
  <c r="B23" i="32"/>
  <c r="N23" i="32"/>
  <c r="J23" i="32"/>
  <c r="N44" i="32"/>
  <c r="N24" i="32"/>
  <c r="J25" i="32"/>
  <c r="J26" i="32"/>
  <c r="J27" i="32"/>
  <c r="J28" i="32"/>
  <c r="J29" i="32"/>
  <c r="J30" i="32"/>
  <c r="J31" i="32"/>
  <c r="J32" i="32"/>
  <c r="J33" i="32"/>
  <c r="J34" i="32"/>
  <c r="J35" i="32"/>
  <c r="J36" i="32"/>
  <c r="J37" i="32"/>
  <c r="J38" i="32"/>
  <c r="J39" i="32"/>
  <c r="J40" i="32"/>
  <c r="J41" i="32"/>
  <c r="J42" i="32"/>
  <c r="J43" i="32"/>
  <c r="J44" i="32"/>
  <c r="J45" i="32"/>
  <c r="J46" i="32"/>
  <c r="J47" i="32"/>
  <c r="J48" i="32"/>
  <c r="J49" i="32"/>
  <c r="J50" i="32"/>
  <c r="J51" i="32"/>
  <c r="J52" i="32"/>
  <c r="J53" i="32"/>
  <c r="J54" i="32"/>
  <c r="J55" i="32"/>
  <c r="J56" i="32"/>
  <c r="J57" i="32"/>
  <c r="J58" i="32"/>
  <c r="J59" i="32"/>
  <c r="J60" i="32"/>
  <c r="J61" i="32"/>
  <c r="J62" i="32"/>
  <c r="J63" i="32"/>
  <c r="J24" i="32"/>
  <c r="F44" i="32"/>
  <c r="F45" i="32"/>
  <c r="F46" i="32"/>
  <c r="F47" i="32"/>
  <c r="F48" i="32"/>
  <c r="F49" i="32"/>
  <c r="F50" i="32"/>
  <c r="F51" i="32"/>
  <c r="F52" i="32"/>
  <c r="F53" i="32"/>
  <c r="F54" i="32"/>
  <c r="F55" i="32"/>
  <c r="F56" i="32"/>
  <c r="F57" i="32"/>
  <c r="F58" i="32"/>
  <c r="F59" i="32"/>
  <c r="F60" i="32"/>
  <c r="F61" i="32"/>
  <c r="F62" i="32"/>
  <c r="F63" i="32"/>
  <c r="B25" i="32"/>
  <c r="B26" i="32"/>
  <c r="B27" i="32"/>
  <c r="B28" i="32"/>
  <c r="B29" i="32"/>
  <c r="B30" i="32"/>
  <c r="B31" i="32"/>
  <c r="B32" i="32"/>
  <c r="B33" i="32"/>
  <c r="B34" i="32"/>
  <c r="B35" i="32"/>
  <c r="B36" i="32"/>
  <c r="B37" i="32"/>
  <c r="B38" i="32"/>
  <c r="B39" i="32"/>
  <c r="B40" i="32"/>
  <c r="B41" i="32"/>
  <c r="B42" i="32"/>
  <c r="B43" i="32"/>
  <c r="B44" i="32"/>
  <c r="B45" i="32"/>
  <c r="B46" i="32"/>
  <c r="B47" i="32"/>
  <c r="B48" i="32"/>
  <c r="B49" i="32"/>
  <c r="B50" i="32"/>
  <c r="B51" i="32"/>
  <c r="B52" i="32"/>
  <c r="B53" i="32"/>
  <c r="B54" i="32"/>
  <c r="B55" i="32"/>
  <c r="B56" i="32"/>
  <c r="B57" i="32"/>
  <c r="B58" i="32"/>
  <c r="B59" i="32"/>
  <c r="B60" i="32"/>
  <c r="B61" i="32"/>
  <c r="B62" i="32"/>
  <c r="B63" i="32"/>
  <c r="L40" i="31"/>
  <c r="F43" i="32" s="1"/>
  <c r="N40" i="31"/>
  <c r="N43" i="32" s="1"/>
  <c r="B24" i="32"/>
  <c r="G43" i="30"/>
  <c r="G44" i="30"/>
  <c r="G45" i="30"/>
  <c r="G46" i="30"/>
  <c r="I46" i="30" s="1"/>
  <c r="J46" i="30" s="1"/>
  <c r="G47" i="30"/>
  <c r="I47" i="30" s="1"/>
  <c r="J47" i="30" s="1"/>
  <c r="G48" i="30"/>
  <c r="G49" i="30"/>
  <c r="I49" i="30" s="1"/>
  <c r="J49" i="30" s="1"/>
  <c r="G50" i="30"/>
  <c r="G51" i="30"/>
  <c r="I51" i="30" s="1"/>
  <c r="J51" i="30" s="1"/>
  <c r="G52" i="30"/>
  <c r="G53" i="30"/>
  <c r="I53" i="30" s="1"/>
  <c r="J53" i="30" s="1"/>
  <c r="G55" i="30"/>
  <c r="G56" i="30"/>
  <c r="I56" i="30" s="1"/>
  <c r="J56" i="30" s="1"/>
  <c r="G57" i="30"/>
  <c r="G58" i="30"/>
  <c r="G59" i="30"/>
  <c r="I59" i="30" s="1"/>
  <c r="J59" i="30" s="1"/>
  <c r="G60" i="30"/>
  <c r="G61" i="30"/>
  <c r="G62" i="30"/>
  <c r="I62" i="30" s="1"/>
  <c r="J62" i="30" s="1"/>
  <c r="G63" i="30"/>
  <c r="I63" i="30" s="1"/>
  <c r="J63" i="30" s="1"/>
  <c r="G64" i="30"/>
  <c r="G65" i="30"/>
  <c r="I65" i="30" s="1"/>
  <c r="J65" i="30" s="1"/>
  <c r="G66" i="30"/>
  <c r="I66" i="30" s="1"/>
  <c r="J66" i="30" s="1"/>
  <c r="G67" i="30"/>
  <c r="G68" i="30"/>
  <c r="I68" i="30" s="1"/>
  <c r="J68" i="30" s="1"/>
  <c r="G69" i="30"/>
  <c r="G70" i="30"/>
  <c r="I70" i="30" s="1"/>
  <c r="J70" i="30" s="1"/>
  <c r="G71" i="30"/>
  <c r="I71" i="30" s="1"/>
  <c r="J71" i="30" s="1"/>
  <c r="G72" i="30"/>
  <c r="G42" i="30"/>
  <c r="G34" i="30"/>
  <c r="G33" i="30"/>
  <c r="G32" i="30"/>
  <c r="G31" i="30"/>
  <c r="B70" i="30"/>
  <c r="B71" i="30"/>
  <c r="B72"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41" i="30"/>
  <c r="I67" i="30" l="1"/>
  <c r="J67" i="30" s="1"/>
  <c r="I55" i="30"/>
  <c r="J55" i="30" s="1"/>
  <c r="I42" i="30"/>
  <c r="J42" i="30" s="1"/>
  <c r="I64" i="30"/>
  <c r="J64" i="30" s="1"/>
  <c r="I45" i="30"/>
  <c r="J45" i="30" s="1"/>
  <c r="I58" i="30"/>
  <c r="J58" i="30" s="1"/>
  <c r="I61" i="30"/>
  <c r="J61" i="30" s="1"/>
  <c r="I44" i="30"/>
  <c r="J44" i="30" s="1"/>
  <c r="I69" i="30"/>
  <c r="J69" i="30" s="1"/>
  <c r="I57" i="30"/>
  <c r="J57" i="30" s="1"/>
  <c r="I72" i="30"/>
  <c r="J72" i="30" s="1"/>
  <c r="I60" i="30"/>
  <c r="J60" i="30" s="1"/>
  <c r="I52" i="30"/>
  <c r="J52" i="30" s="1"/>
  <c r="I50" i="30"/>
  <c r="J50" i="30" s="1"/>
  <c r="I48" i="30"/>
  <c r="J48" i="30" s="1"/>
  <c r="I43" i="30"/>
  <c r="J43" i="30" s="1"/>
  <c r="G28" i="30" l="1"/>
  <c r="D54" i="20" l="1"/>
  <c r="I52" i="20" s="1"/>
  <c r="G69" i="20"/>
  <c r="C9" i="20"/>
  <c r="I26" i="20" s="1"/>
  <c r="G29" i="30" l="1"/>
  <c r="G30" i="30"/>
  <c r="G19" i="30"/>
  <c r="I28" i="30" s="1"/>
  <c r="J28" i="30" s="1"/>
  <c r="F15" i="32"/>
  <c r="I34" i="30" l="1"/>
  <c r="J34" i="30" s="1"/>
  <c r="I30" i="30"/>
  <c r="J30" i="30" s="1"/>
  <c r="I33" i="30"/>
  <c r="J33" i="30" s="1"/>
  <c r="I37" i="30"/>
  <c r="J37" i="30" s="1"/>
  <c r="I31" i="30"/>
  <c r="J31" i="30" s="1"/>
  <c r="I32" i="30"/>
  <c r="J32" i="30" s="1"/>
  <c r="I38" i="30"/>
  <c r="J38" i="30" s="1"/>
  <c r="I29" i="30"/>
  <c r="J29" i="30" s="1"/>
  <c r="J40" i="30" l="1"/>
  <c r="F14" i="38"/>
  <c r="F14" i="19"/>
  <c r="G35" i="30" l="1"/>
  <c r="I35" i="30" s="1"/>
  <c r="J35" i="30" s="1"/>
  <c r="G18" i="17"/>
  <c r="B54" i="41" l="1"/>
  <c r="E13" i="41" s="1"/>
  <c r="H53" i="41"/>
  <c r="D53" i="41"/>
  <c r="D54" i="41" s="1"/>
  <c r="E15" i="41" s="1"/>
  <c r="C53" i="41"/>
  <c r="B14" i="41" s="1"/>
  <c r="B53" i="41"/>
  <c r="C13" i="41" s="1"/>
  <c r="D52" i="41"/>
  <c r="F15" i="41" s="1"/>
  <c r="C52" i="41"/>
  <c r="F14" i="41" s="1"/>
  <c r="G13" i="41"/>
  <c r="H13" i="41" s="1"/>
  <c r="E41" i="41"/>
  <c r="E39" i="41"/>
  <c r="E34" i="41"/>
  <c r="E30" i="41"/>
  <c r="E23" i="41"/>
  <c r="E22" i="41"/>
  <c r="E21" i="41"/>
  <c r="C15" i="41"/>
  <c r="B15" i="41"/>
  <c r="G14" i="41"/>
  <c r="H14" i="41" s="1"/>
  <c r="E10" i="41"/>
  <c r="B10" i="41"/>
  <c r="D14" i="41" l="1"/>
  <c r="C14" i="41"/>
  <c r="C54" i="41"/>
  <c r="E14" i="41" s="1"/>
  <c r="F13" i="41"/>
  <c r="G15" i="41"/>
  <c r="H15" i="41" s="1"/>
  <c r="H63" i="40"/>
  <c r="F60" i="19" s="1"/>
  <c r="J60" i="19" s="1"/>
  <c r="B13" i="41"/>
  <c r="D15" i="41"/>
  <c r="D13" i="41"/>
  <c r="H36" i="40"/>
  <c r="F9" i="19" s="1"/>
  <c r="H52" i="40"/>
  <c r="F30" i="19" s="1"/>
  <c r="H68" i="40"/>
  <c r="F72" i="19" s="1"/>
  <c r="H58" i="40"/>
  <c r="F47" i="19" s="1"/>
  <c r="J47" i="19" s="1"/>
  <c r="H48" i="40"/>
  <c r="F22" i="19" s="1"/>
  <c r="J22" i="19" s="1"/>
  <c r="H59" i="40"/>
  <c r="F52" i="19" s="1"/>
  <c r="H54" i="40"/>
  <c r="F34" i="19" s="1"/>
  <c r="H70" i="40"/>
  <c r="F75" i="19" s="1"/>
  <c r="H38" i="40"/>
  <c r="H49" i="40"/>
  <c r="H65" i="40"/>
  <c r="F64" i="19" s="1"/>
  <c r="H53" i="40"/>
  <c r="F32" i="19" s="1"/>
  <c r="H43" i="40"/>
  <c r="F16" i="19" s="1"/>
  <c r="H60" i="40"/>
  <c r="F53" i="19" s="1"/>
  <c r="J53" i="19" s="1"/>
  <c r="H44" i="40"/>
  <c r="H55" i="40"/>
  <c r="F41" i="19" s="1"/>
  <c r="J41" i="19" s="1"/>
  <c r="H71" i="40"/>
  <c r="F78" i="19" s="1"/>
  <c r="J78" i="19" s="1"/>
  <c r="H34" i="40"/>
  <c r="H50" i="40"/>
  <c r="H66" i="40"/>
  <c r="H39" i="40"/>
  <c r="H61" i="40"/>
  <c r="F56" i="19" s="1"/>
  <c r="H56" i="40"/>
  <c r="F44" i="19" s="1"/>
  <c r="J44" i="19" s="1"/>
  <c r="H72" i="40"/>
  <c r="F79" i="19" s="1"/>
  <c r="H64" i="40"/>
  <c r="F62" i="19" s="1"/>
  <c r="H45" i="40"/>
  <c r="H51" i="40"/>
  <c r="H67" i="40"/>
  <c r="F68" i="19" s="1"/>
  <c r="J68" i="19" s="1"/>
  <c r="H35" i="40"/>
  <c r="H62" i="40"/>
  <c r="F57" i="19" s="1"/>
  <c r="H37" i="40"/>
  <c r="H69" i="40"/>
  <c r="F73" i="19" s="1"/>
  <c r="J73" i="19" s="1"/>
  <c r="H40" i="40"/>
  <c r="H57" i="40"/>
  <c r="F45" i="19" s="1"/>
  <c r="J45" i="19" s="1"/>
  <c r="I50" i="40" l="1"/>
  <c r="F24" i="38" s="1"/>
  <c r="J24" i="38" s="1"/>
  <c r="I54" i="40"/>
  <c r="F34" i="38" s="1"/>
  <c r="I58" i="40"/>
  <c r="F47" i="38" s="1"/>
  <c r="J47" i="38" s="1"/>
  <c r="I62" i="40"/>
  <c r="F57" i="38" s="1"/>
  <c r="I66" i="40"/>
  <c r="I70" i="40"/>
  <c r="F75" i="38" s="1"/>
  <c r="I45" i="40"/>
  <c r="F18" i="38" s="1"/>
  <c r="I39" i="40"/>
  <c r="F12" i="38" s="1"/>
  <c r="I35" i="40"/>
  <c r="F8" i="38" s="1"/>
  <c r="I51" i="40"/>
  <c r="F25" i="38" s="1"/>
  <c r="J25" i="38" s="1"/>
  <c r="I55" i="40"/>
  <c r="F41" i="38" s="1"/>
  <c r="J41" i="38" s="1"/>
  <c r="I59" i="40"/>
  <c r="F52" i="38" s="1"/>
  <c r="I63" i="40"/>
  <c r="F60" i="38" s="1"/>
  <c r="J60" i="38" s="1"/>
  <c r="I67" i="40"/>
  <c r="F68" i="38" s="1"/>
  <c r="J68" i="38" s="1"/>
  <c r="I71" i="40"/>
  <c r="F78" i="38" s="1"/>
  <c r="J78" i="38" s="1"/>
  <c r="I44" i="40"/>
  <c r="F17" i="38" s="1"/>
  <c r="I38" i="40"/>
  <c r="F11" i="38" s="1"/>
  <c r="I34" i="40"/>
  <c r="F7" i="38" s="1"/>
  <c r="I52" i="40"/>
  <c r="F30" i="38" s="1"/>
  <c r="I56" i="40"/>
  <c r="F44" i="38" s="1"/>
  <c r="J44" i="38" s="1"/>
  <c r="I60" i="40"/>
  <c r="F53" i="38" s="1"/>
  <c r="J53" i="38" s="1"/>
  <c r="I64" i="40"/>
  <c r="F62" i="38" s="1"/>
  <c r="I68" i="40"/>
  <c r="F72" i="38" s="1"/>
  <c r="I72" i="40"/>
  <c r="F79" i="38" s="1"/>
  <c r="I43" i="40"/>
  <c r="F16" i="38" s="1"/>
  <c r="I37" i="40"/>
  <c r="F10" i="38" s="1"/>
  <c r="I49" i="40"/>
  <c r="F23" i="38" s="1"/>
  <c r="J23" i="38" s="1"/>
  <c r="I53" i="40"/>
  <c r="F32" i="38" s="1"/>
  <c r="I57" i="40"/>
  <c r="F45" i="38" s="1"/>
  <c r="J45" i="38" s="1"/>
  <c r="I61" i="40"/>
  <c r="F56" i="38" s="1"/>
  <c r="I65" i="40"/>
  <c r="F64" i="38" s="1"/>
  <c r="I69" i="40"/>
  <c r="F73" i="38" s="1"/>
  <c r="J73" i="38" s="1"/>
  <c r="I48" i="40"/>
  <c r="F22" i="38" s="1"/>
  <c r="J22" i="38" s="1"/>
  <c r="I40" i="40"/>
  <c r="F13" i="38" s="1"/>
  <c r="I36" i="40"/>
  <c r="F9" i="38" s="1"/>
  <c r="F24" i="19"/>
  <c r="J24" i="19" s="1"/>
  <c r="F25" i="19"/>
  <c r="J25" i="19" s="1"/>
  <c r="F23" i="19"/>
  <c r="J23" i="19" s="1"/>
  <c r="F12" i="19"/>
  <c r="F7" i="19"/>
  <c r="F11" i="19"/>
  <c r="F18" i="19"/>
  <c r="F8" i="19"/>
  <c r="F10" i="19"/>
  <c r="F17" i="19"/>
  <c r="F13" i="19"/>
  <c r="H73" i="40"/>
  <c r="H46" i="40"/>
  <c r="I73" i="40" l="1"/>
  <c r="I46" i="40"/>
  <c r="G5" i="30" l="1"/>
  <c r="N49" i="37" l="1"/>
  <c r="A23" i="6" l="1"/>
  <c r="A31" i="6"/>
  <c r="N44" i="37" l="1"/>
  <c r="D15" i="18" l="1"/>
  <c r="E15" i="18" s="1"/>
  <c r="D15" i="17"/>
  <c r="E15" i="17" l="1"/>
  <c r="D32" i="20"/>
  <c r="I34" i="20" l="1"/>
  <c r="I33" i="20"/>
  <c r="I35" i="20"/>
  <c r="I53" i="20"/>
  <c r="I54" i="20"/>
  <c r="I17" i="17"/>
  <c r="I43" i="17"/>
  <c r="G90" i="38" s="1"/>
  <c r="I36" i="17"/>
  <c r="G82" i="38" s="1"/>
  <c r="I41" i="17"/>
  <c r="G88" i="38" s="1"/>
  <c r="I37" i="17"/>
  <c r="G83" i="38" s="1"/>
  <c r="I35" i="17"/>
  <c r="G75" i="38" s="1"/>
  <c r="I44" i="17"/>
  <c r="G91" i="38" s="1"/>
  <c r="I42" i="17"/>
  <c r="G89" i="38" s="1"/>
  <c r="I40" i="17"/>
  <c r="G87" i="38" s="1"/>
  <c r="I39" i="17"/>
  <c r="G85" i="38" s="1"/>
  <c r="I38" i="17"/>
  <c r="G84" i="38" s="1"/>
  <c r="I34" i="17"/>
  <c r="G64" i="38" s="1"/>
  <c r="N54" i="37"/>
  <c r="N20" i="37"/>
  <c r="I29" i="20" l="1"/>
  <c r="G60" i="20" l="1"/>
  <c r="E60" i="20"/>
  <c r="C60" i="20"/>
  <c r="I21" i="17" l="1"/>
  <c r="I24" i="17"/>
  <c r="I20" i="17"/>
  <c r="I23" i="17"/>
  <c r="I22" i="17"/>
  <c r="A30" i="6" l="1"/>
  <c r="A29" i="6"/>
  <c r="H14" i="38"/>
  <c r="G14" i="38"/>
  <c r="G11" i="38"/>
  <c r="G10" i="38"/>
  <c r="H14" i="19"/>
  <c r="E65" i="20"/>
  <c r="E64" i="20"/>
  <c r="E63" i="20"/>
  <c r="G44" i="18"/>
  <c r="G43" i="18"/>
  <c r="G42" i="18"/>
  <c r="G41" i="18"/>
  <c r="G40" i="18"/>
  <c r="G39" i="18"/>
  <c r="G38" i="18"/>
  <c r="G37" i="18"/>
  <c r="G36" i="18"/>
  <c r="G35" i="18"/>
  <c r="G34" i="18"/>
  <c r="G33" i="18"/>
  <c r="G32" i="18"/>
  <c r="G31" i="18"/>
  <c r="G28" i="18"/>
  <c r="H28" i="18" s="1"/>
  <c r="H18" i="19" s="1"/>
  <c r="G27" i="18"/>
  <c r="G26" i="18"/>
  <c r="G20" i="18"/>
  <c r="G17" i="18"/>
  <c r="G18" i="18" s="1"/>
  <c r="G19" i="18" s="1"/>
  <c r="H6" i="18"/>
  <c r="G33" i="17"/>
  <c r="I33" i="17" s="1"/>
  <c r="G57" i="38" s="1"/>
  <c r="G32" i="17"/>
  <c r="I32" i="17" s="1"/>
  <c r="G56" i="38" s="1"/>
  <c r="G31" i="17"/>
  <c r="I31" i="17" s="1"/>
  <c r="G34" i="38" s="1"/>
  <c r="G28" i="17"/>
  <c r="I28" i="17" s="1"/>
  <c r="G27" i="17"/>
  <c r="I27" i="17" s="1"/>
  <c r="G26" i="17"/>
  <c r="I18" i="17"/>
  <c r="G8" i="38" s="1"/>
  <c r="H8" i="17"/>
  <c r="N19" i="32"/>
  <c r="N18" i="32"/>
  <c r="N16" i="32"/>
  <c r="N15" i="32"/>
  <c r="F19" i="32"/>
  <c r="F18" i="32"/>
  <c r="F16" i="32"/>
  <c r="F17" i="32" s="1"/>
  <c r="D13" i="32"/>
  <c r="L13" i="32" s="1"/>
  <c r="C13" i="32"/>
  <c r="D26" i="30"/>
  <c r="C97" i="38" l="1"/>
  <c r="J97" i="38" s="1"/>
  <c r="H87" i="30"/>
  <c r="C93" i="19" s="1"/>
  <c r="J93" i="19" s="1"/>
  <c r="H97" i="30"/>
  <c r="C103" i="19" s="1"/>
  <c r="J103" i="19" s="1"/>
  <c r="G45" i="32"/>
  <c r="D28" i="19" s="1"/>
  <c r="G24" i="32"/>
  <c r="D34" i="19" s="1"/>
  <c r="C91" i="38"/>
  <c r="C101" i="38"/>
  <c r="J101" i="38" s="1"/>
  <c r="C93" i="38"/>
  <c r="J93" i="38" s="1"/>
  <c r="C94" i="38"/>
  <c r="J94" i="38" s="1"/>
  <c r="H94" i="30"/>
  <c r="C100" i="19" s="1"/>
  <c r="J100" i="19" s="1"/>
  <c r="H91" i="30"/>
  <c r="C97" i="19" s="1"/>
  <c r="J97" i="19" s="1"/>
  <c r="H85" i="30"/>
  <c r="C91" i="19" s="1"/>
  <c r="H90" i="30"/>
  <c r="C96" i="19" s="1"/>
  <c r="J96" i="19" s="1"/>
  <c r="H88" i="30"/>
  <c r="C94" i="19" s="1"/>
  <c r="J94" i="19" s="1"/>
  <c r="H95" i="30"/>
  <c r="C101" i="19" s="1"/>
  <c r="J101" i="19" s="1"/>
  <c r="H89" i="30"/>
  <c r="C95" i="19" s="1"/>
  <c r="J95" i="19" s="1"/>
  <c r="H96" i="30"/>
  <c r="C102" i="19" s="1"/>
  <c r="J102" i="19" s="1"/>
  <c r="H93" i="30"/>
  <c r="C99" i="19" s="1"/>
  <c r="J99" i="19" s="1"/>
  <c r="C95" i="38"/>
  <c r="J95" i="38" s="1"/>
  <c r="C96" i="38"/>
  <c r="J96" i="38" s="1"/>
  <c r="C100" i="38"/>
  <c r="J100" i="38" s="1"/>
  <c r="C99" i="38"/>
  <c r="J99" i="38" s="1"/>
  <c r="C103" i="38"/>
  <c r="J103" i="38" s="1"/>
  <c r="C102" i="38"/>
  <c r="J102" i="38" s="1"/>
  <c r="H28" i="30"/>
  <c r="C7" i="19" s="1"/>
  <c r="H76" i="30"/>
  <c r="C82" i="19" s="1"/>
  <c r="H77" i="30"/>
  <c r="C83" i="19" s="1"/>
  <c r="H84" i="30"/>
  <c r="C90" i="19" s="1"/>
  <c r="C81" i="38"/>
  <c r="J81" i="38" s="1"/>
  <c r="H79" i="30"/>
  <c r="C85" i="19" s="1"/>
  <c r="C89" i="38"/>
  <c r="H75" i="30"/>
  <c r="C81" i="19" s="1"/>
  <c r="J81" i="19" s="1"/>
  <c r="C85" i="38"/>
  <c r="H83" i="30"/>
  <c r="C89" i="19" s="1"/>
  <c r="H73" i="30"/>
  <c r="H80" i="30"/>
  <c r="C86" i="19" s="1"/>
  <c r="J86" i="19" s="1"/>
  <c r="H81" i="30"/>
  <c r="C87" i="19" s="1"/>
  <c r="C86" i="38"/>
  <c r="J86" i="38" s="1"/>
  <c r="C87" i="38"/>
  <c r="C88" i="38"/>
  <c r="C83" i="38"/>
  <c r="C82" i="38"/>
  <c r="H82" i="30"/>
  <c r="C88" i="19" s="1"/>
  <c r="C84" i="38"/>
  <c r="C90" i="38"/>
  <c r="H78" i="30"/>
  <c r="C84" i="19" s="1"/>
  <c r="C38" i="38"/>
  <c r="H45" i="30"/>
  <c r="C56" i="19" s="1"/>
  <c r="H64" i="30"/>
  <c r="C75" i="38"/>
  <c r="H57" i="30"/>
  <c r="C29" i="19" s="1"/>
  <c r="H55" i="30"/>
  <c r="C27" i="19" s="1"/>
  <c r="H62" i="30"/>
  <c r="C38" i="19" s="1"/>
  <c r="H51" i="30"/>
  <c r="C61" i="19" s="1"/>
  <c r="J61" i="19" s="1"/>
  <c r="H65" i="30"/>
  <c r="C51" i="19" s="1"/>
  <c r="H46" i="30"/>
  <c r="C71" i="19" s="1"/>
  <c r="J71" i="19" s="1"/>
  <c r="C67" i="38"/>
  <c r="C39" i="38"/>
  <c r="H70" i="30"/>
  <c r="C67" i="19" s="1"/>
  <c r="H61" i="30"/>
  <c r="C37" i="19" s="1"/>
  <c r="H58" i="30"/>
  <c r="C33" i="19" s="1"/>
  <c r="H60" i="30"/>
  <c r="C36" i="19" s="1"/>
  <c r="H43" i="30"/>
  <c r="C34" i="19" s="1"/>
  <c r="H48" i="30"/>
  <c r="C79" i="19" s="1"/>
  <c r="H67" i="30"/>
  <c r="C55" i="19" s="1"/>
  <c r="H50" i="30"/>
  <c r="C59" i="19" s="1"/>
  <c r="H53" i="30"/>
  <c r="C69" i="19" s="1"/>
  <c r="J69" i="19" s="1"/>
  <c r="H49" i="30"/>
  <c r="C57" i="19" s="1"/>
  <c r="H63" i="30"/>
  <c r="C39" i="19" s="1"/>
  <c r="H44" i="30"/>
  <c r="C52" i="19" s="1"/>
  <c r="C51" i="38"/>
  <c r="H72" i="30"/>
  <c r="C28" i="38"/>
  <c r="C71" i="38"/>
  <c r="J71" i="38" s="1"/>
  <c r="H42" i="30"/>
  <c r="C30" i="19" s="1"/>
  <c r="J30" i="19" s="1"/>
  <c r="C54" i="38"/>
  <c r="C57" i="38"/>
  <c r="H52" i="30"/>
  <c r="C32" i="19" s="1"/>
  <c r="J32" i="19" s="1"/>
  <c r="C58" i="38"/>
  <c r="C61" i="38"/>
  <c r="J61" i="38" s="1"/>
  <c r="H69" i="30"/>
  <c r="C64" i="19" s="1"/>
  <c r="C35" i="38"/>
  <c r="H66" i="30"/>
  <c r="C54" i="19" s="1"/>
  <c r="H47" i="30"/>
  <c r="C75" i="19" s="1"/>
  <c r="H59" i="30"/>
  <c r="C35" i="19" s="1"/>
  <c r="H71" i="30"/>
  <c r="H68" i="30"/>
  <c r="C58" i="19" s="1"/>
  <c r="H56" i="30"/>
  <c r="C28" i="19" s="1"/>
  <c r="C69" i="38"/>
  <c r="J69" i="38" s="1"/>
  <c r="C34" i="38"/>
  <c r="C37" i="38"/>
  <c r="C59" i="38"/>
  <c r="C30" i="38"/>
  <c r="J30" i="38" s="1"/>
  <c r="C36" i="38"/>
  <c r="C27" i="38"/>
  <c r="C55" i="38"/>
  <c r="C32" i="38"/>
  <c r="J32" i="38" s="1"/>
  <c r="C29" i="38"/>
  <c r="C64" i="38"/>
  <c r="C79" i="38"/>
  <c r="C56" i="38"/>
  <c r="C33" i="38"/>
  <c r="C52" i="38"/>
  <c r="G37" i="32"/>
  <c r="D72" i="19" s="1"/>
  <c r="H25" i="32"/>
  <c r="D42" i="38" s="1"/>
  <c r="G53" i="32"/>
  <c r="D40" i="19" s="1"/>
  <c r="G54" i="32"/>
  <c r="D49" i="19" s="1"/>
  <c r="H37" i="32"/>
  <c r="D72" i="38" s="1"/>
  <c r="G36" i="32"/>
  <c r="D63" i="19" s="1"/>
  <c r="G56" i="32"/>
  <c r="D54" i="19" s="1"/>
  <c r="H39" i="32"/>
  <c r="D75" i="38" s="1"/>
  <c r="G55" i="32"/>
  <c r="D51" i="19" s="1"/>
  <c r="G38" i="32"/>
  <c r="D74" i="19" s="1"/>
  <c r="H38" i="32"/>
  <c r="D74" i="38" s="1"/>
  <c r="G39" i="32"/>
  <c r="D75" i="19" s="1"/>
  <c r="G27" i="32"/>
  <c r="D43" i="19" s="1"/>
  <c r="G34" i="32"/>
  <c r="D59" i="19" s="1"/>
  <c r="H61" i="32"/>
  <c r="D66" i="38" s="1"/>
  <c r="G31" i="32"/>
  <c r="D52" i="19" s="1"/>
  <c r="H56" i="32"/>
  <c r="D54" i="38" s="1"/>
  <c r="H32" i="32"/>
  <c r="D56" i="38" s="1"/>
  <c r="G63" i="32"/>
  <c r="D70" i="19" s="1"/>
  <c r="H44" i="32"/>
  <c r="G40" i="32"/>
  <c r="D21" i="19" s="1"/>
  <c r="H43" i="32"/>
  <c r="D79" i="38" s="1"/>
  <c r="G50" i="32"/>
  <c r="D37" i="19" s="1"/>
  <c r="G33" i="32"/>
  <c r="D65" i="19" s="1"/>
  <c r="H52" i="32"/>
  <c r="D39" i="38" s="1"/>
  <c r="H35" i="32"/>
  <c r="D62" i="38" s="1"/>
  <c r="G32" i="32"/>
  <c r="D56" i="19" s="1"/>
  <c r="H51" i="32"/>
  <c r="D38" i="38" s="1"/>
  <c r="H34" i="32"/>
  <c r="D59" i="38" s="1"/>
  <c r="H30" i="32"/>
  <c r="D50" i="38" s="1"/>
  <c r="G29" i="32"/>
  <c r="D48" i="19" s="1"/>
  <c r="G47" i="32"/>
  <c r="D33" i="19" s="1"/>
  <c r="H58" i="32"/>
  <c r="D58" i="38" s="1"/>
  <c r="H49" i="32"/>
  <c r="D36" i="38" s="1"/>
  <c r="H48" i="32"/>
  <c r="D35" i="38" s="1"/>
  <c r="H28" i="32"/>
  <c r="D46" i="38" s="1"/>
  <c r="H62" i="32"/>
  <c r="D67" i="38" s="1"/>
  <c r="G28" i="32"/>
  <c r="D46" i="19" s="1"/>
  <c r="G62" i="32"/>
  <c r="D67" i="19" s="1"/>
  <c r="H46" i="32"/>
  <c r="D29" i="38" s="1"/>
  <c r="H29" i="32"/>
  <c r="D48" i="38" s="1"/>
  <c r="G61" i="32"/>
  <c r="D66" i="19" s="1"/>
  <c r="G48" i="32"/>
  <c r="D35" i="19" s="1"/>
  <c r="H31" i="32"/>
  <c r="D52" i="38" s="1"/>
  <c r="H63" i="32"/>
  <c r="D70" i="38" s="1"/>
  <c r="H47" i="32"/>
  <c r="D33" i="38" s="1"/>
  <c r="G30" i="32"/>
  <c r="D50" i="19" s="1"/>
  <c r="H42" i="32"/>
  <c r="D77" i="38" s="1"/>
  <c r="H54" i="32"/>
  <c r="D49" i="38" s="1"/>
  <c r="G46" i="32"/>
  <c r="D29" i="19" s="1"/>
  <c r="H45" i="32"/>
  <c r="D28" i="38" s="1"/>
  <c r="H53" i="32"/>
  <c r="D40" i="38" s="1"/>
  <c r="G52" i="32"/>
  <c r="D39" i="19" s="1"/>
  <c r="H41" i="32"/>
  <c r="D76" i="38" s="1"/>
  <c r="G51" i="32"/>
  <c r="D38" i="19" s="1"/>
  <c r="G23" i="32"/>
  <c r="H55" i="32"/>
  <c r="D51" i="38" s="1"/>
  <c r="G58" i="32"/>
  <c r="D58" i="19" s="1"/>
  <c r="G41" i="32"/>
  <c r="D76" i="19" s="1"/>
  <c r="G25" i="32"/>
  <c r="D42" i="19" s="1"/>
  <c r="G49" i="32"/>
  <c r="D36" i="19" s="1"/>
  <c r="H60" i="32"/>
  <c r="D64" i="38" s="1"/>
  <c r="G44" i="32"/>
  <c r="H27" i="32"/>
  <c r="D43" i="38" s="1"/>
  <c r="H57" i="32"/>
  <c r="D55" i="38" s="1"/>
  <c r="H59" i="32"/>
  <c r="D27" i="38" s="1"/>
  <c r="G42" i="32"/>
  <c r="D77" i="19" s="1"/>
  <c r="H26" i="32"/>
  <c r="D26" i="38" s="1"/>
  <c r="H23" i="32"/>
  <c r="H33" i="32"/>
  <c r="D65" i="38" s="1"/>
  <c r="G26" i="32"/>
  <c r="D26" i="19" s="1"/>
  <c r="G59" i="32"/>
  <c r="D27" i="19" s="1"/>
  <c r="G60" i="32"/>
  <c r="D64" i="19" s="1"/>
  <c r="G57" i="32"/>
  <c r="D55" i="19" s="1"/>
  <c r="H50" i="32"/>
  <c r="D37" i="38" s="1"/>
  <c r="G43" i="32"/>
  <c r="D79" i="19" s="1"/>
  <c r="G35" i="32"/>
  <c r="D62" i="19" s="1"/>
  <c r="H36" i="32"/>
  <c r="D63" i="38" s="1"/>
  <c r="H40" i="32"/>
  <c r="D21" i="38" s="1"/>
  <c r="H35" i="30"/>
  <c r="C14" i="19" s="1"/>
  <c r="H30" i="30"/>
  <c r="C9" i="19" s="1"/>
  <c r="H29" i="30"/>
  <c r="C8" i="19" s="1"/>
  <c r="H32" i="30"/>
  <c r="C11" i="19" s="1"/>
  <c r="H34" i="30"/>
  <c r="C13" i="19" s="1"/>
  <c r="H33" i="30"/>
  <c r="C12" i="19" s="1"/>
  <c r="H31" i="30"/>
  <c r="C10" i="19" s="1"/>
  <c r="C17" i="19"/>
  <c r="I27" i="20"/>
  <c r="K13" i="32"/>
  <c r="H21" i="32"/>
  <c r="H24" i="32"/>
  <c r="D34" i="38" s="1"/>
  <c r="G21" i="32"/>
  <c r="G19" i="17"/>
  <c r="I19" i="17" s="1"/>
  <c r="G9" i="38" s="1"/>
  <c r="H26" i="17"/>
  <c r="G16" i="19" s="1"/>
  <c r="I26" i="17"/>
  <c r="E72" i="20"/>
  <c r="F63" i="20"/>
  <c r="E73" i="20"/>
  <c r="F64" i="20"/>
  <c r="E74" i="20"/>
  <c r="F65" i="20"/>
  <c r="A28" i="6"/>
  <c r="D13" i="36" s="1"/>
  <c r="G63" i="20"/>
  <c r="H63" i="20" s="1"/>
  <c r="G72" i="20"/>
  <c r="H72" i="20" s="1"/>
  <c r="C65" i="20"/>
  <c r="D65" i="20" s="1"/>
  <c r="G73" i="20"/>
  <c r="H73" i="20" s="1"/>
  <c r="G64" i="20"/>
  <c r="H64" i="20" s="1"/>
  <c r="C63" i="20"/>
  <c r="D63" i="20" s="1"/>
  <c r="C72" i="20"/>
  <c r="H18" i="18"/>
  <c r="H8" i="19" s="1"/>
  <c r="H27" i="18"/>
  <c r="H17" i="19" s="1"/>
  <c r="I35" i="18"/>
  <c r="H75" i="38" s="1"/>
  <c r="I39" i="18"/>
  <c r="H85" i="38" s="1"/>
  <c r="I43" i="18"/>
  <c r="H90" i="38" s="1"/>
  <c r="I28" i="18"/>
  <c r="H18" i="38" s="1"/>
  <c r="I20" i="18"/>
  <c r="H10" i="38" s="1"/>
  <c r="I17" i="18"/>
  <c r="H7" i="38" s="1"/>
  <c r="I32" i="18"/>
  <c r="H56" i="38" s="1"/>
  <c r="I36" i="18"/>
  <c r="H82" i="38" s="1"/>
  <c r="I40" i="18"/>
  <c r="H87" i="38" s="1"/>
  <c r="I44" i="18"/>
  <c r="H91" i="38" s="1"/>
  <c r="I26" i="18"/>
  <c r="I21" i="18"/>
  <c r="H11" i="38" s="1"/>
  <c r="I33" i="18"/>
  <c r="H57" i="38" s="1"/>
  <c r="I37" i="18"/>
  <c r="H83" i="38" s="1"/>
  <c r="I41" i="18"/>
  <c r="H88" i="38" s="1"/>
  <c r="I31" i="18"/>
  <c r="H34" i="38" s="1"/>
  <c r="I18" i="18"/>
  <c r="H8" i="38" s="1"/>
  <c r="I22" i="18"/>
  <c r="H12" i="38" s="1"/>
  <c r="I34" i="18"/>
  <c r="H64" i="38" s="1"/>
  <c r="I38" i="18"/>
  <c r="H84" i="38" s="1"/>
  <c r="I42" i="18"/>
  <c r="H89" i="38" s="1"/>
  <c r="I27" i="18"/>
  <c r="H17" i="38" s="1"/>
  <c r="I19" i="18"/>
  <c r="H9" i="38" s="1"/>
  <c r="I23" i="18"/>
  <c r="H13" i="38" s="1"/>
  <c r="H19" i="18"/>
  <c r="H9" i="19" s="1"/>
  <c r="H21" i="18"/>
  <c r="H23" i="18"/>
  <c r="H31" i="18"/>
  <c r="H34" i="19" s="1"/>
  <c r="H33" i="18"/>
  <c r="H57" i="19" s="1"/>
  <c r="H35" i="18"/>
  <c r="H75" i="19" s="1"/>
  <c r="H37" i="18"/>
  <c r="H83" i="19" s="1"/>
  <c r="H39" i="18"/>
  <c r="H85" i="19" s="1"/>
  <c r="H41" i="18"/>
  <c r="H88" i="19" s="1"/>
  <c r="H43" i="18"/>
  <c r="H90" i="19" s="1"/>
  <c r="H17" i="18"/>
  <c r="H20" i="18"/>
  <c r="H22" i="18"/>
  <c r="H32" i="18"/>
  <c r="H56" i="19" s="1"/>
  <c r="H34" i="18"/>
  <c r="H64" i="19" s="1"/>
  <c r="H36" i="18"/>
  <c r="H82" i="19" s="1"/>
  <c r="H38" i="18"/>
  <c r="H84" i="19" s="1"/>
  <c r="H40" i="18"/>
  <c r="H87" i="19" s="1"/>
  <c r="H42" i="18"/>
  <c r="H89" i="19" s="1"/>
  <c r="H44" i="18"/>
  <c r="H91" i="19" s="1"/>
  <c r="H26" i="18"/>
  <c r="H43" i="17"/>
  <c r="G90" i="19" s="1"/>
  <c r="G18" i="38"/>
  <c r="G17" i="38"/>
  <c r="H33" i="17"/>
  <c r="G57" i="19" s="1"/>
  <c r="H41" i="17"/>
  <c r="G88" i="19" s="1"/>
  <c r="H22" i="17"/>
  <c r="H24" i="17"/>
  <c r="G14" i="19" s="1"/>
  <c r="H34" i="17"/>
  <c r="G64" i="19" s="1"/>
  <c r="H17" i="17"/>
  <c r="G7" i="19" s="1"/>
  <c r="H20" i="17"/>
  <c r="H38" i="17"/>
  <c r="G84" i="19" s="1"/>
  <c r="H18" i="17"/>
  <c r="H31" i="17"/>
  <c r="G34" i="19" s="1"/>
  <c r="H42" i="17"/>
  <c r="G89" i="19" s="1"/>
  <c r="H37" i="17"/>
  <c r="G83" i="19" s="1"/>
  <c r="H27" i="17"/>
  <c r="H36" i="17"/>
  <c r="G82" i="19" s="1"/>
  <c r="H40" i="17"/>
  <c r="G87" i="19" s="1"/>
  <c r="H44" i="17"/>
  <c r="G91" i="19" s="1"/>
  <c r="H21" i="17"/>
  <c r="H23" i="17"/>
  <c r="H28" i="17"/>
  <c r="H32" i="17"/>
  <c r="G56" i="19" s="1"/>
  <c r="H35" i="17"/>
  <c r="G75" i="19" s="1"/>
  <c r="H39" i="17"/>
  <c r="G85" i="19" s="1"/>
  <c r="G12" i="38"/>
  <c r="G13" i="38"/>
  <c r="G7" i="38"/>
  <c r="G15" i="32"/>
  <c r="D7" i="19" s="1"/>
  <c r="C14" i="38"/>
  <c r="C12" i="38"/>
  <c r="C8" i="38"/>
  <c r="C9" i="38"/>
  <c r="C10" i="38"/>
  <c r="C7" i="38"/>
  <c r="C16" i="38"/>
  <c r="C17" i="38"/>
  <c r="C13" i="38"/>
  <c r="C11" i="38"/>
  <c r="G19" i="32"/>
  <c r="D13" i="19" s="1"/>
  <c r="G16" i="32"/>
  <c r="D8" i="19" s="1"/>
  <c r="G18" i="32"/>
  <c r="D12" i="19" s="1"/>
  <c r="N17" i="32"/>
  <c r="H19" i="32"/>
  <c r="D13" i="38" s="1"/>
  <c r="H16" i="32"/>
  <c r="D8" i="38" s="1"/>
  <c r="H18" i="32"/>
  <c r="D12" i="38" s="1"/>
  <c r="H15" i="32"/>
  <c r="D7" i="38" s="1"/>
  <c r="G17" i="32"/>
  <c r="A20" i="6"/>
  <c r="H40" i="30" l="1"/>
  <c r="H19" i="17"/>
  <c r="G9" i="19" s="1"/>
  <c r="P41" i="32"/>
  <c r="E76" i="38" s="1"/>
  <c r="J76" i="38" s="1"/>
  <c r="P49" i="32"/>
  <c r="E36" i="38" s="1"/>
  <c r="J36" i="38" s="1"/>
  <c r="P51" i="32"/>
  <c r="E38" i="38" s="1"/>
  <c r="J38" i="38" s="1"/>
  <c r="O40" i="32"/>
  <c r="E21" i="19" s="1"/>
  <c r="J21" i="19" s="1"/>
  <c r="O42" i="32"/>
  <c r="E77" i="19" s="1"/>
  <c r="J77" i="19" s="1"/>
  <c r="O50" i="32"/>
  <c r="E37" i="19" s="1"/>
  <c r="J37" i="19" s="1"/>
  <c r="O52" i="32"/>
  <c r="E39" i="19" s="1"/>
  <c r="J39" i="19" s="1"/>
  <c r="P40" i="32"/>
  <c r="E21" i="38" s="1"/>
  <c r="J21" i="38" s="1"/>
  <c r="P42" i="32"/>
  <c r="E77" i="38" s="1"/>
  <c r="J77" i="38" s="1"/>
  <c r="P50" i="32"/>
  <c r="E37" i="38" s="1"/>
  <c r="J37" i="38" s="1"/>
  <c r="P52" i="32"/>
  <c r="E39" i="38" s="1"/>
  <c r="J39" i="38" s="1"/>
  <c r="O41" i="32"/>
  <c r="E76" i="19" s="1"/>
  <c r="J76" i="19" s="1"/>
  <c r="O49" i="32"/>
  <c r="E36" i="19" s="1"/>
  <c r="J36" i="19" s="1"/>
  <c r="O51" i="32"/>
  <c r="E38" i="19" s="1"/>
  <c r="J38" i="19" s="1"/>
  <c r="J91" i="38"/>
  <c r="J57" i="38"/>
  <c r="J87" i="38"/>
  <c r="J89" i="38"/>
  <c r="J84" i="38"/>
  <c r="J91" i="19"/>
  <c r="J82" i="38"/>
  <c r="J90" i="38"/>
  <c r="J83" i="38"/>
  <c r="J85" i="38"/>
  <c r="J88" i="38"/>
  <c r="J87" i="19"/>
  <c r="J90" i="19"/>
  <c r="J88" i="19"/>
  <c r="J83" i="19"/>
  <c r="J57" i="19"/>
  <c r="J84" i="19"/>
  <c r="J89" i="19"/>
  <c r="J85" i="19"/>
  <c r="J82" i="19"/>
  <c r="C66" i="38"/>
  <c r="C70" i="38"/>
  <c r="C66" i="19"/>
  <c r="C70" i="19"/>
  <c r="C49" i="19"/>
  <c r="C40" i="19"/>
  <c r="C49" i="38"/>
  <c r="C40" i="38"/>
  <c r="O30" i="32"/>
  <c r="E50" i="19" s="1"/>
  <c r="J50" i="19" s="1"/>
  <c r="O38" i="32"/>
  <c r="E74" i="19" s="1"/>
  <c r="J74" i="19" s="1"/>
  <c r="O55" i="32"/>
  <c r="E51" i="19" s="1"/>
  <c r="J51" i="19" s="1"/>
  <c r="P30" i="32"/>
  <c r="E50" i="38" s="1"/>
  <c r="J50" i="38" s="1"/>
  <c r="P38" i="32"/>
  <c r="E74" i="38" s="1"/>
  <c r="J74" i="38" s="1"/>
  <c r="P55" i="32"/>
  <c r="E51" i="38" s="1"/>
  <c r="J51" i="38" s="1"/>
  <c r="O58" i="32"/>
  <c r="E58" i="19" s="1"/>
  <c r="J58" i="19" s="1"/>
  <c r="P36" i="32"/>
  <c r="E63" i="38" s="1"/>
  <c r="J63" i="38" s="1"/>
  <c r="P58" i="32"/>
  <c r="E58" i="38" s="1"/>
  <c r="J58" i="38" s="1"/>
  <c r="O36" i="32"/>
  <c r="E63" i="19" s="1"/>
  <c r="J63" i="19" s="1"/>
  <c r="O27" i="32"/>
  <c r="E43" i="19" s="1"/>
  <c r="J43" i="19" s="1"/>
  <c r="O61" i="32"/>
  <c r="E66" i="19" s="1"/>
  <c r="O33" i="32"/>
  <c r="O63" i="32"/>
  <c r="E70" i="19" s="1"/>
  <c r="P35" i="32"/>
  <c r="E62" i="38" s="1"/>
  <c r="J62" i="38" s="1"/>
  <c r="P23" i="32"/>
  <c r="P62" i="32"/>
  <c r="E67" i="38" s="1"/>
  <c r="J67" i="38" s="1"/>
  <c r="O34" i="32"/>
  <c r="E59" i="19" s="1"/>
  <c r="J59" i="19" s="1"/>
  <c r="P63" i="32"/>
  <c r="E70" i="38" s="1"/>
  <c r="O62" i="32"/>
  <c r="E67" i="19" s="1"/>
  <c r="J67" i="19" s="1"/>
  <c r="O44" i="32"/>
  <c r="O47" i="32"/>
  <c r="E33" i="19" s="1"/>
  <c r="J33" i="19" s="1"/>
  <c r="P45" i="32"/>
  <c r="E28" i="38" s="1"/>
  <c r="J28" i="38" s="1"/>
  <c r="P56" i="32"/>
  <c r="E54" i="38" s="1"/>
  <c r="J54" i="38" s="1"/>
  <c r="P32" i="32"/>
  <c r="E56" i="38" s="1"/>
  <c r="J56" i="38" s="1"/>
  <c r="P39" i="32"/>
  <c r="E75" i="38" s="1"/>
  <c r="J75" i="38" s="1"/>
  <c r="O56" i="32"/>
  <c r="E54" i="19" s="1"/>
  <c r="J54" i="19" s="1"/>
  <c r="O28" i="32"/>
  <c r="O60" i="32"/>
  <c r="E64" i="19" s="1"/>
  <c r="J64" i="19" s="1"/>
  <c r="O59" i="32"/>
  <c r="E27" i="19" s="1"/>
  <c r="J27" i="19" s="1"/>
  <c r="O31" i="32"/>
  <c r="E52" i="19" s="1"/>
  <c r="J52" i="19" s="1"/>
  <c r="P43" i="32"/>
  <c r="E79" i="38" s="1"/>
  <c r="J79" i="38" s="1"/>
  <c r="O57" i="32"/>
  <c r="E55" i="19" s="1"/>
  <c r="J55" i="19" s="1"/>
  <c r="O29" i="32"/>
  <c r="E48" i="19" s="1"/>
  <c r="J48" i="19" s="1"/>
  <c r="P59" i="32"/>
  <c r="E27" i="38" s="1"/>
  <c r="J27" i="38" s="1"/>
  <c r="P57" i="32"/>
  <c r="E55" i="38" s="1"/>
  <c r="J55" i="38" s="1"/>
  <c r="P31" i="32"/>
  <c r="E52" i="38" s="1"/>
  <c r="J52" i="38" s="1"/>
  <c r="P25" i="32"/>
  <c r="E42" i="38" s="1"/>
  <c r="J42" i="38" s="1"/>
  <c r="O43" i="32"/>
  <c r="E79" i="19" s="1"/>
  <c r="J79" i="19" s="1"/>
  <c r="P37" i="32"/>
  <c r="E72" i="38" s="1"/>
  <c r="J72" i="38" s="1"/>
  <c r="P54" i="32"/>
  <c r="E49" i="38" s="1"/>
  <c r="P28" i="32"/>
  <c r="E46" i="38" s="1"/>
  <c r="J46" i="38" s="1"/>
  <c r="P33" i="32"/>
  <c r="E65" i="38" s="1"/>
  <c r="J65" i="38" s="1"/>
  <c r="P47" i="32"/>
  <c r="E33" i="38" s="1"/>
  <c r="J33" i="38" s="1"/>
  <c r="O37" i="32"/>
  <c r="O53" i="32"/>
  <c r="E40" i="19" s="1"/>
  <c r="P26" i="32"/>
  <c r="E26" i="38" s="1"/>
  <c r="J26" i="38" s="1"/>
  <c r="O54" i="32"/>
  <c r="E49" i="19" s="1"/>
  <c r="P48" i="32"/>
  <c r="E35" i="38" s="1"/>
  <c r="J35" i="38" s="1"/>
  <c r="O25" i="32"/>
  <c r="E42" i="19" s="1"/>
  <c r="J42" i="19" s="1"/>
  <c r="P29" i="32"/>
  <c r="E48" i="38" s="1"/>
  <c r="J48" i="38" s="1"/>
  <c r="O48" i="32"/>
  <c r="E35" i="19" s="1"/>
  <c r="J35" i="19" s="1"/>
  <c r="O26" i="32"/>
  <c r="P27" i="32"/>
  <c r="E43" i="38" s="1"/>
  <c r="J43" i="38" s="1"/>
  <c r="O46" i="32"/>
  <c r="E29" i="19" s="1"/>
  <c r="J29" i="19" s="1"/>
  <c r="O39" i="32"/>
  <c r="O45" i="32"/>
  <c r="E28" i="19" s="1"/>
  <c r="J28" i="19" s="1"/>
  <c r="O32" i="32"/>
  <c r="E56" i="19" s="1"/>
  <c r="J56" i="19" s="1"/>
  <c r="P44" i="32"/>
  <c r="O35" i="32"/>
  <c r="P61" i="32"/>
  <c r="E66" i="38" s="1"/>
  <c r="P53" i="32"/>
  <c r="E40" i="38" s="1"/>
  <c r="P60" i="32"/>
  <c r="E64" i="38" s="1"/>
  <c r="J64" i="38" s="1"/>
  <c r="P34" i="32"/>
  <c r="E59" i="38" s="1"/>
  <c r="J59" i="38" s="1"/>
  <c r="O23" i="32"/>
  <c r="P46" i="32"/>
  <c r="E29" i="38" s="1"/>
  <c r="J29" i="38" s="1"/>
  <c r="O15" i="32"/>
  <c r="E7" i="19" s="1"/>
  <c r="O18" i="32"/>
  <c r="E12" i="19" s="1"/>
  <c r="O21" i="32"/>
  <c r="O22" i="32" s="1"/>
  <c r="P18" i="32"/>
  <c r="E12" i="38" s="1"/>
  <c r="J12" i="38" s="1"/>
  <c r="P15" i="32"/>
  <c r="E7" i="38" s="1"/>
  <c r="O24" i="32"/>
  <c r="O16" i="32"/>
  <c r="E8" i="19" s="1"/>
  <c r="O19" i="32"/>
  <c r="E13" i="19" s="1"/>
  <c r="P21" i="32"/>
  <c r="E17" i="38" s="1"/>
  <c r="C16" i="19"/>
  <c r="P16" i="32"/>
  <c r="E8" i="38" s="1"/>
  <c r="P19" i="32"/>
  <c r="E13" i="38" s="1"/>
  <c r="J13" i="38" s="1"/>
  <c r="P24" i="32"/>
  <c r="E34" i="38" s="1"/>
  <c r="J34" i="38" s="1"/>
  <c r="G22" i="32"/>
  <c r="D17" i="19"/>
  <c r="D17" i="38"/>
  <c r="H22" i="32"/>
  <c r="I30" i="20"/>
  <c r="C69" i="20" s="1"/>
  <c r="D72" i="20" s="1"/>
  <c r="E69" i="20"/>
  <c r="F74" i="20" s="1"/>
  <c r="G12" i="19"/>
  <c r="I63" i="20"/>
  <c r="I7" i="19" s="1"/>
  <c r="C74" i="20"/>
  <c r="G74" i="20"/>
  <c r="H74" i="20" s="1"/>
  <c r="G65" i="20"/>
  <c r="H65" i="20" s="1"/>
  <c r="C73" i="20"/>
  <c r="C64" i="20"/>
  <c r="J18" i="38"/>
  <c r="J10" i="38"/>
  <c r="I45" i="18"/>
  <c r="H16" i="38"/>
  <c r="I29" i="18"/>
  <c r="H45" i="18"/>
  <c r="H7" i="19"/>
  <c r="H16" i="19"/>
  <c r="H29" i="18"/>
  <c r="H12" i="19"/>
  <c r="H11" i="19"/>
  <c r="H13" i="19"/>
  <c r="H10" i="19"/>
  <c r="I45" i="17"/>
  <c r="I29" i="17"/>
  <c r="G16" i="38"/>
  <c r="G8" i="19"/>
  <c r="G10" i="19"/>
  <c r="G18" i="19"/>
  <c r="J18" i="19" s="1"/>
  <c r="G13" i="19"/>
  <c r="G11" i="19"/>
  <c r="H45" i="17"/>
  <c r="H29" i="17"/>
  <c r="G17" i="19"/>
  <c r="J14" i="38"/>
  <c r="J11" i="38"/>
  <c r="O17" i="32"/>
  <c r="E9" i="19" s="1"/>
  <c r="P17" i="32"/>
  <c r="E9" i="38" s="1"/>
  <c r="H17" i="32"/>
  <c r="D9" i="38" s="1"/>
  <c r="D9" i="19"/>
  <c r="J14" i="19"/>
  <c r="J40" i="19" l="1"/>
  <c r="J66" i="19"/>
  <c r="J49" i="19"/>
  <c r="J66" i="38"/>
  <c r="J40" i="38"/>
  <c r="J49" i="38"/>
  <c r="J70" i="38"/>
  <c r="J70" i="19"/>
  <c r="E75" i="19"/>
  <c r="J75" i="19" s="1"/>
  <c r="E26" i="19"/>
  <c r="J26" i="19" s="1"/>
  <c r="E72" i="19"/>
  <c r="J72" i="19" s="1"/>
  <c r="E65" i="19"/>
  <c r="J65" i="19" s="1"/>
  <c r="E62" i="19"/>
  <c r="J62" i="19" s="1"/>
  <c r="E46" i="19"/>
  <c r="J46" i="19" s="1"/>
  <c r="E34" i="19"/>
  <c r="J34" i="19" s="1"/>
  <c r="P22" i="32"/>
  <c r="E17" i="19"/>
  <c r="J17" i="19" s="1"/>
  <c r="J17" i="38"/>
  <c r="D74" i="20"/>
  <c r="I74" i="20" s="1"/>
  <c r="I9" i="38" s="1"/>
  <c r="J9" i="38" s="1"/>
  <c r="F72" i="20"/>
  <c r="I72" i="20" s="1"/>
  <c r="I7" i="38" s="1"/>
  <c r="J7" i="38" s="1"/>
  <c r="F73" i="20"/>
  <c r="J12" i="19"/>
  <c r="J10" i="19"/>
  <c r="J11" i="19"/>
  <c r="J16" i="19"/>
  <c r="J7" i="19"/>
  <c r="D73" i="20"/>
  <c r="D64" i="20"/>
  <c r="I64" i="20" s="1"/>
  <c r="I8" i="19" s="1"/>
  <c r="J8" i="19" s="1"/>
  <c r="I65" i="20"/>
  <c r="I9" i="19" s="1"/>
  <c r="J9" i="19" s="1"/>
  <c r="J16" i="38"/>
  <c r="J13" i="19"/>
  <c r="J104" i="19" l="1"/>
  <c r="J105" i="38"/>
  <c r="J104" i="38"/>
  <c r="J19" i="38"/>
  <c r="I73" i="20"/>
  <c r="I8" i="38" s="1"/>
  <c r="J8" i="38" s="1"/>
  <c r="J105" i="19"/>
  <c r="J19" i="19"/>
  <c r="A39" i="6" l="1"/>
  <c r="C13" i="36" s="1"/>
  <c r="A36" i="6"/>
  <c r="B13" i="36" s="1"/>
  <c r="B3" i="38" l="1"/>
  <c r="B3"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Emily Ohde</author>
  </authors>
  <commentList>
    <comment ref="B59" authorId="0" shapeId="0" xr:uid="{00000000-0006-0000-0900-000001000000}">
      <text>
        <r>
          <rPr>
            <sz val="9"/>
            <color indexed="81"/>
            <rFont val="Tahoma"/>
            <family val="2"/>
          </rPr>
          <t>2,2,4-trimethylpentane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Emily Ohde</author>
  </authors>
  <commentList>
    <comment ref="B59" authorId="0" shapeId="0" xr:uid="{00000000-0006-0000-0A00-000001000000}">
      <text>
        <r>
          <rPr>
            <sz val="9"/>
            <color indexed="81"/>
            <rFont val="Tahoma"/>
            <family val="2"/>
          </rPr>
          <t>2,2,4-trimethylpentane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Emily Ohde</author>
  </authors>
  <commentList>
    <comment ref="A15" authorId="0" shapeId="0" xr:uid="{00000000-0006-0000-0C00-000001000000}">
      <text>
        <r>
          <rPr>
            <sz val="8"/>
            <color indexed="81"/>
            <rFont val="Tahoma"/>
            <family val="2"/>
          </rPr>
          <t>If the dryer fuel has a sulfur content greater than 0.7%, the Minnesota Pollution Control Agency (MPCA) requires air dispersion modeling for the dryer.  The Screen 3 program should be used.</t>
        </r>
      </text>
    </comment>
    <comment ref="A19" authorId="0" shapeId="0" xr:uid="{00000000-0006-0000-0C00-000002000000}">
      <text>
        <r>
          <rPr>
            <sz val="8"/>
            <color indexed="81"/>
            <rFont val="Tahoma"/>
            <family val="2"/>
          </rPr>
          <t>Pb no control back calculated from fabric filter control assumption of 97% as seen in drum/diesel emission factor (only Pb uncontrolled provided by AP-42 = 97.2%)</t>
        </r>
      </text>
    </comment>
    <comment ref="A40" authorId="0" shapeId="0" xr:uid="{00000000-0006-0000-0C00-000003000000}">
      <text>
        <r>
          <rPr>
            <sz val="8"/>
            <color indexed="81"/>
            <rFont val="Tahoma"/>
            <family val="2"/>
          </rPr>
          <t>2,2,4-trimethylpentane</t>
        </r>
      </text>
    </comment>
    <comment ref="A81" authorId="0" shapeId="0" xr:uid="{00000000-0006-0000-0C00-000004000000}">
      <text>
        <r>
          <rPr>
            <sz val="9"/>
            <color indexed="81"/>
            <rFont val="Tahoma"/>
            <family val="2"/>
          </rPr>
          <t>fuel uncontrolled, pg 25</t>
        </r>
      </text>
    </comment>
    <comment ref="A87" authorId="0" shapeId="0" xr:uid="{00000000-0006-0000-0C00-000005000000}">
      <text>
        <r>
          <rPr>
            <sz val="9"/>
            <color indexed="81"/>
            <rFont val="Tahoma"/>
            <family val="2"/>
          </rPr>
          <t>fuel uncontrolled, pg 25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Emily Ohde</author>
    <author>Kim Grosenheider</author>
  </authors>
  <commentList>
    <comment ref="B8" authorId="0" shapeId="0" xr:uid="{01EAE5F2-AD33-4F90-8458-16F67B5DB70C}">
      <text>
        <r>
          <rPr>
            <sz val="7"/>
            <color indexed="81"/>
            <rFont val="Arial"/>
            <family val="2"/>
          </rPr>
          <t>SOx emission factor given is multiplied by the sulfur content in the fuel (in percent) in the Engine (n) tabs.</t>
        </r>
      </text>
    </comment>
    <comment ref="C8" authorId="1" shapeId="0" xr:uid="{00000000-0006-0000-0D00-000001000000}">
      <text>
        <r>
          <rPr>
            <sz val="7"/>
            <color indexed="81"/>
            <rFont val="Arial"/>
            <family val="2"/>
          </rPr>
          <t>SOx emission factor given is multiplied by the sulfur content in the fuel (in percent) in the Engine (n) tabs.</t>
        </r>
      </text>
    </comment>
    <comment ref="D8" authorId="1" shapeId="0" xr:uid="{00000000-0006-0000-0D00-000002000000}">
      <text>
        <r>
          <rPr>
            <sz val="7"/>
            <color indexed="81"/>
            <rFont val="Arial"/>
            <family val="2"/>
          </rPr>
          <t>SOx emission factor given is multiplied by the sulfur content in the fuel (in percent) in the Engine (n) tabs.</t>
        </r>
      </text>
    </comment>
    <comment ref="I8" authorId="0" shapeId="0" xr:uid="{F7BC927F-2F05-42D6-9347-34151595E111}">
      <text>
        <r>
          <rPr>
            <sz val="8"/>
            <color indexed="81"/>
            <rFont val="Arial"/>
            <family val="2"/>
          </rPr>
          <t xml:space="preserve">SOx emission factor given is multiplied by the sulfur content in fuel in the Engine (n) tabs. See footnote 4.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<sst xmlns="http://schemas.openxmlformats.org/spreadsheetml/2006/main" count="1792" uniqueCount="962">
  <si>
    <t>Instructions</t>
  </si>
  <si>
    <t>Blue</t>
  </si>
  <si>
    <t>Enter information for your facility in the blue boxes.</t>
  </si>
  <si>
    <t>Orange</t>
  </si>
  <si>
    <t>Orange boxes are filled with standard values. You may change them if you have test results that provide data specific to your site.</t>
  </si>
  <si>
    <t>White</t>
  </si>
  <si>
    <t xml:space="preserve">Do not change the values/formulas in white boxes. White boxes contain intermediate calculations for determining emissions.  </t>
  </si>
  <si>
    <t>Green</t>
  </si>
  <si>
    <t>Yellow</t>
  </si>
  <si>
    <t>Assistance</t>
  </si>
  <si>
    <t>Call:</t>
  </si>
  <si>
    <t>651/282-6143</t>
  </si>
  <si>
    <t>Email:</t>
  </si>
  <si>
    <t>smallbizhelp.pca@state.mn.us</t>
  </si>
  <si>
    <t>800/657-3938</t>
  </si>
  <si>
    <t>Yes</t>
  </si>
  <si>
    <t>No</t>
  </si>
  <si>
    <t>a</t>
  </si>
  <si>
    <t>b</t>
  </si>
  <si>
    <t>c</t>
  </si>
  <si>
    <t>d</t>
  </si>
  <si>
    <t>e</t>
  </si>
  <si>
    <t>tons/year</t>
  </si>
  <si>
    <t>Pollutant</t>
  </si>
  <si>
    <t>Hours in a Year</t>
  </si>
  <si>
    <t>Emission Factor</t>
  </si>
  <si>
    <t>Actual natural gas burned</t>
  </si>
  <si>
    <t>Potential Emissions</t>
  </si>
  <si>
    <t>Actual Emissions</t>
  </si>
  <si>
    <t>(cu ft/hr)</t>
  </si>
  <si>
    <t>(hr/yr)</t>
  </si>
  <si>
    <t>(lbs/cu ft)</t>
  </si>
  <si>
    <t>(cu ft/yr)</t>
  </si>
  <si>
    <t>(ton/yr)</t>
  </si>
  <si>
    <t>(tons/yr)</t>
  </si>
  <si>
    <t>24 hrs/day * 365 days/yr</t>
  </si>
  <si>
    <t>PM</t>
  </si>
  <si>
    <t>PM10</t>
  </si>
  <si>
    <t>SOx</t>
  </si>
  <si>
    <t>NOx</t>
  </si>
  <si>
    <t>VOC</t>
  </si>
  <si>
    <t>CO</t>
  </si>
  <si>
    <t>Lead</t>
  </si>
  <si>
    <t>Benzene</t>
  </si>
  <si>
    <t>Formaldehyde</t>
  </si>
  <si>
    <t>Hexane</t>
  </si>
  <si>
    <t>Naphthalene</t>
  </si>
  <si>
    <t>Toluene</t>
  </si>
  <si>
    <t>Arsenic</t>
  </si>
  <si>
    <t>Beryllium</t>
  </si>
  <si>
    <t>Cadmium</t>
  </si>
  <si>
    <t>Chromium</t>
  </si>
  <si>
    <t>Cobalt</t>
  </si>
  <si>
    <t>Manganese</t>
  </si>
  <si>
    <t>Mercury</t>
  </si>
  <si>
    <t>Nickel</t>
  </si>
  <si>
    <t>Selenium</t>
  </si>
  <si>
    <t>HAP total</t>
  </si>
  <si>
    <t>Source:  EPA AP-42 Chapter 1.4</t>
  </si>
  <si>
    <t>by pollutant</t>
  </si>
  <si>
    <t>Hazardous Air Pollutants</t>
  </si>
  <si>
    <t>Greenhouse Gas Emissions</t>
  </si>
  <si>
    <t>Criteria Air Pollutants</t>
  </si>
  <si>
    <t>(Check your units!)</t>
  </si>
  <si>
    <t>Actual propane burned</t>
  </si>
  <si>
    <t>(lb/gal)</t>
  </si>
  <si>
    <t>(gal/hr)</t>
  </si>
  <si>
    <t>(gal/yr)</t>
  </si>
  <si>
    <t>n/a</t>
  </si>
  <si>
    <t>(Btu/hr) / (91500 Btu/gal)</t>
  </si>
  <si>
    <t>Source:  EPA AP-42 Chapter 1.5</t>
  </si>
  <si>
    <t>Propane</t>
  </si>
  <si>
    <t>Fugitive</t>
  </si>
  <si>
    <t>Permitting Threshold</t>
  </si>
  <si>
    <t>HAP Indiv. Max</t>
  </si>
  <si>
    <t>Opt. D Permit Limits</t>
  </si>
  <si>
    <t>no</t>
  </si>
  <si>
    <t>yes</t>
  </si>
  <si>
    <t>Registration Option A</t>
  </si>
  <si>
    <t>Info about Air Registration Permits</t>
  </si>
  <si>
    <t>Registration Option D</t>
  </si>
  <si>
    <t>Forms</t>
  </si>
  <si>
    <t>Source: AP-42 13.2.2 (11/2006)</t>
  </si>
  <si>
    <t xml:space="preserve">k = PM particle size multiplier </t>
  </si>
  <si>
    <t>s = silt content of road (%)</t>
  </si>
  <si>
    <t>Vehicle 1</t>
  </si>
  <si>
    <t>Vehicle 2</t>
  </si>
  <si>
    <t>W = mean vehicle weight (ton)</t>
  </si>
  <si>
    <t>s = silt content of material (%)</t>
  </si>
  <si>
    <t>p = # of days w/ &gt;=0.01" precip/yr</t>
  </si>
  <si>
    <t>a = acres of pile base</t>
  </si>
  <si>
    <t>Minn. Rule 7007.0200 Subpart 2. B.</t>
  </si>
  <si>
    <t xml:space="preserve">Minn. Rule 7007.1130 Subpart 4. </t>
  </si>
  <si>
    <t>Minn. Rule 7007.1300 Subpart 3. J.</t>
  </si>
  <si>
    <t>Natural Gas</t>
  </si>
  <si>
    <t>Source: 40 CFR 98, Subp. C, Table C-1 and C-2</t>
  </si>
  <si>
    <t>(b * d * e) / 2000</t>
  </si>
  <si>
    <t>PM2.5</t>
  </si>
  <si>
    <t>Permit and insignificant activity thresholds.</t>
  </si>
  <si>
    <t>Blue Text</t>
  </si>
  <si>
    <t>Your emission totals are in green boxes. These are automatically calculated based on information entered in blue boxes.</t>
  </si>
  <si>
    <t>https://www.pca.state.mn.us/air/engines</t>
  </si>
  <si>
    <t>Color key</t>
  </si>
  <si>
    <t>Choose one</t>
  </si>
  <si>
    <t>Btu per hour</t>
  </si>
  <si>
    <t>Natural gas combustion (less than 100 million Btu per hour)</t>
  </si>
  <si>
    <t>Propane combustion</t>
  </si>
  <si>
    <t>grains/100 cubic feet</t>
  </si>
  <si>
    <t>Air emissions from internal combustion engines</t>
  </si>
  <si>
    <t>Engine and fuel type</t>
  </si>
  <si>
    <t>Engine use</t>
  </si>
  <si>
    <t>Sulfur content of the fuel</t>
  </si>
  <si>
    <t>Number of hours operated per 12 months</t>
  </si>
  <si>
    <t>Internal combustion engine potential and actual emissions</t>
  </si>
  <si>
    <t>Actual hours operated</t>
  </si>
  <si>
    <t>(lbs/MMBtu)</t>
  </si>
  <si>
    <t>1,1,2,2-tetrachloroethane</t>
  </si>
  <si>
    <t>1,1,2-trichloroethane</t>
  </si>
  <si>
    <t>1,3-butadiene</t>
  </si>
  <si>
    <t>1,3-dichloropropene</t>
  </si>
  <si>
    <t>Acetaldehyde</t>
  </si>
  <si>
    <t>Acrolein</t>
  </si>
  <si>
    <t>Biphenyl</t>
  </si>
  <si>
    <t>Carbon tetrachloride</t>
  </si>
  <si>
    <t>Chlorobenzene</t>
  </si>
  <si>
    <t>Chloroform</t>
  </si>
  <si>
    <t>Ethylbenzene</t>
  </si>
  <si>
    <t>Ethylene dibromide</t>
  </si>
  <si>
    <t>Methanol</t>
  </si>
  <si>
    <t>Methylene chloride</t>
  </si>
  <si>
    <t>Phenol</t>
  </si>
  <si>
    <t>Styrene</t>
  </si>
  <si>
    <t>Tetrachloroethane</t>
  </si>
  <si>
    <t>Vinyl chloride</t>
  </si>
  <si>
    <t>Xylene</t>
  </si>
  <si>
    <t>RECIPROCATING ENGINES (&lt;600HP) DIESEL (lb/MMBtu)</t>
  </si>
  <si>
    <t>RECIPROCATING Natural Gas 4-Stroke  Rich-Burn (lb/MMBtu)</t>
  </si>
  <si>
    <t>RECIPROCATING Natural Gas 4-Stroke Lean-Burn (lb/MMBtu)</t>
  </si>
  <si>
    <t>RECIPROCATING Natural Gas 2-Stroke Lean-Burn (lb/MMBtu)</t>
  </si>
  <si>
    <t>source</t>
  </si>
  <si>
    <t>AP42 Chpt 3.3 (10/96)</t>
  </si>
  <si>
    <t>AP42 Chpt 3.4 (10/96)</t>
  </si>
  <si>
    <t>AP42 Chpt 3.1 (4/00)</t>
  </si>
  <si>
    <t>AP42 Chpt 3.2-3 (7/00)</t>
  </si>
  <si>
    <t>AP42 Chpt 3.2-2 (7/00)</t>
  </si>
  <si>
    <t>40 CFR 98, subp. C, Table C-1 and C-2</t>
  </si>
  <si>
    <t xml:space="preserve"> </t>
  </si>
  <si>
    <t>source (same as criteria)</t>
  </si>
  <si>
    <t>HAPs from Diesel&lt;600HP</t>
  </si>
  <si>
    <t>SOx emission factor given is multiplied by the sulfur content in the fuel (in percent) in the Engine (n) tabs.</t>
  </si>
  <si>
    <t xml:space="preserve">All particulate is assumed to be less than or equal to 1 micrometer in size. </t>
  </si>
  <si>
    <t>Fuel</t>
  </si>
  <si>
    <t>Source for Emission Factors</t>
  </si>
  <si>
    <t>NATURAL GAS</t>
  </si>
  <si>
    <t>40 CFR 98, subp. C, Table C-1</t>
  </si>
  <si>
    <t>DISTILLATE OIL 2</t>
  </si>
  <si>
    <t>GASOLINE</t>
  </si>
  <si>
    <t>(1 lb = 0.453592 kg)</t>
  </si>
  <si>
    <t>An average brake-specific fuel consumption of 7,000 Btu/hp-hr was assumed to convert from lb/MMBtu to lb/hp-hr (see AP42 Chpt 3.3).</t>
  </si>
  <si>
    <t>7000 btu/hp*hr x GHG EF (lb/E6BTU)= lb GHG/hp*hr</t>
  </si>
  <si>
    <t>Reciprocating - diesel</t>
  </si>
  <si>
    <t>Routine</t>
  </si>
  <si>
    <t>Reciprocating - gasoline</t>
  </si>
  <si>
    <t>Emergency</t>
  </si>
  <si>
    <t>Turbine - natural gas</t>
  </si>
  <si>
    <t>Recip - nat gas 4-stroke rich burn</t>
  </si>
  <si>
    <t>Recip - nat gas 4-stroke lean burn</t>
  </si>
  <si>
    <t>Recip - nat gas 2-stroke lean burn</t>
  </si>
  <si>
    <t>Air emissions from natural gas combustion</t>
  </si>
  <si>
    <t>What is the maximum rated heat input?</t>
  </si>
  <si>
    <t>Air emissions from hot mix asphalt plants</t>
  </si>
  <si>
    <t>(lbs/ton)</t>
  </si>
  <si>
    <t>Natural gas</t>
  </si>
  <si>
    <t>No. 1 fuel oil</t>
  </si>
  <si>
    <t>No. 3 fuel oil</t>
  </si>
  <si>
    <t>No. 4 fuel oil</t>
  </si>
  <si>
    <t>No. 5 fuel oil</t>
  </si>
  <si>
    <t>Methane</t>
  </si>
  <si>
    <t>Butane</t>
  </si>
  <si>
    <t>Gasoline</t>
  </si>
  <si>
    <t>Kerosene</t>
  </si>
  <si>
    <t>Jet fuel</t>
  </si>
  <si>
    <t>No control</t>
  </si>
  <si>
    <t>Fabric filter</t>
  </si>
  <si>
    <t>Plant type</t>
  </si>
  <si>
    <t>What fuel is used in your dryer?</t>
  </si>
  <si>
    <t>tons of mix per hour</t>
  </si>
  <si>
    <t>Do you have site specific asphalt volatility and hot mix temperature?</t>
  </si>
  <si>
    <t>Which type of emissions control do you have for the dryer, hot screen, and mixers?</t>
  </si>
  <si>
    <t>Asphalt volatility</t>
  </si>
  <si>
    <t>Hot mix asphalt temperature</t>
  </si>
  <si>
    <t>Batch plant with rotary dryer</t>
  </si>
  <si>
    <t>Drum mix plant</t>
  </si>
  <si>
    <t>No. 1 Fuel Oil</t>
  </si>
  <si>
    <t>Diesel No. 2 Fuel Oil</t>
  </si>
  <si>
    <t>No. 6 Fuel Oil</t>
  </si>
  <si>
    <t>No. 3 Fuel Oil</t>
  </si>
  <si>
    <t>No. 4 Fuel Oil</t>
  </si>
  <si>
    <t>No. 5 Fuel Oil</t>
  </si>
  <si>
    <t>Waste/drain Oil</t>
  </si>
  <si>
    <t>No site specific information</t>
  </si>
  <si>
    <t>Equation with site specific information.</t>
  </si>
  <si>
    <r>
      <t>0.000181 + 0.00141(-V)e</t>
    </r>
    <r>
      <rPr>
        <vertAlign val="superscript"/>
        <sz val="10"/>
        <rFont val="Arial"/>
        <family val="2"/>
      </rPr>
      <t>((0.0251)(T + 460) - 20.43)</t>
    </r>
  </si>
  <si>
    <r>
      <t>(.94)(0.0172(-V)e</t>
    </r>
    <r>
      <rPr>
        <vertAlign val="superscript"/>
        <sz val="10"/>
        <rFont val="Arial"/>
        <family val="2"/>
      </rPr>
      <t>((0.0251)(T + 460) - 20.43)</t>
    </r>
    <r>
      <rPr>
        <sz val="10"/>
        <rFont val="Arial"/>
        <family val="2"/>
      </rPr>
      <t>)</t>
    </r>
  </si>
  <si>
    <r>
      <t>0.000332 + 0.00105(-V)e</t>
    </r>
    <r>
      <rPr>
        <vertAlign val="superscript"/>
        <sz val="10"/>
        <rFont val="Arial"/>
        <family val="2"/>
      </rPr>
      <t>((0.0251)(T + 460) - 20.43)</t>
    </r>
  </si>
  <si>
    <r>
      <t>(1.00)(0.0504(-V)e</t>
    </r>
    <r>
      <rPr>
        <vertAlign val="superscript"/>
        <sz val="10"/>
        <rFont val="Arial"/>
        <family val="2"/>
      </rPr>
      <t>((0.0251)(T + 460) - 20.43)</t>
    </r>
    <r>
      <rPr>
        <sz val="10"/>
        <rFont val="Arial"/>
        <family val="2"/>
      </rPr>
      <t>)</t>
    </r>
  </si>
  <si>
    <r>
      <t>0.00488(-V)e</t>
    </r>
    <r>
      <rPr>
        <vertAlign val="superscript"/>
        <sz val="10"/>
        <rFont val="Arial"/>
        <family val="2"/>
      </rPr>
      <t>((0.0251)(T + 460) -20.43)</t>
    </r>
  </si>
  <si>
    <t>AP42 Tables 11.1-14 and 11.1-16</t>
  </si>
  <si>
    <t>1) Installing a non-emergency engine, including insignificant activities, OR</t>
  </si>
  <si>
    <t>2) There are existing non-emergency engines installed after January 1, 2000, OR</t>
  </si>
  <si>
    <t>3) Installing any permit-required engine, including emergency engines.</t>
  </si>
  <si>
    <t>Use the SCREEN3 program to enter engine and site-specific information to identify the necessary stack height for the engine.</t>
  </si>
  <si>
    <t>https://www.epa.gov/scram/air-quality-dispersion-modeling-screening-models#screen3</t>
  </si>
  <si>
    <t xml:space="preserve">See input requirements and instructions on modeling more than one engine on the MPCA Form EC-03. </t>
  </si>
  <si>
    <t>Load out potential and actual emissions</t>
  </si>
  <si>
    <t>Silo filling potential and actual emissions</t>
  </si>
  <si>
    <t>Load outs and silo filling</t>
  </si>
  <si>
    <r>
      <t>0.00558(-)e</t>
    </r>
    <r>
      <rPr>
        <vertAlign val="superscript"/>
        <sz val="10"/>
        <rFont val="Arial"/>
        <family val="2"/>
      </rPr>
      <t>((0.0251)(T + 460) - 20.43)</t>
    </r>
  </si>
  <si>
    <t>Quinone</t>
  </si>
  <si>
    <t>Chromium (VI)</t>
  </si>
  <si>
    <t>lb/ton</t>
  </si>
  <si>
    <t>Antimony</t>
  </si>
  <si>
    <t>GHG</t>
  </si>
  <si>
    <t>Plant capacity</t>
  </si>
  <si>
    <t>ton/hour</t>
  </si>
  <si>
    <t>What is your maximum production rate?</t>
  </si>
  <si>
    <t>hours/year</t>
  </si>
  <si>
    <t>Production rate</t>
  </si>
  <si>
    <t>(ton/hr)</t>
  </si>
  <si>
    <t>Waste/Drain Oil (No. 6 fuel oil)</t>
  </si>
  <si>
    <t>Diesel (No. 2 fuel oil)</t>
  </si>
  <si>
    <t>What is the total maximum rated heat input for the equipment?</t>
  </si>
  <si>
    <t>https://www.epa.gov/scram/air-quality-dispersion-modeling-screening-models</t>
  </si>
  <si>
    <t>Hot Mix Asphalt</t>
  </si>
  <si>
    <t>Load Out</t>
  </si>
  <si>
    <t>Silos</t>
  </si>
  <si>
    <t>Generator</t>
  </si>
  <si>
    <t>Natural Gas, other</t>
  </si>
  <si>
    <t>Propane, other</t>
  </si>
  <si>
    <t>https://www.pca.state.mn.us/smallbizhelp</t>
  </si>
  <si>
    <t>Do you have valid performance test results?</t>
  </si>
  <si>
    <t>Fuel Type</t>
  </si>
  <si>
    <t>Additional Fuels</t>
  </si>
  <si>
    <t>Choose as Fuel Type</t>
  </si>
  <si>
    <t>General</t>
  </si>
  <si>
    <t>If no performance test</t>
  </si>
  <si>
    <t>Data Validation - Hot Mix Asphalt</t>
  </si>
  <si>
    <t>Units</t>
  </si>
  <si>
    <t>The full definitions of construction and modification are available at:</t>
  </si>
  <si>
    <t>40 CFR § 60.2</t>
  </si>
  <si>
    <t xml:space="preserve">and reconstruction at: </t>
  </si>
  <si>
    <t>40 CFR § 60.15</t>
  </si>
  <si>
    <t>Choose Y/N</t>
  </si>
  <si>
    <t>This standard applies if:</t>
  </si>
  <si>
    <t>1)</t>
  </si>
  <si>
    <t>2)</t>
  </si>
  <si>
    <t xml:space="preserve">Resource: </t>
  </si>
  <si>
    <t>EPA Rule information</t>
  </si>
  <si>
    <t xml:space="preserve">Regulation: </t>
  </si>
  <si>
    <t>Standards of Performance for Compression Ignition Engines</t>
  </si>
  <si>
    <t>Full Text:</t>
  </si>
  <si>
    <t>40 CFR 60, subp. IIII</t>
  </si>
  <si>
    <t xml:space="preserve">Standards of Performance for Spark Ignition Engines </t>
  </si>
  <si>
    <t>40 CFR 60, subp. JJJJ</t>
  </si>
  <si>
    <t>https://www.pca.state.mn.us/sites/default/files/aq-f1-gi09d.doc</t>
  </si>
  <si>
    <t>National emission standards for hazardous air pollutants</t>
  </si>
  <si>
    <t>Stationary Reciprocating Internal Combustion Engines</t>
  </si>
  <si>
    <t>40 CFR 63, subp. ZZZZ</t>
  </si>
  <si>
    <t>Options</t>
  </si>
  <si>
    <t>Options 2</t>
  </si>
  <si>
    <t>Does the NSPS for hot mix asphalt facilities apply to you?</t>
  </si>
  <si>
    <t>NSPS applies</t>
  </si>
  <si>
    <t>Equation/reference</t>
  </si>
  <si>
    <t>Is a permit required?</t>
  </si>
  <si>
    <t>Source: AP-42 13.2.4 (11/2006)</t>
  </si>
  <si>
    <t>U = mean wind speed (mph)</t>
  </si>
  <si>
    <t>M = material moisture content (%)</t>
  </si>
  <si>
    <t>40 CFR pt. 60, subp. I</t>
  </si>
  <si>
    <t>you manufacture hot mix asphalt by heating and drying aggregate and mixing with asphalt cements, and</t>
  </si>
  <si>
    <t>Applicability of a NESHAP does not determine if a permit is required.</t>
  </si>
  <si>
    <t>NSPS no selection</t>
  </si>
  <si>
    <t xml:space="preserve">▪ </t>
  </si>
  <si>
    <t xml:space="preserve">Each NSPS or NESHAP applies to specific equipment, processes, or industries. </t>
  </si>
  <si>
    <t>Multiple federal standards may apply to your business. It is possible that if you make a change at your business, a federal standard that did not previously apply now will, or the one you are already following may have additional requirements.</t>
  </si>
  <si>
    <t>Reconstruction is the replacement of components at an existing facility that exceeds 50% of the cost required to build a new facility.</t>
  </si>
  <si>
    <t>PAH</t>
  </si>
  <si>
    <t>Potential emissions</t>
  </si>
  <si>
    <t>exceed permit thresholds</t>
  </si>
  <si>
    <t>exceed Option D limits</t>
  </si>
  <si>
    <t>apply to your business</t>
  </si>
  <si>
    <t>A federal NSPS</t>
  </si>
  <si>
    <t>A federal NESHAP</t>
  </si>
  <si>
    <t>In the previous 12 months, how many</t>
  </si>
  <si>
    <t>hours were the units actually operated?</t>
  </si>
  <si>
    <t>Auxillary heat</t>
  </si>
  <si>
    <t>Emission factors for hot mix asphalt</t>
  </si>
  <si>
    <t xml:space="preserve">Throughput  (maximum capacity) </t>
  </si>
  <si>
    <t xml:space="preserve">Throughput (actual amount) </t>
  </si>
  <si>
    <t>Enter the data for your trucks below to calculate unpaved road emissions.</t>
  </si>
  <si>
    <t>% of total trips made by vehicle</t>
  </si>
  <si>
    <t>Empty weight of vehicle (tons)</t>
  </si>
  <si>
    <t>Full weight of loaded vehicle (tons)</t>
  </si>
  <si>
    <t>S = speed on unpaved road, mph</t>
  </si>
  <si>
    <t>m = miles of unpaved road per trip</t>
  </si>
  <si>
    <t>M = surface moisture content (%)</t>
  </si>
  <si>
    <t>PM emission factor (lb/VMT)</t>
  </si>
  <si>
    <t>PM emission factor (lb/ton)</t>
  </si>
  <si>
    <t>PM emission factor (lb/day*acre)</t>
  </si>
  <si>
    <t>f = % wind &gt; 12 mph at pile height</t>
  </si>
  <si>
    <t>PM = {{[k[(s/12)^1][(S/30)^0.3)]/[(M/0.5)^0.3]}-0.00047}*(365-p/365)</t>
  </si>
  <si>
    <t>PM-10 = {{[k[(s/12)^1][(S/30)^0.5)]/[(M/0.5)^0.2]}-0.00047}*(365-p/365)</t>
  </si>
  <si>
    <t>PM-10 = {{[k[(s/12)^1][(S/30)^0.5)]/[(M/0.5)^0.2]}-0.00036}*(365-p/365)</t>
  </si>
  <si>
    <t>(b * c * e) / 2000</t>
  </si>
  <si>
    <t>Input Value</t>
  </si>
  <si>
    <t>Fuel Conversion</t>
  </si>
  <si>
    <t>Brake specific fuel consumption</t>
  </si>
  <si>
    <t>Heat value of fuel</t>
  </si>
  <si>
    <t>gallons of propane were actually burned?</t>
  </si>
  <si>
    <t>f</t>
  </si>
  <si>
    <t>Potential annual hours</t>
  </si>
  <si>
    <t>( c * e) / 2000</t>
  </si>
  <si>
    <t>( c * e ) / 2000</t>
  </si>
  <si>
    <t>Permits &amp; Requirements</t>
  </si>
  <si>
    <t>Potential emissions exceed permit thresholds</t>
  </si>
  <si>
    <t>Actual emissions exceed Option D limits</t>
  </si>
  <si>
    <t>Federal NESHAP applies?</t>
  </si>
  <si>
    <t>Crusher engine and generator</t>
  </si>
  <si>
    <t>A stack height determination is required if:</t>
  </si>
  <si>
    <t>MPCA Air permits page for engines</t>
  </si>
  <si>
    <t>2) Use the blue tabs across the bottom to enter information for your business.</t>
  </si>
  <si>
    <t>A list of performance standards is available at:</t>
  </si>
  <si>
    <t>More Information:</t>
  </si>
  <si>
    <t>We provide free, confidential, environmental assistance to small businesses. For more information:</t>
  </si>
  <si>
    <t>U.S. Environmental Protection Agency (EPA) standards</t>
  </si>
  <si>
    <r>
      <rPr>
        <b/>
        <sz val="10"/>
        <color theme="1"/>
        <rFont val="Arial"/>
        <family val="2"/>
      </rPr>
      <t>New source performance standards (NSPS)</t>
    </r>
    <r>
      <rPr>
        <sz val="10"/>
        <rFont val="Arial"/>
        <family val="2"/>
      </rPr>
      <t xml:space="preserve"> require new emission sources to be less polluting than older sources.</t>
    </r>
  </si>
  <si>
    <r>
      <rPr>
        <b/>
        <sz val="10"/>
        <rFont val="Arial"/>
        <family val="2"/>
      </rPr>
      <t>National emission standards for hazardous air pollutants (NESHAP)</t>
    </r>
    <r>
      <rPr>
        <sz val="10"/>
        <rFont val="Arial"/>
        <family val="2"/>
      </rPr>
      <t xml:space="preserve"> prevent or reduce emissions that have health impacts.</t>
    </r>
  </si>
  <si>
    <t>New source performance standards (NSPS)</t>
  </si>
  <si>
    <t>*Definition of "construction, modification, or reconstruction"</t>
  </si>
  <si>
    <t xml:space="preserve">If your business does an activity which is considered construction, modification, or reconstruction, as defined below or within the standard, an NSPS or NESHAP may apply to your business or create the need for a permit amendment. </t>
  </si>
  <si>
    <t>Construction includes fabricating, erecting, or installing an aggregate plant, engine, or storage tank.</t>
  </si>
  <si>
    <t>Modification is a physical or operational change at an existing facility that increases the amount of an air pollutant or results in the emission of a new air pollutant.</t>
  </si>
  <si>
    <t>Does an NSPS for internal combustion engines apply to you?</t>
  </si>
  <si>
    <t>Additional performance standards: Even if the standards listed above do not apply to you, there are other NSPS that might, depending on what other equipment or activities you have at the facility.</t>
  </si>
  <si>
    <t>Does a federal NESHAP apply?</t>
  </si>
  <si>
    <t>A list of other NESHAPs is found at the end of the following document:</t>
  </si>
  <si>
    <r>
      <t xml:space="preserve">1 </t>
    </r>
    <r>
      <rPr>
        <sz val="9"/>
        <rFont val="Arial"/>
        <family val="2"/>
      </rPr>
      <t>Actual emission factors: SOx, NOx, CO, VOC, Vol-HAPs = no control; MHAP = fabric filter emission factor for fabric filter and venturi scrubber</t>
    </r>
  </si>
  <si>
    <r>
      <t xml:space="preserve">2 </t>
    </r>
    <r>
      <rPr>
        <sz val="9"/>
        <rFont val="Arial"/>
        <family val="2"/>
      </rPr>
      <t>Global Warming Potential from 40 CFR Part 98, Subpart A, Table A-1</t>
    </r>
  </si>
  <si>
    <r>
      <rPr>
        <vertAlign val="superscript"/>
        <sz val="9"/>
        <rFont val="Arial"/>
        <family val="2"/>
      </rPr>
      <t>5</t>
    </r>
    <r>
      <rPr>
        <sz val="9"/>
        <rFont val="Arial"/>
        <family val="2"/>
      </rPr>
      <t xml:space="preserve"> Prior to the use of a dryer fuel with a sulfur content greater than 0.70 percent, you must perform air modeling with SCREEN3.</t>
    </r>
  </si>
  <si>
    <r>
      <rPr>
        <vertAlign val="superscript"/>
        <sz val="9"/>
        <rFont val="Arial"/>
        <family val="2"/>
      </rPr>
      <t xml:space="preserve">4 </t>
    </r>
    <r>
      <rPr>
        <sz val="9"/>
        <rFont val="Arial"/>
        <family val="2"/>
      </rPr>
      <t>CO</t>
    </r>
    <r>
      <rPr>
        <vertAlign val="subscript"/>
        <sz val="9"/>
        <rFont val="Arial"/>
        <family val="2"/>
      </rPr>
      <t>2</t>
    </r>
    <r>
      <rPr>
        <sz val="9"/>
        <rFont val="Arial"/>
        <family val="2"/>
      </rPr>
      <t>e = carbon dioxide equivalents</t>
    </r>
  </si>
  <si>
    <r>
      <t>Pollutant</t>
    </r>
    <r>
      <rPr>
        <b/>
        <vertAlign val="superscript"/>
        <sz val="10"/>
        <rFont val="Arial"/>
        <family val="2"/>
      </rPr>
      <t>1</t>
    </r>
  </si>
  <si>
    <r>
      <t>GWP</t>
    </r>
    <r>
      <rPr>
        <b/>
        <vertAlign val="superscript"/>
        <sz val="10"/>
        <color theme="1"/>
        <rFont val="Arial"/>
        <family val="2"/>
      </rPr>
      <t>2</t>
    </r>
  </si>
  <si>
    <r>
      <t>SOx</t>
    </r>
    <r>
      <rPr>
        <vertAlign val="superscript"/>
        <sz val="10"/>
        <rFont val="Arial"/>
        <family val="2"/>
      </rPr>
      <t>5</t>
    </r>
  </si>
  <si>
    <r>
      <t>CO</t>
    </r>
    <r>
      <rPr>
        <vertAlign val="subscript"/>
        <sz val="10"/>
        <rFont val="Arial"/>
        <family val="2"/>
      </rPr>
      <t>2</t>
    </r>
  </si>
  <si>
    <r>
      <t>CH</t>
    </r>
    <r>
      <rPr>
        <vertAlign val="subscript"/>
        <sz val="10"/>
        <rFont val="Arial"/>
        <family val="2"/>
      </rPr>
      <t>4</t>
    </r>
  </si>
  <si>
    <r>
      <t>GHG total (CO</t>
    </r>
    <r>
      <rPr>
        <vertAlign val="subscript"/>
        <sz val="10"/>
        <rFont val="Arial"/>
        <family val="2"/>
      </rPr>
      <t>2</t>
    </r>
    <r>
      <rPr>
        <sz val="10"/>
        <rFont val="Arial"/>
        <family val="2"/>
      </rPr>
      <t>e)</t>
    </r>
    <r>
      <rPr>
        <vertAlign val="superscript"/>
        <sz val="10"/>
        <rFont val="Arial"/>
        <family val="2"/>
      </rPr>
      <t xml:space="preserve"> 4</t>
    </r>
  </si>
  <si>
    <t>Potential and actual emissions - Hot mix asphalt</t>
  </si>
  <si>
    <r>
      <t>Emission Factor</t>
    </r>
    <r>
      <rPr>
        <b/>
        <vertAlign val="superscript"/>
        <sz val="10"/>
        <rFont val="Arial"/>
        <family val="2"/>
      </rPr>
      <t>1</t>
    </r>
  </si>
  <si>
    <r>
      <t>1</t>
    </r>
    <r>
      <rPr>
        <sz val="9"/>
        <rFont val="Arial"/>
        <family val="2"/>
      </rPr>
      <t>See hot mix emission factors tab for references</t>
    </r>
  </si>
  <si>
    <r>
      <t>GWP</t>
    </r>
    <r>
      <rPr>
        <b/>
        <vertAlign val="superscript"/>
        <sz val="10"/>
        <color theme="1"/>
        <rFont val="Arial"/>
        <family val="2"/>
      </rPr>
      <t>1</t>
    </r>
  </si>
  <si>
    <r>
      <t>CO</t>
    </r>
    <r>
      <rPr>
        <vertAlign val="subscript"/>
        <sz val="10"/>
        <rFont val="Arial"/>
        <family val="2"/>
      </rPr>
      <t xml:space="preserve">2 </t>
    </r>
    <r>
      <rPr>
        <vertAlign val="superscript"/>
        <sz val="10"/>
        <rFont val="Arial"/>
        <family val="2"/>
      </rPr>
      <t>2</t>
    </r>
  </si>
  <si>
    <r>
      <t>CH</t>
    </r>
    <r>
      <rPr>
        <vertAlign val="subscript"/>
        <sz val="10"/>
        <rFont val="Arial"/>
        <family val="2"/>
      </rPr>
      <t xml:space="preserve">4 </t>
    </r>
    <r>
      <rPr>
        <vertAlign val="superscript"/>
        <sz val="10"/>
        <rFont val="Arial"/>
        <family val="2"/>
      </rPr>
      <t>2</t>
    </r>
  </si>
  <si>
    <r>
      <t>N</t>
    </r>
    <r>
      <rPr>
        <vertAlign val="subscript"/>
        <sz val="10"/>
        <rFont val="Arial"/>
        <family val="2"/>
      </rPr>
      <t>2</t>
    </r>
    <r>
      <rPr>
        <sz val="10"/>
        <rFont val="Arial"/>
        <family val="2"/>
      </rPr>
      <t>O</t>
    </r>
    <r>
      <rPr>
        <vertAlign val="superscript"/>
        <sz val="10"/>
        <rFont val="Arial"/>
        <family val="2"/>
      </rPr>
      <t xml:space="preserve"> 2</t>
    </r>
  </si>
  <si>
    <r>
      <t xml:space="preserve">1 </t>
    </r>
    <r>
      <rPr>
        <sz val="9"/>
        <rFont val="Arial"/>
        <family val="2"/>
      </rPr>
      <t>Global Warming Potential from 40 CFR Part 98, Subpart A, Table A-1</t>
    </r>
  </si>
  <si>
    <r>
      <t>Fugitive emissions</t>
    </r>
    <r>
      <rPr>
        <b/>
        <vertAlign val="superscript"/>
        <sz val="11"/>
        <color theme="1"/>
        <rFont val="Arial"/>
        <family val="2"/>
      </rPr>
      <t>1</t>
    </r>
  </si>
  <si>
    <r>
      <t>k</t>
    </r>
    <r>
      <rPr>
        <vertAlign val="subscript"/>
        <sz val="10"/>
        <rFont val="Arial"/>
        <family val="2"/>
      </rPr>
      <t>10</t>
    </r>
    <r>
      <rPr>
        <sz val="10"/>
        <rFont val="Arial"/>
        <family val="2"/>
      </rPr>
      <t xml:space="preserve"> = PM</t>
    </r>
    <r>
      <rPr>
        <vertAlign val="subscript"/>
        <sz val="10"/>
        <rFont val="Arial"/>
        <family val="2"/>
      </rPr>
      <t>10</t>
    </r>
    <r>
      <rPr>
        <sz val="10"/>
        <rFont val="Arial"/>
        <family val="2"/>
      </rPr>
      <t xml:space="preserve"> particle size multiplier </t>
    </r>
  </si>
  <si>
    <r>
      <t>k</t>
    </r>
    <r>
      <rPr>
        <vertAlign val="subscript"/>
        <sz val="10"/>
        <rFont val="Arial"/>
        <family val="2"/>
      </rPr>
      <t>2.5</t>
    </r>
    <r>
      <rPr>
        <sz val="10"/>
        <rFont val="Arial"/>
        <family val="2"/>
      </rPr>
      <t xml:space="preserve"> = PM</t>
    </r>
    <r>
      <rPr>
        <vertAlign val="subscript"/>
        <sz val="10"/>
        <rFont val="Arial"/>
        <family val="2"/>
      </rPr>
      <t>2.5</t>
    </r>
    <r>
      <rPr>
        <sz val="10"/>
        <rFont val="Arial"/>
        <family val="2"/>
      </rPr>
      <t xml:space="preserve"> particle size multiplier </t>
    </r>
  </si>
  <si>
    <r>
      <t>Material handling emission factor equation</t>
    </r>
    <r>
      <rPr>
        <vertAlign val="superscript"/>
        <sz val="10"/>
        <color theme="1"/>
        <rFont val="Arial"/>
        <family val="2"/>
      </rPr>
      <t>6</t>
    </r>
  </si>
  <si>
    <r>
      <t>PM</t>
    </r>
    <r>
      <rPr>
        <vertAlign val="subscript"/>
        <sz val="10"/>
        <rFont val="Arial"/>
        <family val="2"/>
      </rPr>
      <t>10</t>
    </r>
    <r>
      <rPr>
        <sz val="10"/>
        <rFont val="Arial"/>
        <family val="2"/>
      </rPr>
      <t xml:space="preserve"> emission factor (lb/ton)</t>
    </r>
  </si>
  <si>
    <r>
      <t>PM</t>
    </r>
    <r>
      <rPr>
        <vertAlign val="subscript"/>
        <sz val="10"/>
        <rFont val="Arial"/>
        <family val="2"/>
      </rPr>
      <t>2.5</t>
    </r>
    <r>
      <rPr>
        <sz val="10"/>
        <rFont val="Arial"/>
        <family val="2"/>
      </rPr>
      <t xml:space="preserve"> emission factor (lb/ton)</t>
    </r>
  </si>
  <si>
    <r>
      <rPr>
        <vertAlign val="superscript"/>
        <sz val="9"/>
        <color theme="1"/>
        <rFont val="Arial"/>
        <family val="2"/>
      </rPr>
      <t xml:space="preserve">1 </t>
    </r>
    <r>
      <rPr>
        <sz val="9"/>
        <color theme="1"/>
        <rFont val="Arial"/>
        <family val="2"/>
      </rPr>
      <t xml:space="preserve">Sources: </t>
    </r>
  </si>
  <si>
    <r>
      <t xml:space="preserve">2 </t>
    </r>
    <r>
      <rPr>
        <sz val="9"/>
        <color theme="1"/>
        <rFont val="Arial"/>
        <family val="2"/>
      </rPr>
      <t>Unpaved road emissions reference sources:</t>
    </r>
  </si>
  <si>
    <r>
      <t xml:space="preserve">3 </t>
    </r>
    <r>
      <rPr>
        <sz val="9"/>
        <color theme="1"/>
        <rFont val="Arial"/>
        <family val="2"/>
      </rPr>
      <t>Unpaved road particulate matter emission factor equation (lb/VMT)</t>
    </r>
  </si>
  <si>
    <r>
      <t xml:space="preserve">5 </t>
    </r>
    <r>
      <rPr>
        <sz val="9"/>
        <color theme="1"/>
        <rFont val="Arial"/>
        <family val="2"/>
      </rPr>
      <t>Stockpile reference</t>
    </r>
  </si>
  <si>
    <r>
      <rPr>
        <vertAlign val="superscript"/>
        <sz val="9"/>
        <color theme="1"/>
        <rFont val="Arial"/>
        <family val="2"/>
      </rPr>
      <t>6</t>
    </r>
    <r>
      <rPr>
        <sz val="9"/>
        <color theme="1"/>
        <rFont val="Arial"/>
        <family val="2"/>
      </rPr>
      <t xml:space="preserve"> Stockpile emission factor equation (lb/ton) = k(0.0032)((U/5)</t>
    </r>
    <r>
      <rPr>
        <vertAlign val="superscript"/>
        <sz val="9"/>
        <color theme="1"/>
        <rFont val="Arial"/>
        <family val="2"/>
      </rPr>
      <t>1.3</t>
    </r>
    <r>
      <rPr>
        <sz val="9"/>
        <color theme="1"/>
        <rFont val="Arial"/>
        <family val="2"/>
      </rPr>
      <t>/(M/2)</t>
    </r>
    <r>
      <rPr>
        <vertAlign val="superscript"/>
        <sz val="9"/>
        <color theme="1"/>
        <rFont val="Arial"/>
        <family val="2"/>
      </rPr>
      <t>1.4</t>
    </r>
    <r>
      <rPr>
        <sz val="9"/>
        <color theme="1"/>
        <rFont val="Arial"/>
        <family val="2"/>
      </rPr>
      <t>)</t>
    </r>
  </si>
  <si>
    <r>
      <t>Unpaved road</t>
    </r>
    <r>
      <rPr>
        <b/>
        <vertAlign val="superscript"/>
        <sz val="11"/>
        <color theme="1"/>
        <rFont val="Arial"/>
        <family val="2"/>
      </rPr>
      <t>2</t>
    </r>
  </si>
  <si>
    <r>
      <rPr>
        <vertAlign val="superscript"/>
        <sz val="9"/>
        <color theme="1"/>
        <rFont val="Arial"/>
        <family val="2"/>
      </rPr>
      <t xml:space="preserve">8 </t>
    </r>
    <r>
      <rPr>
        <sz val="9"/>
        <color theme="1"/>
        <rFont val="Arial"/>
        <family val="2"/>
      </rPr>
      <t>Wind erosion emission factor equation (lb/day/acre)=1.7(s/1.5)((365-p)/235)(f/15)</t>
    </r>
  </si>
  <si>
    <t>Potential fugitive emissions</t>
  </si>
  <si>
    <t>Actual fugitive emissions</t>
  </si>
  <si>
    <r>
      <t>Material handling at stockpiles</t>
    </r>
    <r>
      <rPr>
        <b/>
        <vertAlign val="superscript"/>
        <sz val="12"/>
        <color theme="1"/>
        <rFont val="Arial"/>
        <family val="2"/>
      </rPr>
      <t>5</t>
    </r>
  </si>
  <si>
    <r>
      <t>Wind erosion of ground pile</t>
    </r>
    <r>
      <rPr>
        <b/>
        <vertAlign val="superscript"/>
        <sz val="12"/>
        <color theme="1"/>
        <rFont val="Arial"/>
        <family val="2"/>
      </rPr>
      <t>7</t>
    </r>
  </si>
  <si>
    <r>
      <t>V</t>
    </r>
    <r>
      <rPr>
        <vertAlign val="subscript"/>
        <sz val="9"/>
        <rFont val="Arial"/>
        <family val="2"/>
      </rPr>
      <t>potential</t>
    </r>
    <r>
      <rPr>
        <sz val="9"/>
        <rFont val="Arial"/>
        <family val="2"/>
      </rPr>
      <t xml:space="preserve"> = # vehicle trips / yr</t>
    </r>
  </si>
  <si>
    <r>
      <t>V</t>
    </r>
    <r>
      <rPr>
        <vertAlign val="subscript"/>
        <sz val="9"/>
        <rFont val="Arial"/>
        <family val="2"/>
      </rPr>
      <t>actual</t>
    </r>
    <r>
      <rPr>
        <sz val="9"/>
        <rFont val="Arial"/>
        <family val="2"/>
      </rPr>
      <t xml:space="preserve"> = # vehicle trips / yr</t>
    </r>
  </si>
  <si>
    <r>
      <t>Potential Vehicle Miles Traveled (VMT)/yr = V</t>
    </r>
    <r>
      <rPr>
        <vertAlign val="subscript"/>
        <sz val="9"/>
        <rFont val="Arial"/>
        <family val="2"/>
      </rPr>
      <t>potential</t>
    </r>
    <r>
      <rPr>
        <sz val="9"/>
        <rFont val="Arial"/>
        <family val="2"/>
      </rPr>
      <t xml:space="preserve"> x miles</t>
    </r>
  </si>
  <si>
    <r>
      <t>Actual Vehicle Miles Traveled (VMT)/yr = V</t>
    </r>
    <r>
      <rPr>
        <vertAlign val="subscript"/>
        <sz val="9"/>
        <rFont val="Arial"/>
        <family val="2"/>
      </rPr>
      <t>actual</t>
    </r>
    <r>
      <rPr>
        <sz val="9"/>
        <rFont val="Arial"/>
        <family val="2"/>
      </rPr>
      <t xml:space="preserve"> x miles</t>
    </r>
  </si>
  <si>
    <r>
      <rPr>
        <vertAlign val="superscript"/>
        <sz val="9"/>
        <rFont val="Arial"/>
        <family val="2"/>
      </rPr>
      <t>4</t>
    </r>
  </si>
  <si>
    <r>
      <t>Unpaved road emission factor equation</t>
    </r>
    <r>
      <rPr>
        <vertAlign val="superscript"/>
        <sz val="9"/>
        <rFont val="Arial"/>
        <family val="2"/>
      </rPr>
      <t>3</t>
    </r>
  </si>
  <si>
    <r>
      <t>k</t>
    </r>
    <r>
      <rPr>
        <vertAlign val="subscript"/>
        <sz val="9"/>
        <rFont val="Arial"/>
        <family val="2"/>
      </rPr>
      <t>10</t>
    </r>
    <r>
      <rPr>
        <sz val="9"/>
        <rFont val="Arial"/>
        <family val="2"/>
      </rPr>
      <t xml:space="preserve"> = PM</t>
    </r>
    <r>
      <rPr>
        <vertAlign val="subscript"/>
        <sz val="9"/>
        <rFont val="Arial"/>
        <family val="2"/>
      </rPr>
      <t>10</t>
    </r>
    <r>
      <rPr>
        <sz val="9"/>
        <rFont val="Arial"/>
        <family val="2"/>
      </rPr>
      <t xml:space="preserve"> particle size multiplier </t>
    </r>
  </si>
  <si>
    <r>
      <t>PM</t>
    </r>
    <r>
      <rPr>
        <vertAlign val="subscript"/>
        <sz val="9"/>
        <rFont val="Arial"/>
        <family val="2"/>
      </rPr>
      <t>10</t>
    </r>
    <r>
      <rPr>
        <sz val="9"/>
        <rFont val="Arial"/>
        <family val="2"/>
      </rPr>
      <t xml:space="preserve"> emission factor (lb/VMT)</t>
    </r>
  </si>
  <si>
    <r>
      <t>k</t>
    </r>
    <r>
      <rPr>
        <vertAlign val="subscript"/>
        <sz val="9"/>
        <rFont val="Arial"/>
        <family val="2"/>
      </rPr>
      <t>2.5</t>
    </r>
    <r>
      <rPr>
        <sz val="9"/>
        <rFont val="Arial"/>
        <family val="2"/>
      </rPr>
      <t xml:space="preserve"> = PM</t>
    </r>
    <r>
      <rPr>
        <vertAlign val="subscript"/>
        <sz val="9"/>
        <rFont val="Arial"/>
        <family val="2"/>
      </rPr>
      <t>2.5</t>
    </r>
    <r>
      <rPr>
        <sz val="9"/>
        <rFont val="Arial"/>
        <family val="2"/>
      </rPr>
      <t xml:space="preserve"> particle size multiplier </t>
    </r>
  </si>
  <si>
    <r>
      <t>PM</t>
    </r>
    <r>
      <rPr>
        <vertAlign val="subscript"/>
        <sz val="9"/>
        <rFont val="Arial"/>
        <family val="2"/>
      </rPr>
      <t>2.5</t>
    </r>
    <r>
      <rPr>
        <sz val="9"/>
        <rFont val="Arial"/>
        <family val="2"/>
      </rPr>
      <t xml:space="preserve"> emission factor (lb/VMT)</t>
    </r>
  </si>
  <si>
    <t>Unpaved road</t>
  </si>
  <si>
    <t>Material handling at stockpiles</t>
  </si>
  <si>
    <t>Wind erosion of ground pile</t>
  </si>
  <si>
    <t>(VMT/yr)</t>
  </si>
  <si>
    <t>(365d*a/yr)</t>
  </si>
  <si>
    <t>Emission factor</t>
  </si>
  <si>
    <t>Potential</t>
  </si>
  <si>
    <t>(lb/VMT)</t>
  </si>
  <si>
    <t>(lb/ton)</t>
  </si>
  <si>
    <t>(lb/d*acre)</t>
  </si>
  <si>
    <r>
      <t>Greenhouse Gas Emissions</t>
    </r>
    <r>
      <rPr>
        <sz val="10"/>
        <color theme="1"/>
        <rFont val="Arial"/>
        <family val="2"/>
      </rPr>
      <t xml:space="preserve"> </t>
    </r>
  </si>
  <si>
    <r>
      <t>N</t>
    </r>
    <r>
      <rPr>
        <vertAlign val="subscript"/>
        <sz val="10"/>
        <rFont val="Arial"/>
        <family val="2"/>
      </rPr>
      <t>2</t>
    </r>
    <r>
      <rPr>
        <sz val="10"/>
        <rFont val="Arial"/>
        <family val="2"/>
      </rPr>
      <t>O</t>
    </r>
  </si>
  <si>
    <r>
      <t>GHG Total CO</t>
    </r>
    <r>
      <rPr>
        <vertAlign val="subscript"/>
        <sz val="10"/>
        <color theme="1"/>
        <rFont val="Arial"/>
        <family val="2"/>
      </rPr>
      <t>2</t>
    </r>
    <r>
      <rPr>
        <sz val="10"/>
        <color theme="1"/>
        <rFont val="Arial"/>
        <family val="2"/>
      </rPr>
      <t>e</t>
    </r>
  </si>
  <si>
    <t>Air emissions from fugitive sources</t>
  </si>
  <si>
    <r>
      <t>Insignificant Activity</t>
    </r>
    <r>
      <rPr>
        <b/>
        <vertAlign val="superscript"/>
        <sz val="10"/>
        <rFont val="Arial"/>
        <family val="2"/>
      </rPr>
      <t xml:space="preserve">4 </t>
    </r>
    <r>
      <rPr>
        <b/>
        <sz val="10"/>
        <rFont val="Arial"/>
        <family val="2"/>
      </rPr>
      <t>Limits</t>
    </r>
  </si>
  <si>
    <t>Natural gas potential and actual emissions</t>
  </si>
  <si>
    <t>Air emissions from burning propane</t>
  </si>
  <si>
    <t>Propane potential and actual emissions</t>
  </si>
  <si>
    <r>
      <t>SO</t>
    </r>
    <r>
      <rPr>
        <vertAlign val="subscript"/>
        <sz val="10"/>
        <rFont val="Arial"/>
        <family val="2"/>
      </rPr>
      <t>2</t>
    </r>
  </si>
  <si>
    <t>cubic feet of gas were actually burned?</t>
  </si>
  <si>
    <t>Potential emissions: hot mix asphalt</t>
  </si>
  <si>
    <t>Actual emissions: hot mix asphalt</t>
  </si>
  <si>
    <t>State rules for hot mix asphalt plants</t>
  </si>
  <si>
    <t>40 CFR pt. 60, subp. OOO</t>
  </si>
  <si>
    <t>If your facility also has on-site aggregate crushing or grinding:</t>
  </si>
  <si>
    <t>Does any other NSPS apply to you?</t>
  </si>
  <si>
    <r>
      <t>Actual Emission Factor</t>
    </r>
    <r>
      <rPr>
        <b/>
        <vertAlign val="superscript"/>
        <sz val="10"/>
        <rFont val="Arial"/>
        <family val="2"/>
      </rPr>
      <t>3, 5</t>
    </r>
  </si>
  <si>
    <t xml:space="preserve">The summary below is based on information you entered in the blue tabs. </t>
  </si>
  <si>
    <t>Your business's potential emissions</t>
  </si>
  <si>
    <t>Your business's actual emissions</t>
  </si>
  <si>
    <t xml:space="preserve">More Information </t>
  </si>
  <si>
    <t>Control equipment</t>
  </si>
  <si>
    <t>Control</t>
  </si>
  <si>
    <t>Venturi scrubber</t>
  </si>
  <si>
    <t>PM-10</t>
  </si>
  <si>
    <t>Minn. R. 7011.0070</t>
  </si>
  <si>
    <t>Performance tests</t>
  </si>
  <si>
    <t>Material use</t>
  </si>
  <si>
    <t>Materials</t>
  </si>
  <si>
    <t>Fuels</t>
  </si>
  <si>
    <t>Additives</t>
  </si>
  <si>
    <t>See requirements in Minn. R. 7011.0913</t>
  </si>
  <si>
    <t>Operating requirements</t>
  </si>
  <si>
    <r>
      <t xml:space="preserve">Hot mix asphalt plants can </t>
    </r>
    <r>
      <rPr>
        <b/>
        <sz val="10"/>
        <color theme="1"/>
        <rFont val="Arial"/>
        <family val="2"/>
      </rPr>
      <t>only</t>
    </r>
    <r>
      <rPr>
        <sz val="10"/>
        <color theme="1"/>
        <rFont val="Arial"/>
        <family val="2"/>
      </rPr>
      <t xml:space="preserve"> use:</t>
    </r>
  </si>
  <si>
    <t xml:space="preserve">4) The yellow 'Permits &amp; requirements' tab will help you decide which permit to apply for. </t>
  </si>
  <si>
    <t>Federal standards can determine whether you need a permit and what requirements you must follow. You may have to follow federal standard requirements in addition to state permit requirements. Below are some of the common federal standards that affect hot mix asphalt facilities.</t>
  </si>
  <si>
    <t>your plant or equipment was constructed, reconstructed, or modified* after June 11, 1973.</t>
  </si>
  <si>
    <t>All hot mix asphalt facilities must comply with these state rules.</t>
  </si>
  <si>
    <t>Compliance must be demonstrated through inspections, maintenance, monitoring, testing, recordkeeping, and reporting requirements. These requirements are listed on the hot mix asphalt 'Complying with air requirements' webpage.</t>
  </si>
  <si>
    <t>You can request approval for materials that are not included above.</t>
  </si>
  <si>
    <t>If you choose to use a control efficiency to limit your actual emissions of particulate matter, the control equipment must be at least as efficient as the following:</t>
  </si>
  <si>
    <t>Note: If you use a different type of control equipment, see required efficiencies in</t>
  </si>
  <si>
    <t>degrees Fahrenheit (°F)</t>
  </si>
  <si>
    <t>▪  clay, silt, sand, gravel, and crushed stone produced from naturally occurring geologic formations, without additives; 
▪  recycled asphalt pavement
▪  portland cement concrete</t>
  </si>
  <si>
    <t>▪  recycled sediments from asphalt plant scrubber operations
▪  fines from asphalt plant fabric filter operations
▪  asphalt cement 
▪  hydrated lime</t>
  </si>
  <si>
    <t>▪  natural gas, methane, butane, and propane
▪  gasoline, kerosene, diesel fuel, jet fuel, and fuel oils (No. 1, No. 2, No. 3, No. 4, No. 5, No. 6)
▪  on-specification used oil, defined in Minn. R. 7045.0020, subp. 60a, provided that total halogens not exceed 1,000 parts per million
▪  virgin oil that is discarded before use and that otherwise meets the requirements of this item for on-specification used oil</t>
  </si>
  <si>
    <t>▪  silicone, organic soaps, and other substances of a similar nature added to the asphalt cement</t>
  </si>
  <si>
    <t>If you are using a different fuel in the dryer:</t>
  </si>
  <si>
    <t>Choose which one</t>
  </si>
  <si>
    <t xml:space="preserve">Online at the MPCA website at: </t>
  </si>
  <si>
    <t>A separate calculator for aggregates is available and includes NSPS OOO.</t>
  </si>
  <si>
    <t>Choose one to calculate actual emissions</t>
  </si>
  <si>
    <t>Engine Rated Output</t>
  </si>
  <si>
    <t>Actual Annual Throughput</t>
  </si>
  <si>
    <r>
      <t>Potential Annual Hours</t>
    </r>
    <r>
      <rPr>
        <b/>
        <vertAlign val="superscript"/>
        <sz val="10"/>
        <rFont val="Arial"/>
        <family val="2"/>
      </rPr>
      <t>3</t>
    </r>
  </si>
  <si>
    <t>(MMBtu/yr)</t>
  </si>
  <si>
    <t>see engine emission factors tab</t>
  </si>
  <si>
    <r>
      <t>GHG total (CO</t>
    </r>
    <r>
      <rPr>
        <vertAlign val="subscript"/>
        <sz val="10"/>
        <rFont val="Arial"/>
        <family val="2"/>
      </rPr>
      <t>2</t>
    </r>
    <r>
      <rPr>
        <sz val="10"/>
        <rFont val="Arial"/>
        <family val="2"/>
      </rPr>
      <t>e)</t>
    </r>
    <r>
      <rPr>
        <vertAlign val="superscript"/>
        <sz val="10"/>
        <rFont val="Arial"/>
        <family val="2"/>
      </rPr>
      <t xml:space="preserve"> 2</t>
    </r>
  </si>
  <si>
    <r>
      <rPr>
        <vertAlign val="superscript"/>
        <sz val="9"/>
        <rFont val="Arial"/>
        <family val="2"/>
      </rPr>
      <t xml:space="preserve">2 </t>
    </r>
    <r>
      <rPr>
        <sz val="9"/>
        <rFont val="Arial"/>
        <family val="2"/>
      </rPr>
      <t>CO</t>
    </r>
    <r>
      <rPr>
        <vertAlign val="subscript"/>
        <sz val="9"/>
        <rFont val="Arial"/>
        <family val="2"/>
      </rPr>
      <t>2</t>
    </r>
    <r>
      <rPr>
        <sz val="9"/>
        <rFont val="Arial"/>
        <family val="2"/>
      </rPr>
      <t>e = carbon dioxide equivalents</t>
    </r>
  </si>
  <si>
    <r>
      <rPr>
        <vertAlign val="superscript"/>
        <sz val="9"/>
        <rFont val="Arial"/>
        <family val="2"/>
      </rPr>
      <t xml:space="preserve">3 </t>
    </r>
    <r>
      <rPr>
        <sz val="9"/>
        <rFont val="Arial"/>
        <family val="2"/>
      </rPr>
      <t>Routine = 24 hr/day * 365 day/yr or 8760 hr/yr; Emergency = 500 hr/yr</t>
    </r>
  </si>
  <si>
    <t>Minn. R. 7007.1300</t>
  </si>
  <si>
    <t>Engine emission factors</t>
  </si>
  <si>
    <r>
      <t>RECIPROCATING ENGINES (&gt;=600HP) DIESEL (lb/MMBtu)</t>
    </r>
    <r>
      <rPr>
        <b/>
        <vertAlign val="superscript"/>
        <sz val="9"/>
        <rFont val="Arial"/>
        <family val="2"/>
      </rPr>
      <t>1</t>
    </r>
  </si>
  <si>
    <r>
      <t>TURBINE ENGINES (electrical generation) NATURAL GAS (lb/MMBtu)</t>
    </r>
    <r>
      <rPr>
        <b/>
        <vertAlign val="superscript"/>
        <sz val="9"/>
        <rFont val="Arial"/>
        <family val="2"/>
      </rPr>
      <t>1</t>
    </r>
  </si>
  <si>
    <r>
      <t>RECIPROCATING GASOLINE (lb/MMBtu)</t>
    </r>
    <r>
      <rPr>
        <b/>
        <vertAlign val="superscript"/>
        <sz val="9"/>
        <rFont val="Arial"/>
        <family val="2"/>
      </rPr>
      <t>2</t>
    </r>
  </si>
  <si>
    <r>
      <t>CO</t>
    </r>
    <r>
      <rPr>
        <vertAlign val="subscript"/>
        <sz val="9"/>
        <rFont val="Arial"/>
        <family val="2"/>
      </rPr>
      <t>2</t>
    </r>
  </si>
  <si>
    <r>
      <t>CH</t>
    </r>
    <r>
      <rPr>
        <vertAlign val="subscript"/>
        <sz val="9"/>
        <rFont val="Arial"/>
        <family val="2"/>
      </rPr>
      <t>4</t>
    </r>
  </si>
  <si>
    <r>
      <t>N</t>
    </r>
    <r>
      <rPr>
        <vertAlign val="subscript"/>
        <sz val="9"/>
        <rFont val="Arial"/>
        <family val="2"/>
      </rPr>
      <t>2</t>
    </r>
    <r>
      <rPr>
        <sz val="9"/>
        <rFont val="Arial"/>
        <family val="2"/>
      </rPr>
      <t>O</t>
    </r>
  </si>
  <si>
    <t>Actual emissions entry</t>
  </si>
  <si>
    <t>hours per year (hr/yr)</t>
  </si>
  <si>
    <t>million Btu per year (MMBtu/yr)</t>
  </si>
  <si>
    <t>gallons per year (gal/yr)</t>
  </si>
  <si>
    <t>Quantity of fuel actually burned per 12 months</t>
  </si>
  <si>
    <t>If you have a boiler with a rating of more than 100 million Btu per hour, different emission factors must be used (see EPA AP-42 Chapter 1.4).</t>
  </si>
  <si>
    <t>Tip: How to use this calculator</t>
  </si>
  <si>
    <t>If you have…</t>
  </si>
  <si>
    <t>One process/heating unit</t>
  </si>
  <si>
    <t>Enter maximum rated heat input</t>
  </si>
  <si>
    <t>Enter amount of fuel burned or actual operation hours</t>
  </si>
  <si>
    <t>More than one process/heating unit</t>
  </si>
  <si>
    <t>Enter the total maximum rated heat input of all units, combined</t>
  </si>
  <si>
    <t>Enter amount of fuel burned. Do not use operation hours.</t>
  </si>
  <si>
    <t>A unit that can burn more than one fuel type</t>
  </si>
  <si>
    <t>Calculate for both fuel types. The highest ton/yr per pollutant is to be used for potential emissions</t>
  </si>
  <si>
    <t>Enter amount of each type of fuel burned.</t>
  </si>
  <si>
    <r>
      <t xml:space="preserve">For </t>
    </r>
    <r>
      <rPr>
        <b/>
        <sz val="11"/>
        <rFont val="Arial"/>
        <family val="2"/>
      </rPr>
      <t>potential emissions</t>
    </r>
  </si>
  <si>
    <r>
      <t xml:space="preserve">For </t>
    </r>
    <r>
      <rPr>
        <b/>
        <sz val="11"/>
        <rFont val="Arial"/>
        <family val="2"/>
      </rPr>
      <t>actual emissions</t>
    </r>
  </si>
  <si>
    <r>
      <rPr>
        <vertAlign val="superscript"/>
        <sz val="9"/>
        <rFont val="Arial"/>
        <family val="2"/>
      </rPr>
      <t>3</t>
    </r>
    <r>
      <rPr>
        <sz val="9"/>
        <rFont val="Arial"/>
        <family val="2"/>
      </rPr>
      <t xml:space="preserve"> See insignificant activities at Minn. R. 7007.1300 and on the 'Permits &amp; Requirements' tab.</t>
    </r>
  </si>
  <si>
    <t>Hourly propane usage</t>
  </si>
  <si>
    <r>
      <t>GHG Total (CO</t>
    </r>
    <r>
      <rPr>
        <vertAlign val="subscript"/>
        <sz val="10"/>
        <rFont val="Arial"/>
        <family val="2"/>
      </rPr>
      <t>2</t>
    </r>
    <r>
      <rPr>
        <sz val="10"/>
        <rFont val="Arial"/>
        <family val="2"/>
      </rPr>
      <t>e)</t>
    </r>
    <r>
      <rPr>
        <vertAlign val="superscript"/>
        <sz val="10"/>
        <rFont val="Arial"/>
        <family val="2"/>
      </rPr>
      <t xml:space="preserve"> 2</t>
    </r>
  </si>
  <si>
    <r>
      <t>Insignificant Activity</t>
    </r>
    <r>
      <rPr>
        <b/>
        <vertAlign val="superscript"/>
        <sz val="10"/>
        <rFont val="Arial"/>
        <family val="2"/>
      </rPr>
      <t xml:space="preserve">3 </t>
    </r>
    <r>
      <rPr>
        <b/>
        <sz val="10"/>
        <rFont val="Arial"/>
        <family val="2"/>
      </rPr>
      <t>Limits</t>
    </r>
  </si>
  <si>
    <t>Hourly natural gas usage</t>
  </si>
  <si>
    <t>Sulfur content of propane</t>
  </si>
  <si>
    <t>Venturi scrubber - certified hood</t>
  </si>
  <si>
    <t>Venturi scrubber - uncertified hood</t>
  </si>
  <si>
    <t>Fabric filter - total enclosure</t>
  </si>
  <si>
    <t>Fabric filter - certified hood</t>
  </si>
  <si>
    <t>Fabric filter - uncertified hood</t>
  </si>
  <si>
    <t>Venturi scrubber - total enclosure</t>
  </si>
  <si>
    <t>PM (%)</t>
  </si>
  <si>
    <t>PM10 (%)</t>
  </si>
  <si>
    <t>PM10 =</t>
  </si>
  <si>
    <t>PM =</t>
  </si>
  <si>
    <t xml:space="preserve">Then, </t>
  </si>
  <si>
    <t>Control efficiency, applied to actual emissions:  PM =</t>
  </si>
  <si>
    <t xml:space="preserve">PM10 = </t>
  </si>
  <si>
    <t xml:space="preserve">Your potential emissions from fugitive sources must be used in identifying whether a permit is required. Fugitive sources include unpaved roads, material handling at stockpiles, and wind erosion of ground piles. </t>
  </si>
  <si>
    <r>
      <t>Actual emissions</t>
    </r>
    <r>
      <rPr>
        <sz val="11"/>
        <color theme="1"/>
        <rFont val="Calibri"/>
        <family val="2"/>
        <scheme val="minor"/>
      </rPr>
      <t/>
    </r>
  </si>
  <si>
    <t xml:space="preserve">Are you applying for or have an Option D registration permit? </t>
  </si>
  <si>
    <t>If…</t>
  </si>
  <si>
    <t>Then…</t>
  </si>
  <si>
    <r>
      <t xml:space="preserve">You </t>
    </r>
    <r>
      <rPr>
        <b/>
        <sz val="10"/>
        <color theme="1"/>
        <rFont val="Arial"/>
        <family val="2"/>
      </rPr>
      <t xml:space="preserve">are </t>
    </r>
    <r>
      <rPr>
        <sz val="10"/>
        <color theme="1"/>
        <rFont val="Arial"/>
        <family val="2"/>
      </rPr>
      <t>required…</t>
    </r>
  </si>
  <si>
    <r>
      <t xml:space="preserve">…to calculate actual emissions from fugitive sources (unpaved roads, material handling for stockpiles, and wind erosion of ground piles). 
</t>
    </r>
    <r>
      <rPr>
        <b/>
        <sz val="10"/>
        <color theme="1"/>
        <rFont val="Arial"/>
        <family val="2"/>
      </rPr>
      <t>Enter actual throughput for each activity below.</t>
    </r>
  </si>
  <si>
    <r>
      <t xml:space="preserve">You </t>
    </r>
    <r>
      <rPr>
        <b/>
        <sz val="10"/>
        <color theme="1"/>
        <rFont val="Arial"/>
        <family val="2"/>
      </rPr>
      <t>are not</t>
    </r>
    <r>
      <rPr>
        <sz val="10"/>
        <color theme="1"/>
        <rFont val="Arial"/>
        <family val="2"/>
      </rPr>
      <t xml:space="preserve"> required…</t>
    </r>
  </si>
  <si>
    <t>(days * acre) / yr</t>
  </si>
  <si>
    <r>
      <rPr>
        <u/>
        <vertAlign val="superscript"/>
        <sz val="9"/>
        <color rgb="FF0000FF"/>
        <rFont val="Arial"/>
        <family val="2"/>
      </rPr>
      <t>4</t>
    </r>
    <r>
      <rPr>
        <u/>
        <sz val="9"/>
        <color rgb="FF0000FF"/>
        <rFont val="Arial"/>
        <family val="2"/>
      </rPr>
      <t xml:space="preserve"> Average across MN precipitation data in Comparative Climatic Data (CCD-2015) tables, page 42.</t>
    </r>
  </si>
  <si>
    <t>(Btu/hr) / (1050 Btu/cu ft)</t>
  </si>
  <si>
    <r>
      <t>2</t>
    </r>
    <r>
      <rPr>
        <sz val="9"/>
        <rFont val="Arial"/>
        <family val="2"/>
      </rPr>
      <t xml:space="preserve"> CO</t>
    </r>
    <r>
      <rPr>
        <vertAlign val="subscript"/>
        <sz val="9"/>
        <rFont val="Arial"/>
        <family val="2"/>
      </rPr>
      <t>2</t>
    </r>
    <r>
      <rPr>
        <sz val="9"/>
        <rFont val="Arial"/>
        <family val="2"/>
      </rPr>
      <t>e = carbon dioxide equivalents for CH</t>
    </r>
    <r>
      <rPr>
        <vertAlign val="subscript"/>
        <sz val="9"/>
        <rFont val="Arial"/>
        <family val="2"/>
      </rPr>
      <t>4</t>
    </r>
    <r>
      <rPr>
        <sz val="9"/>
        <rFont val="Arial"/>
        <family val="2"/>
      </rPr>
      <t xml:space="preserve"> = 25; Global Warming Potential from 40 CFR Part 98, Subpart A, Table A-1</t>
    </r>
  </si>
  <si>
    <r>
      <t xml:space="preserve">What type of permit?
</t>
    </r>
    <r>
      <rPr>
        <sz val="11"/>
        <color rgb="FFFF0000"/>
        <rFont val="Arial"/>
        <family val="2"/>
      </rPr>
      <t>Assumes all air pollutant activities are entered into this calculator.</t>
    </r>
    <r>
      <rPr>
        <sz val="10"/>
        <color theme="1"/>
        <rFont val="Arial"/>
        <family val="2"/>
      </rPr>
      <t xml:space="preserve">
If you have additional air emission sources, the recommendation below cannot be used. You must assess your facility's total potential emissions from all sources to identify your permitting needs.</t>
    </r>
  </si>
  <si>
    <t>Which permit do you need?</t>
  </si>
  <si>
    <t>Below permit thresholds</t>
  </si>
  <si>
    <t>Other state or federal permit</t>
  </si>
  <si>
    <t>Info about Air Permits</t>
  </si>
  <si>
    <t>Types of insignificant activities</t>
  </si>
  <si>
    <t>subp. 2</t>
  </si>
  <si>
    <t>Not required to be listed.</t>
  </si>
  <si>
    <t>supb. 3</t>
  </si>
  <si>
    <t>Required to be listed but emissions do not need to be included in total facility emission calculations, unless requested by MPCA.</t>
  </si>
  <si>
    <t>subp. 4</t>
  </si>
  <si>
    <t>Required to be listed if applying for a Part 70 (Federal permit or federally enforceable permit limits) but emissions do not need to be included in total facility emission calculations, unless requested by MPCA.</t>
  </si>
  <si>
    <r>
      <t xml:space="preserve">If emissions units listed in 7007.1300 are subject to additional requirements under section 114(a)(3) of the act (Monitoring Requirements) or section 112 of the act (Hazardous Air Pollutants), or if part of a title I modification, or, if accounted for, make a stationary source subject to a part 70 permit, emissions from the emissions units </t>
    </r>
    <r>
      <rPr>
        <b/>
        <sz val="10"/>
        <color theme="1"/>
        <rFont val="Arial"/>
        <family val="2"/>
      </rPr>
      <t>must be calculated in the permit application.</t>
    </r>
  </si>
  <si>
    <t xml:space="preserve">If all emission points are insignificant and total emissions do not exceed permitting thresholds, a permit is not required. Comply with any applicable regulations. </t>
  </si>
  <si>
    <t>p-sbap5-20</t>
  </si>
  <si>
    <t>SCC 3-05-002-45</t>
  </si>
  <si>
    <t>SCC 3-05-002-46</t>
  </si>
  <si>
    <t>SCC 3-05-002-47</t>
  </si>
  <si>
    <t>SCC 3-05-002-55</t>
  </si>
  <si>
    <t>SCC 3-05-002-58</t>
  </si>
  <si>
    <t>SCC 3-05-002-61</t>
  </si>
  <si>
    <t xml:space="preserve"> SCC 3-05-002-14</t>
  </si>
  <si>
    <t xml:space="preserve"> SCC 3-05-002-13</t>
  </si>
  <si>
    <t>Bromomethane</t>
  </si>
  <si>
    <t>2-Butanone</t>
  </si>
  <si>
    <t>Carbon Disulfide</t>
  </si>
  <si>
    <t>Chloroethane</t>
  </si>
  <si>
    <t>Chloromethane</t>
  </si>
  <si>
    <t>Cumene</t>
  </si>
  <si>
    <t>n-Hexane</t>
  </si>
  <si>
    <t>Isooctane</t>
  </si>
  <si>
    <t>Methylene Chloride</t>
  </si>
  <si>
    <t>MTBE</t>
  </si>
  <si>
    <t>Tetrachloroethene</t>
  </si>
  <si>
    <t>1,1,1-Trichloroethane</t>
  </si>
  <si>
    <t>Trichloroenthene</t>
  </si>
  <si>
    <t>Trichlorofluoromethane</t>
  </si>
  <si>
    <t>No Data (ND)</t>
  </si>
  <si>
    <t>ND</t>
  </si>
  <si>
    <t>Non-PAH/Volatile HAPS</t>
  </si>
  <si>
    <t>PAH HAPs</t>
  </si>
  <si>
    <t>Acenaphthene</t>
  </si>
  <si>
    <t>Acenaphthylene</t>
  </si>
  <si>
    <t>Anthracene</t>
  </si>
  <si>
    <t>Benzo(a)anthracene</t>
  </si>
  <si>
    <t>Benzo(b)fluoranthene</t>
  </si>
  <si>
    <t>Benzo(k)fluoranthene</t>
  </si>
  <si>
    <t>Benzo(g,h,i)perylene</t>
  </si>
  <si>
    <t>Benzo(a)pyrene</t>
  </si>
  <si>
    <t>Benzo(e)pyrene</t>
  </si>
  <si>
    <t>Chrysene</t>
  </si>
  <si>
    <t>Dibenz(a,h)anthracene</t>
  </si>
  <si>
    <t>Fluoranthene</t>
  </si>
  <si>
    <t>Fluorene</t>
  </si>
  <si>
    <t>Indeno(1,2,3-cd)pyrene</t>
  </si>
  <si>
    <t>2-Methylnaphthalene</t>
  </si>
  <si>
    <t>Perylene</t>
  </si>
  <si>
    <t>Phenanthrene</t>
  </si>
  <si>
    <t>Pyrene</t>
  </si>
  <si>
    <t>Criteria</t>
  </si>
  <si>
    <t>Non-PAH HAPS</t>
  </si>
  <si>
    <t>Methyl chloroform</t>
  </si>
  <si>
    <t>Propionaldehyde</t>
  </si>
  <si>
    <t>Antharacene</t>
  </si>
  <si>
    <t>Dioxins</t>
  </si>
  <si>
    <t>Total TCCD</t>
  </si>
  <si>
    <t>Total PeCDD</t>
  </si>
  <si>
    <t>Total HxCDD</t>
  </si>
  <si>
    <t>Total HpCDD</t>
  </si>
  <si>
    <t>Furans</t>
  </si>
  <si>
    <t>Total TCDF</t>
  </si>
  <si>
    <t>Total PeCDF</t>
  </si>
  <si>
    <t>Total HxCDF</t>
  </si>
  <si>
    <t>Total HpCDF</t>
  </si>
  <si>
    <t>none listed in AP42</t>
  </si>
  <si>
    <t>Total PCDD</t>
  </si>
  <si>
    <t>Total PCDF</t>
  </si>
  <si>
    <t>m-/p-Xylene = 0.41%; o-Xylene = 0.08%</t>
  </si>
  <si>
    <t>m-/p-Xylene = 0.2%; o-Xylene = 0.057%</t>
  </si>
  <si>
    <t>Notes</t>
  </si>
  <si>
    <t>Pb</t>
  </si>
  <si>
    <t>Metal HAPs</t>
  </si>
  <si>
    <r>
      <t>Compound/TOC</t>
    </r>
    <r>
      <rPr>
        <i/>
        <vertAlign val="superscript"/>
        <sz val="10"/>
        <rFont val="Arial"/>
        <family val="2"/>
      </rPr>
      <t>1</t>
    </r>
  </si>
  <si>
    <r>
      <t>Compound/Organic PM</t>
    </r>
    <r>
      <rPr>
        <i/>
        <vertAlign val="superscript"/>
        <sz val="10"/>
        <rFont val="Arial"/>
        <family val="2"/>
      </rPr>
      <t xml:space="preserve">2 </t>
    </r>
  </si>
  <si>
    <r>
      <t>Compound/Organic PM</t>
    </r>
    <r>
      <rPr>
        <i/>
        <vertAlign val="superscript"/>
        <sz val="10"/>
        <rFont val="Arial"/>
        <family val="2"/>
      </rPr>
      <t>2</t>
    </r>
  </si>
  <si>
    <t>Minn. R. 7007.0300</t>
  </si>
  <si>
    <t xml:space="preserve">1) Begin with the first blue tab. </t>
  </si>
  <si>
    <t>3) The green tabs total all potential and actual emissions from the information entered on the blue tabs.</t>
  </si>
  <si>
    <t xml:space="preserve">5) You can use the blue tabs to calculate your actual emissions for the air emission inventory, a report due annually if you have an air permit. </t>
  </si>
  <si>
    <t>where a 0.5 percent loss-on-heating is expressed as “-0.5”</t>
  </si>
  <si>
    <t xml:space="preserve">Load out </t>
  </si>
  <si>
    <t>Silo Filling</t>
  </si>
  <si>
    <t>Total enclosure means an enclosure that completely surrounds emissions from an emissions unit such that all emissions are captured and discharged through ductwork to control equipment.</t>
  </si>
  <si>
    <t>Venturi scrubber is a control device in which the incoming gas stream passes through a venturi into which a low pressure liquid is introduced</t>
  </si>
  <si>
    <t>Fabric filter is a control device in which the incoming gas stream passes through a porous fabric filter forming a dust cake</t>
  </si>
  <si>
    <t>Certified hood conforms to the design and operating practices recommended in "Industrial Ventilation - A Manual of Recommended Practice, American Conference of Governmental Industrial Hygienists." This document is subject to frequent change.</t>
  </si>
  <si>
    <t xml:space="preserve">Hood is a shaped inlet to a pollution control system that does not totally surround emissions from an emissions unit, that is designed, used, and maintained to capture and discharge the air emissions through ductwork to control equipment, </t>
  </si>
  <si>
    <r>
      <rPr>
        <vertAlign val="superscript"/>
        <sz val="10"/>
        <color theme="1"/>
        <rFont val="Arial"/>
        <family val="2"/>
      </rPr>
      <t xml:space="preserve">1 </t>
    </r>
    <r>
      <rPr>
        <sz val="10"/>
        <color theme="1"/>
        <rFont val="Arial"/>
        <family val="2"/>
      </rPr>
      <t>Emission factor for compound is determined by multiplying the percentage presented for the compound by the emission factor for total organic compounds (TOC).</t>
    </r>
  </si>
  <si>
    <r>
      <rPr>
        <vertAlign val="superscript"/>
        <sz val="10"/>
        <color theme="1"/>
        <rFont val="Arial"/>
        <family val="2"/>
      </rPr>
      <t xml:space="preserve">2 </t>
    </r>
    <r>
      <rPr>
        <sz val="10"/>
        <color theme="1"/>
        <rFont val="Arial"/>
        <family val="2"/>
      </rPr>
      <t>Emission factor for compound is determined by multiplying the percentage presented for the compound by the emission factor for extractable organic particulate (organic PM).</t>
    </r>
  </si>
  <si>
    <t>Control descriptions</t>
  </si>
  <si>
    <r>
      <t>Federal NSPS applies?</t>
    </r>
    <r>
      <rPr>
        <b/>
        <vertAlign val="superscript"/>
        <sz val="10"/>
        <color theme="1"/>
        <rFont val="Arial"/>
        <family val="2"/>
      </rPr>
      <t>1</t>
    </r>
  </si>
  <si>
    <t>&lt;-------- The maximum throughput used on the hot mix asphalt tab for potential emissions is automatically entered here.</t>
  </si>
  <si>
    <t xml:space="preserve">&lt;-------- The actual amount of hot mix asphalt processed, which you entered into the hot mix asphalt tab, is used here. </t>
  </si>
  <si>
    <r>
      <rPr>
        <vertAlign val="superscript"/>
        <sz val="9"/>
        <rFont val="Arial"/>
        <family val="2"/>
      </rPr>
      <t xml:space="preserve">1 </t>
    </r>
    <r>
      <rPr>
        <sz val="9"/>
        <rFont val="Arial"/>
        <family val="2"/>
      </rPr>
      <t>Applicability of NSPS IIII or JJJJ does not indicate a need for a permit if your engine did not rely on performance testing
to demonstrate NSPS compliance and any compression ignition engines are less than 30 liters per cylinder.</t>
    </r>
  </si>
  <si>
    <r>
      <t>Emission Factor</t>
    </r>
    <r>
      <rPr>
        <b/>
        <vertAlign val="superscript"/>
        <sz val="10"/>
        <rFont val="Arial"/>
        <family val="2"/>
      </rPr>
      <t>1, 3</t>
    </r>
  </si>
  <si>
    <r>
      <t>Potential Emission Factor</t>
    </r>
    <r>
      <rPr>
        <b/>
        <vertAlign val="superscript"/>
        <sz val="10"/>
        <rFont val="Arial"/>
        <family val="2"/>
      </rPr>
      <t>3,5</t>
    </r>
  </si>
  <si>
    <r>
      <t>3</t>
    </r>
    <r>
      <rPr>
        <sz val="9"/>
        <rFont val="Arial"/>
        <family val="2"/>
      </rPr>
      <t xml:space="preserve"> Emission factor cells without content (blank orange cell) means no data provided in AP-42. </t>
    </r>
  </si>
  <si>
    <r>
      <rPr>
        <vertAlign val="superscript"/>
        <sz val="9"/>
        <rFont val="Arial"/>
        <family val="2"/>
      </rPr>
      <t xml:space="preserve">3 </t>
    </r>
    <r>
      <rPr>
        <sz val="9"/>
        <rFont val="Arial"/>
        <family val="2"/>
      </rPr>
      <t>See hot mix emission factors tab for references, Potential = uncontrolled; Emission factor cells without content (blank orange cell) for HAPs, Dioxins, and Furans means no data provided in AP-42.</t>
    </r>
  </si>
  <si>
    <t>The NSPS for nonmetallic mineral processors may apply</t>
  </si>
  <si>
    <t>All control equipment must be operated according to the manufactures' specifications</t>
  </si>
  <si>
    <t xml:space="preserve">A performance test for particulate matter and opacity are required for all hot mix asphalt plants. </t>
  </si>
  <si>
    <t>Facility information</t>
  </si>
  <si>
    <t>Performance testing</t>
  </si>
  <si>
    <r>
      <rPr>
        <vertAlign val="superscript"/>
        <sz val="9"/>
        <rFont val="Arial"/>
        <family val="2"/>
      </rPr>
      <t xml:space="preserve">4 </t>
    </r>
    <r>
      <rPr>
        <sz val="9"/>
        <rFont val="Arial"/>
        <family val="2"/>
      </rPr>
      <t>See information on insignificant activities at Minn. R. 7007.1300 and on the 'Permits &amp; Requirements' tab.</t>
    </r>
  </si>
  <si>
    <t>(c * e) / 2000</t>
  </si>
  <si>
    <t>This calculator was created by the Minnesota Pollution Control Agency's (MPCA) Small Business Environmental Assistance Program (SBEAP).</t>
  </si>
  <si>
    <t>Minn. R. 7011.0920</t>
  </si>
  <si>
    <t>Actual emissions</t>
  </si>
  <si>
    <t>Tons of HMA produced per 12 months</t>
  </si>
  <si>
    <t>Actual tons produced</t>
  </si>
  <si>
    <t>Must be an MPCA-approved performance test</t>
  </si>
  <si>
    <t>Facility name</t>
  </si>
  <si>
    <t>Enter performance test factors</t>
  </si>
  <si>
    <t>lb/ton      If you do not have an MPCA-approved PM10 factor then, use the same factor as PM.</t>
  </si>
  <si>
    <t>(c * f) / 2000</t>
  </si>
  <si>
    <t>Key information and tips.</t>
  </si>
  <si>
    <t>If you use a different type of control equipment, see Minn. R. 7011.0070</t>
  </si>
  <si>
    <r>
      <t>PM</t>
    </r>
    <r>
      <rPr>
        <vertAlign val="subscript"/>
        <sz val="10"/>
        <rFont val="Arial"/>
        <family val="2"/>
      </rPr>
      <t>10</t>
    </r>
    <r>
      <rPr>
        <sz val="10"/>
        <rFont val="Arial"/>
        <family val="2"/>
      </rPr>
      <t xml:space="preserve"> emission factor  = PM * 50%</t>
    </r>
  </si>
  <si>
    <t>EPA Control of open fugitive dust sources, Sept. 1988, Equation 4-9</t>
  </si>
  <si>
    <t>d = # days pile is active per year</t>
  </si>
  <si>
    <r>
      <t>Wind erosion emission factor reference</t>
    </r>
    <r>
      <rPr>
        <vertAlign val="superscript"/>
        <sz val="10"/>
        <color theme="1"/>
        <rFont val="Arial"/>
        <family val="2"/>
      </rPr>
      <t>8, 9</t>
    </r>
  </si>
  <si>
    <t>AP-42 13.2.5 Aerodynamic particle size multipliers for Equation 2</t>
  </si>
  <si>
    <r>
      <rPr>
        <vertAlign val="superscript"/>
        <sz val="9"/>
        <color theme="1"/>
        <rFont val="Arial"/>
        <family val="2"/>
      </rPr>
      <t>7</t>
    </r>
    <r>
      <rPr>
        <sz val="9"/>
        <color theme="1"/>
        <rFont val="Arial"/>
        <family val="2"/>
      </rPr>
      <t xml:space="preserve"> Wind erosion from continuously active piles:</t>
    </r>
  </si>
  <si>
    <r>
      <rPr>
        <vertAlign val="superscript"/>
        <sz val="9"/>
        <color theme="1"/>
        <rFont val="Arial"/>
        <family val="2"/>
      </rPr>
      <t xml:space="preserve">9 </t>
    </r>
    <r>
      <rPr>
        <sz val="9"/>
        <color theme="1"/>
        <rFont val="Arial"/>
        <family val="2"/>
      </rPr>
      <t>PM</t>
    </r>
    <r>
      <rPr>
        <vertAlign val="subscript"/>
        <sz val="9"/>
        <color theme="1"/>
        <rFont val="Arial"/>
        <family val="2"/>
      </rPr>
      <t>10</t>
    </r>
    <r>
      <rPr>
        <sz val="9"/>
        <color theme="1"/>
        <rFont val="Arial"/>
        <family val="2"/>
      </rPr>
      <t xml:space="preserve"> and PM</t>
    </r>
    <r>
      <rPr>
        <vertAlign val="subscript"/>
        <sz val="9"/>
        <color theme="1"/>
        <rFont val="Arial"/>
        <family val="2"/>
      </rPr>
      <t>2.5</t>
    </r>
    <r>
      <rPr>
        <sz val="9"/>
        <color theme="1"/>
        <rFont val="Arial"/>
        <family val="2"/>
      </rPr>
      <t xml:space="preserve"> fractions, updated Nov 2006:</t>
    </r>
  </si>
  <si>
    <t>AP-42 11.1-1</t>
  </si>
  <si>
    <t>AP-42 11.1-2</t>
  </si>
  <si>
    <t>AP-42 11.1-3</t>
  </si>
  <si>
    <t>AP-42 11.1-4</t>
  </si>
  <si>
    <t>AP-42 11.1-5</t>
  </si>
  <si>
    <t>Copper smelting</t>
  </si>
  <si>
    <t>Iron and steel production</t>
  </si>
  <si>
    <t>Sand and gravel processing</t>
  </si>
  <si>
    <t>Stone quarrying and processing</t>
  </si>
  <si>
    <t>Taconite mining and processing</t>
  </si>
  <si>
    <t>Western surface coal mining</t>
  </si>
  <si>
    <t>Construction sites</t>
  </si>
  <si>
    <t>Lumber sawmills</t>
  </si>
  <si>
    <t>Municipal solid waste landfills</t>
  </si>
  <si>
    <t>Disposal routes</t>
  </si>
  <si>
    <t>Log yards</t>
  </si>
  <si>
    <t>Scraper routes</t>
  </si>
  <si>
    <t>Haul road (freshly graded)</t>
  </si>
  <si>
    <t>Scraper route</t>
  </si>
  <si>
    <t>Plant road</t>
  </si>
  <si>
    <t>Haul road to/from pit</t>
  </si>
  <si>
    <t>Material storage area</t>
  </si>
  <si>
    <t>Silt Content (%)</t>
  </si>
  <si>
    <t>Mean Silt Content (%)</t>
  </si>
  <si>
    <t xml:space="preserve">Iron and steel production </t>
  </si>
  <si>
    <t>Coal-fired power plant</t>
  </si>
  <si>
    <t xml:space="preserve">Lump ore </t>
  </si>
  <si>
    <t xml:space="preserve">Coal </t>
  </si>
  <si>
    <t xml:space="preserve">Slag </t>
  </si>
  <si>
    <t xml:space="preserve">Flue dust </t>
  </si>
  <si>
    <t xml:space="preserve">Coke breeze </t>
  </si>
  <si>
    <t xml:space="preserve">Blended ore </t>
  </si>
  <si>
    <t xml:space="preserve">Sinter </t>
  </si>
  <si>
    <t xml:space="preserve">Limestone </t>
  </si>
  <si>
    <t xml:space="preserve">Tailings </t>
  </si>
  <si>
    <t xml:space="preserve">Pellet ore </t>
  </si>
  <si>
    <t>Crushed limestone</t>
  </si>
  <si>
    <t xml:space="preserve">Overburden </t>
  </si>
  <si>
    <t xml:space="preserve">Cover </t>
  </si>
  <si>
    <t xml:space="preserve">Fly ash </t>
  </si>
  <si>
    <t>Misc. fill materials</t>
  </si>
  <si>
    <t xml:space="preserve">Exposed ground </t>
  </si>
  <si>
    <t xml:space="preserve">Coal ( as received) </t>
  </si>
  <si>
    <t xml:space="preserve">Sand </t>
  </si>
  <si>
    <t>Industry</t>
  </si>
  <si>
    <t>Material</t>
  </si>
  <si>
    <t>Moisture Content (%)</t>
  </si>
  <si>
    <t>Various limestone products</t>
  </si>
  <si>
    <t xml:space="preserve">Pellets </t>
  </si>
  <si>
    <t>Clay</t>
  </si>
  <si>
    <t>Clay/dirt mix</t>
  </si>
  <si>
    <t>--</t>
  </si>
  <si>
    <t>Values are over a 5-year period</t>
  </si>
  <si>
    <t>Station</t>
  </si>
  <si>
    <t>City</t>
  </si>
  <si>
    <t>County</t>
  </si>
  <si>
    <t>State</t>
  </si>
  <si>
    <t>Percent of Hours Greater Than 12 mph</t>
  </si>
  <si>
    <t>KEST</t>
  </si>
  <si>
    <t>Estherville</t>
  </si>
  <si>
    <t>Emmet</t>
  </si>
  <si>
    <t>IA</t>
  </si>
  <si>
    <t>KRST</t>
  </si>
  <si>
    <t>Rochester</t>
  </si>
  <si>
    <t>Olmsted</t>
  </si>
  <si>
    <t>MN</t>
  </si>
  <si>
    <t>KMCW</t>
  </si>
  <si>
    <t>Mason City</t>
  </si>
  <si>
    <t>Cerro Gordo</t>
  </si>
  <si>
    <t>KFAR</t>
  </si>
  <si>
    <t>Fargo</t>
  </si>
  <si>
    <t>Cass</t>
  </si>
  <si>
    <t>KMML</t>
  </si>
  <si>
    <t>Marshall</t>
  </si>
  <si>
    <t>Lyon</t>
  </si>
  <si>
    <t>KGFK</t>
  </si>
  <si>
    <t>Grand Forks</t>
  </si>
  <si>
    <t>KAXN</t>
  </si>
  <si>
    <t>Alexandria</t>
  </si>
  <si>
    <t>Douglas</t>
  </si>
  <si>
    <t>KFSD</t>
  </si>
  <si>
    <t>Sioux Falls</t>
  </si>
  <si>
    <t>Minnehaha</t>
  </si>
  <si>
    <t>SD</t>
  </si>
  <si>
    <t>KDLH</t>
  </si>
  <si>
    <t>Duluth Intl</t>
  </si>
  <si>
    <t>Saint Louis</t>
  </si>
  <si>
    <t>KMKT</t>
  </si>
  <si>
    <t>Mankato</t>
  </si>
  <si>
    <t>Blue Earth</t>
  </si>
  <si>
    <t>KHCO</t>
  </si>
  <si>
    <t>Hallock</t>
  </si>
  <si>
    <t>Kittson</t>
  </si>
  <si>
    <t>KRWF</t>
  </si>
  <si>
    <t>Redwood Falls</t>
  </si>
  <si>
    <t>Redwood</t>
  </si>
  <si>
    <t>KMSP</t>
  </si>
  <si>
    <t>Minneapolis</t>
  </si>
  <si>
    <t>Hennepin</t>
  </si>
  <si>
    <t>KPKD</t>
  </si>
  <si>
    <t>Park Rapids</t>
  </si>
  <si>
    <t>Hubbard</t>
  </si>
  <si>
    <t>KSTP</t>
  </si>
  <si>
    <t>St Paul</t>
  </si>
  <si>
    <t>Ramsey</t>
  </si>
  <si>
    <t>KBDE</t>
  </si>
  <si>
    <t>Baudette</t>
  </si>
  <si>
    <t>Lake of the Woods</t>
  </si>
  <si>
    <t>KFCM</t>
  </si>
  <si>
    <t>Eden Prarie</t>
  </si>
  <si>
    <t>KSTC</t>
  </si>
  <si>
    <t>St Cloud</t>
  </si>
  <si>
    <t>Sherburne</t>
  </si>
  <si>
    <t>KLSE</t>
  </si>
  <si>
    <t>La Crosse</t>
  </si>
  <si>
    <t>WI</t>
  </si>
  <si>
    <t>KMIC</t>
  </si>
  <si>
    <t>Crystal</t>
  </si>
  <si>
    <t>KBRD</t>
  </si>
  <si>
    <t>Brainerd</t>
  </si>
  <si>
    <t>Crow Wing</t>
  </si>
  <si>
    <t>KHIB</t>
  </si>
  <si>
    <t>Hibbing</t>
  </si>
  <si>
    <t>KINL</t>
  </si>
  <si>
    <t>International Falls</t>
  </si>
  <si>
    <t>Koochiching</t>
  </si>
  <si>
    <r>
      <t>PM</t>
    </r>
    <r>
      <rPr>
        <vertAlign val="subscript"/>
        <sz val="10"/>
        <rFont val="Arial"/>
        <family val="2"/>
      </rPr>
      <t>2.5</t>
    </r>
    <r>
      <rPr>
        <sz val="10"/>
        <rFont val="Arial"/>
        <family val="2"/>
      </rPr>
      <t xml:space="preserve"> emission factor  = PM * 7.5%</t>
    </r>
  </si>
  <si>
    <t>AP-42 Table 13.2.2-1</t>
  </si>
  <si>
    <t>Road use</t>
  </si>
  <si>
    <t>Enter from Table</t>
  </si>
  <si>
    <t>See Table A</t>
  </si>
  <si>
    <r>
      <t>Enter site data</t>
    </r>
    <r>
      <rPr>
        <vertAlign val="superscript"/>
        <sz val="10"/>
        <color theme="1"/>
        <rFont val="Arial"/>
        <family val="2"/>
      </rPr>
      <t>9,10</t>
    </r>
  </si>
  <si>
    <r>
      <rPr>
        <vertAlign val="superscript"/>
        <sz val="9"/>
        <color theme="1"/>
        <rFont val="Arial"/>
        <family val="2"/>
      </rPr>
      <t>10</t>
    </r>
    <r>
      <rPr>
        <sz val="9"/>
        <color theme="1"/>
        <rFont val="Arial"/>
        <family val="2"/>
      </rPr>
      <t xml:space="preserve"> Default moisture content value of 0.5 percent in Equation 1b is discouraged and reduces emission factor quality by 2 letters.</t>
    </r>
  </si>
  <si>
    <t>See Table C</t>
  </si>
  <si>
    <t>See Table B</t>
  </si>
  <si>
    <t>See Table C or enter 43.1</t>
  </si>
  <si>
    <t>AP-42 Table 13.2.4-1</t>
  </si>
  <si>
    <t>Mean wind speed (mph) (2018-2022)</t>
  </si>
  <si>
    <t>References</t>
  </si>
  <si>
    <t>Fugitive emission totals</t>
  </si>
  <si>
    <t>Actual</t>
  </si>
  <si>
    <t>(ton/year)</t>
  </si>
  <si>
    <t>Total potential emissions</t>
  </si>
  <si>
    <r>
      <t xml:space="preserve">Total Actual Emissions </t>
    </r>
    <r>
      <rPr>
        <sz val="10"/>
        <rFont val="Arial"/>
        <family val="2"/>
      </rPr>
      <t>(ton/year)</t>
    </r>
  </si>
  <si>
    <t>https://www.epa.gov/stationary-engines/implementation-tools-nsps-compression-ignition-internal-combustion-engines</t>
  </si>
  <si>
    <t>https://www.epa.gov/stationary-engines/implementation-tools-neshap-reciprocating-internal-combustion-engines</t>
  </si>
  <si>
    <t>Application Forms, scroll to Registration section</t>
  </si>
  <si>
    <t>https://www.pca.state.mn.us/business-with-us/aggregate-sand-and-gravel</t>
  </si>
  <si>
    <t>https://www.pca.state.mn.us/business-with-us/hot-mix-asphalt</t>
  </si>
  <si>
    <t>https://www.pca.state.mn.us/business-with-us/hot-mix-asphalt-plants-complying-with-air-requirements</t>
  </si>
  <si>
    <t xml:space="preserve">A stack test usually has results for particulate matter (PM) and particulate matter less than 10 micrometers (PM10). </t>
  </si>
  <si>
    <t>Calculate emission factor from performance test result</t>
  </si>
  <si>
    <t>You will need to know the following from the emissions testing:</t>
  </si>
  <si>
    <t>A</t>
  </si>
  <si>
    <t>Emission test result (gr/dscf)</t>
  </si>
  <si>
    <t>B</t>
  </si>
  <si>
    <t>Volumetric flow rate during the test (dscf)</t>
  </si>
  <si>
    <t>C</t>
  </si>
  <si>
    <t>Average rate of material throughput from the three test runs (tons/hour)</t>
  </si>
  <si>
    <t>The equation to convert the stack test result from grains per dry standard cubic feet to pounds of pollutant per ton of material processed is:</t>
  </si>
  <si>
    <t>Remember to calcuate emission factors for PM and PM10.</t>
  </si>
  <si>
    <t xml:space="preserve">Enter your test values in the blue cells below for assistance in calculating the pollutant emission factor in lbs/ton. </t>
  </si>
  <si>
    <t>gr/dscf</t>
  </si>
  <si>
    <t>dscf</t>
  </si>
  <si>
    <t>ton/hr</t>
  </si>
  <si>
    <t>Volumetric flow rate</t>
  </si>
  <si>
    <t>Emission test result</t>
  </si>
  <si>
    <t>Material throughput</t>
  </si>
  <si>
    <t>(grains/dscf)</t>
  </si>
  <si>
    <t>x</t>
  </si>
  <si>
    <t>(dscf)</t>
  </si>
  <si>
    <t>Conversion</t>
  </si>
  <si>
    <t>(min/hr)</t>
  </si>
  <si>
    <t>(gr/dscf)</t>
  </si>
  <si>
    <t>/</t>
  </si>
  <si>
    <t>Average material rate</t>
  </si>
  <si>
    <t>=</t>
  </si>
  <si>
    <t>Result</t>
  </si>
  <si>
    <t>(C)</t>
  </si>
  <si>
    <t>(B)</t>
  </si>
  <si>
    <t>(A)</t>
  </si>
  <si>
    <r>
      <rPr>
        <b/>
        <sz val="12"/>
        <color theme="1"/>
        <rFont val="Arial"/>
        <family val="2"/>
      </rPr>
      <t>Table A.</t>
    </r>
    <r>
      <rPr>
        <b/>
        <sz val="11"/>
        <color theme="1"/>
        <rFont val="Arial"/>
        <family val="2"/>
      </rPr>
      <t xml:space="preserve"> Typical silt content values of surface material on industrial unpaved roads</t>
    </r>
  </si>
  <si>
    <r>
      <rPr>
        <b/>
        <sz val="12"/>
        <color theme="1"/>
        <rFont val="Arial"/>
        <family val="2"/>
      </rPr>
      <t>Table B</t>
    </r>
    <r>
      <rPr>
        <b/>
        <sz val="11"/>
        <color theme="1"/>
        <rFont val="Arial"/>
        <family val="2"/>
      </rPr>
      <t xml:space="preserve">. Typical silt and moisture contents of materials at various industries </t>
    </r>
  </si>
  <si>
    <r>
      <rPr>
        <b/>
        <sz val="12"/>
        <color theme="1"/>
        <rFont val="Arial"/>
        <family val="2"/>
      </rPr>
      <t>Table C</t>
    </r>
    <r>
      <rPr>
        <b/>
        <sz val="11"/>
        <color theme="1"/>
        <rFont val="Arial"/>
        <family val="2"/>
      </rPr>
      <t>. Wind erosion of ground pile</t>
    </r>
  </si>
  <si>
    <r>
      <rPr>
        <b/>
        <sz val="11"/>
        <rFont val="Arial"/>
        <family val="2"/>
      </rPr>
      <t>The need for a permit is based on your entire business' potential air emissions.</t>
    </r>
    <r>
      <rPr>
        <b/>
        <sz val="12"/>
        <color rgb="FF008EAA"/>
        <rFont val="Arial"/>
        <family val="2"/>
      </rPr>
      <t xml:space="preserve"> </t>
    </r>
    <r>
      <rPr>
        <sz val="10"/>
        <color theme="1"/>
        <rFont val="Arial"/>
        <family val="2"/>
      </rPr>
      <t>All activities that put pollutants into the air (such as paint and solvent use that are not associated with maintenance) need to be assessed if they are not included in this calculator. Once you identify if you need a permit, based on whether an NSPS applies and potential emissions, you can then use your actual emissions to see which permit is the best fit for your business.</t>
    </r>
  </si>
  <si>
    <r>
      <t>Content below is</t>
    </r>
    <r>
      <rPr>
        <b/>
        <strike/>
        <sz val="10"/>
        <color theme="1"/>
        <rFont val="Arial"/>
        <family val="2"/>
      </rPr>
      <t xml:space="preserve"> </t>
    </r>
    <r>
      <rPr>
        <b/>
        <sz val="10"/>
        <color theme="1"/>
        <rFont val="Arial"/>
        <family val="2"/>
      </rPr>
      <t xml:space="preserve">based on the information entered into this calculator and </t>
    </r>
    <r>
      <rPr>
        <b/>
        <u/>
        <sz val="10"/>
        <color rgb="FFFF0000"/>
        <rFont val="Arial"/>
        <family val="2"/>
      </rPr>
      <t>is not an official MPCA permit determination.</t>
    </r>
  </si>
  <si>
    <t>Hot mix asphalt
Air emissions calculator</t>
  </si>
  <si>
    <r>
      <t>Calculated</t>
    </r>
    <r>
      <rPr>
        <vertAlign val="superscript"/>
        <sz val="9"/>
        <rFont val="Arial"/>
        <family val="2"/>
      </rPr>
      <t>5</t>
    </r>
  </si>
  <si>
    <r>
      <t>RECIPROCATING Propane</t>
    </r>
    <r>
      <rPr>
        <b/>
        <vertAlign val="superscript"/>
        <sz val="9"/>
        <rFont val="Arial"/>
        <family val="2"/>
      </rPr>
      <t>3,4,5</t>
    </r>
    <r>
      <rPr>
        <b/>
        <sz val="9"/>
        <rFont val="Arial"/>
        <family val="2"/>
      </rPr>
      <t xml:space="preserve">
(lb/MMBtu)</t>
    </r>
  </si>
  <si>
    <r>
      <t>EPA/AIRS by SCC</t>
    </r>
    <r>
      <rPr>
        <vertAlign val="superscript"/>
        <sz val="9"/>
        <color theme="1"/>
        <rFont val="Arial"/>
        <family val="2"/>
      </rPr>
      <t>3,4</t>
    </r>
  </si>
  <si>
    <t xml:space="preserve">Propane criteria emission factors ARB "Instructions for the Emission Data System Review &amp; Update Report 8/91" referencing EPA/AIRS emission factors by source classification code. </t>
  </si>
  <si>
    <r>
      <t>SOx emission factor from AP-42 Section 1.5 Table 1.5-1 for propane. The SO2 emission factor is based on fuel sulfur content as 0.10S lb/1000 gal, where S is sulfur content of fuel in gr/100ft</t>
    </r>
    <r>
      <rPr>
        <vertAlign val="superscript"/>
        <sz val="9"/>
        <rFont val="Arial"/>
        <family val="2"/>
      </rPr>
      <t>3</t>
    </r>
    <r>
      <rPr>
        <sz val="9"/>
        <rFont val="Arial"/>
        <family val="2"/>
      </rPr>
      <t>. National average sulfur content</t>
    </r>
  </si>
  <si>
    <r>
      <t>of propane 0.54 gr/100ft</t>
    </r>
    <r>
      <rPr>
        <vertAlign val="superscript"/>
        <sz val="9"/>
        <rFont val="Arial"/>
        <family val="2"/>
      </rPr>
      <t>3</t>
    </r>
  </si>
  <si>
    <t>https://www3.epa.gov/ttnchie1/conference/ei12/area/haneke.pdf</t>
  </si>
  <si>
    <r>
      <t>Propane toxic emission factors were calculated from the natural gas toxic emission factors using the following formula: TEF</t>
    </r>
    <r>
      <rPr>
        <vertAlign val="subscript"/>
        <sz val="9"/>
        <color theme="1"/>
        <rFont val="Arial"/>
        <family val="2"/>
      </rPr>
      <t>P</t>
    </r>
    <r>
      <rPr>
        <sz val="9"/>
        <color theme="1"/>
        <rFont val="Arial"/>
        <family val="2"/>
      </rPr>
      <t xml:space="preserve"> = TEF</t>
    </r>
    <r>
      <rPr>
        <vertAlign val="subscript"/>
        <sz val="9"/>
        <color theme="1"/>
        <rFont val="Arial"/>
        <family val="2"/>
      </rPr>
      <t>NG</t>
    </r>
    <r>
      <rPr>
        <sz val="9"/>
        <color theme="1"/>
        <rFont val="Arial"/>
        <family val="2"/>
      </rPr>
      <t xml:space="preserve"> * HV</t>
    </r>
    <r>
      <rPr>
        <vertAlign val="subscript"/>
        <sz val="9"/>
        <color theme="1"/>
        <rFont val="Arial"/>
        <family val="2"/>
      </rPr>
      <t>P</t>
    </r>
    <r>
      <rPr>
        <sz val="9"/>
        <color theme="1"/>
        <rFont val="Arial"/>
        <family val="2"/>
      </rPr>
      <t>/HV</t>
    </r>
    <r>
      <rPr>
        <vertAlign val="subscript"/>
        <sz val="9"/>
        <color theme="1"/>
        <rFont val="Arial"/>
        <family val="2"/>
      </rPr>
      <t>NG</t>
    </r>
  </si>
  <si>
    <r>
      <t>TEF</t>
    </r>
    <r>
      <rPr>
        <vertAlign val="subscript"/>
        <sz val="9"/>
        <color theme="1"/>
        <rFont val="Arial"/>
        <family val="2"/>
      </rPr>
      <t>P</t>
    </r>
    <r>
      <rPr>
        <sz val="9"/>
        <color theme="1"/>
        <rFont val="Arial"/>
        <family val="2"/>
      </rPr>
      <t xml:space="preserve"> = Propane toxic emission factor; TEF</t>
    </r>
    <r>
      <rPr>
        <vertAlign val="subscript"/>
        <sz val="9"/>
        <color theme="1"/>
        <rFont val="Arial"/>
        <family val="2"/>
      </rPr>
      <t>NG</t>
    </r>
    <r>
      <rPr>
        <sz val="9"/>
        <color theme="1"/>
        <rFont val="Arial"/>
        <family val="2"/>
      </rPr>
      <t xml:space="preserve"> = Average of natural gas toxic emission factors; HV</t>
    </r>
    <r>
      <rPr>
        <vertAlign val="subscript"/>
        <sz val="9"/>
        <color theme="1"/>
        <rFont val="Arial"/>
        <family val="2"/>
      </rPr>
      <t>P</t>
    </r>
    <r>
      <rPr>
        <sz val="9"/>
        <color theme="1"/>
        <rFont val="Arial"/>
        <family val="2"/>
      </rPr>
      <t xml:space="preserve"> = Heating value for propane; HV</t>
    </r>
    <r>
      <rPr>
        <vertAlign val="subscript"/>
        <sz val="9"/>
        <color theme="1"/>
        <rFont val="Arial"/>
        <family val="2"/>
      </rPr>
      <t>NG</t>
    </r>
    <r>
      <rPr>
        <sz val="9"/>
        <color theme="1"/>
        <rFont val="Arial"/>
        <family val="2"/>
      </rPr>
      <t xml:space="preserve"> = Heating value for natural gas</t>
    </r>
  </si>
  <si>
    <r>
      <rPr>
        <b/>
        <sz val="9"/>
        <rFont val="Arial"/>
        <family val="2"/>
      </rPr>
      <t>CO</t>
    </r>
    <r>
      <rPr>
        <b/>
        <vertAlign val="subscript"/>
        <sz val="9"/>
        <rFont val="Arial"/>
        <family val="2"/>
      </rPr>
      <t xml:space="preserve">2 </t>
    </r>
    <r>
      <rPr>
        <b/>
        <sz val="9"/>
        <rFont val="Arial"/>
        <family val="2"/>
      </rPr>
      <t>Emission Factor</t>
    </r>
    <r>
      <rPr>
        <b/>
        <vertAlign val="superscript"/>
        <sz val="9"/>
        <rFont val="Arial"/>
        <family val="2"/>
      </rPr>
      <t>1</t>
    </r>
    <r>
      <rPr>
        <b/>
        <sz val="9"/>
        <rFont val="Arial"/>
        <family val="2"/>
      </rPr>
      <t xml:space="preserve">
</t>
    </r>
    <r>
      <rPr>
        <sz val="9"/>
        <rFont val="Arial"/>
        <family val="2"/>
      </rPr>
      <t>(lbs/million BTU)</t>
    </r>
  </si>
  <si>
    <r>
      <rPr>
        <b/>
        <sz val="9"/>
        <rFont val="Arial"/>
        <family val="2"/>
      </rPr>
      <t>CH</t>
    </r>
    <r>
      <rPr>
        <b/>
        <vertAlign val="subscript"/>
        <sz val="9"/>
        <rFont val="Arial"/>
        <family val="2"/>
      </rPr>
      <t>4</t>
    </r>
    <r>
      <rPr>
        <b/>
        <sz val="9"/>
        <rFont val="Arial"/>
        <family val="2"/>
      </rPr>
      <t xml:space="preserve"> Emission Factor</t>
    </r>
    <r>
      <rPr>
        <b/>
        <vertAlign val="superscript"/>
        <sz val="9"/>
        <rFont val="Arial"/>
        <family val="2"/>
      </rPr>
      <t>1</t>
    </r>
    <r>
      <rPr>
        <sz val="9"/>
        <rFont val="Arial"/>
        <family val="2"/>
      </rPr>
      <t xml:space="preserve">
(lbs/million BTU)</t>
    </r>
  </si>
  <si>
    <r>
      <rPr>
        <b/>
        <sz val="9"/>
        <rFont val="Arial"/>
        <family val="2"/>
      </rPr>
      <t>N</t>
    </r>
    <r>
      <rPr>
        <b/>
        <vertAlign val="subscript"/>
        <sz val="9"/>
        <rFont val="Arial"/>
        <family val="2"/>
      </rPr>
      <t>2</t>
    </r>
    <r>
      <rPr>
        <b/>
        <sz val="9"/>
        <rFont val="Arial"/>
        <family val="2"/>
      </rPr>
      <t>O Emission Factor</t>
    </r>
    <r>
      <rPr>
        <b/>
        <vertAlign val="superscript"/>
        <sz val="9"/>
        <rFont val="Arial"/>
        <family val="2"/>
      </rPr>
      <t>1</t>
    </r>
    <r>
      <rPr>
        <sz val="9"/>
        <rFont val="Arial"/>
        <family val="2"/>
      </rPr>
      <t xml:space="preserve">
(lbs/million BTU)</t>
    </r>
  </si>
  <si>
    <r>
      <t>Brake-specific fuel consumption</t>
    </r>
    <r>
      <rPr>
        <sz val="9"/>
        <color theme="1"/>
        <rFont val="Arial"/>
        <family val="2"/>
      </rPr>
      <t xml:space="preserve"> 
(btu/hp*hr)</t>
    </r>
    <r>
      <rPr>
        <vertAlign val="superscript"/>
        <sz val="9"/>
        <color indexed="8"/>
        <rFont val="Arial"/>
        <family val="2"/>
      </rPr>
      <t>2</t>
    </r>
  </si>
  <si>
    <r>
      <t>Heat value</t>
    </r>
    <r>
      <rPr>
        <b/>
        <vertAlign val="superscript"/>
        <sz val="9"/>
        <color theme="1"/>
        <rFont val="Arial"/>
        <family val="2"/>
      </rPr>
      <t>3</t>
    </r>
    <r>
      <rPr>
        <b/>
        <sz val="9"/>
        <color theme="1"/>
        <rFont val="Arial"/>
        <family val="2"/>
      </rPr>
      <t xml:space="preserve">
</t>
    </r>
    <r>
      <rPr>
        <sz val="9"/>
        <color theme="1"/>
        <rFont val="Arial"/>
        <family val="2"/>
      </rPr>
      <t>(Btu/scf)</t>
    </r>
  </si>
  <si>
    <r>
      <rPr>
        <b/>
        <sz val="9"/>
        <rFont val="Arial"/>
        <family val="2"/>
      </rPr>
      <t>Heat Value</t>
    </r>
    <r>
      <rPr>
        <b/>
        <vertAlign val="superscript"/>
        <sz val="9"/>
        <rFont val="Arial"/>
        <family val="2"/>
      </rPr>
      <t>3</t>
    </r>
    <r>
      <rPr>
        <b/>
        <sz val="9"/>
        <rFont val="Arial"/>
        <family val="2"/>
      </rPr>
      <t xml:space="preserve">
(</t>
    </r>
    <r>
      <rPr>
        <sz val="9"/>
        <rFont val="Arial"/>
        <family val="2"/>
      </rPr>
      <t>Btu/gal)</t>
    </r>
  </si>
  <si>
    <t>PROPANE</t>
  </si>
  <si>
    <t>Reciprocating - propane</t>
  </si>
  <si>
    <t>gallons/hr (gal/hr)</t>
  </si>
  <si>
    <t>Data Validation</t>
  </si>
  <si>
    <t>Engines</t>
  </si>
  <si>
    <t>Engine and Fuel Type</t>
  </si>
  <si>
    <t>Engine Use</t>
  </si>
  <si>
    <t>horsepower(HP) or brake power (HP-hr)</t>
  </si>
  <si>
    <t>standard cubic feet/hr (scf/hr)</t>
  </si>
  <si>
    <t>(MMBtu/hr)</t>
  </si>
  <si>
    <t>A permit is not required solely because a source is subject to one or more NSPS as listed in:</t>
  </si>
  <si>
    <t>**HAPS emission factors in AP42 are provided as fabric filter controlled. Assumption: volatile HAPS = no control; particulate HAPS = 97% control (from Pb emission factor difference). Emission factors used in spreadsheet assume no control.</t>
  </si>
  <si>
    <t>Particulate Control; MN Control equipment rule</t>
  </si>
  <si>
    <t>SCC 3-05-002-48</t>
  </si>
  <si>
    <t>SCC 3-05-002-54</t>
  </si>
  <si>
    <t>lb/1000gal</t>
  </si>
  <si>
    <t>MPCA EI</t>
  </si>
  <si>
    <t>lb/E6FT3</t>
  </si>
  <si>
    <t>How much fuel was burned per 12 months</t>
  </si>
  <si>
    <t>How much fuel can be burned per hour?</t>
  </si>
  <si>
    <t>Application Forms</t>
  </si>
  <si>
    <t>https://www.pca.state.mn.us/sites/default/files/aq-f3-rp07.docx</t>
  </si>
  <si>
    <t>https://www.pca.state.mn.us/sites/default/files/aq-f1-ec03.docx</t>
  </si>
  <si>
    <t xml:space="preserve">For each engine, complete one engine tab and include all information in the blue boxes. </t>
  </si>
  <si>
    <t>Engine designation</t>
  </si>
  <si>
    <t>Engine 1</t>
  </si>
  <si>
    <t>Date of manufacture</t>
  </si>
  <si>
    <t>located on nameplate</t>
  </si>
  <si>
    <t>Make</t>
  </si>
  <si>
    <t>Date installed</t>
  </si>
  <si>
    <t>at the site</t>
  </si>
  <si>
    <t>Model</t>
  </si>
  <si>
    <t>Displacement</t>
  </si>
  <si>
    <t>liters/cylinder</t>
  </si>
  <si>
    <t>Electrical output</t>
  </si>
  <si>
    <t>kW</t>
  </si>
  <si>
    <t>Diesel engine tier</t>
  </si>
  <si>
    <t>if known</t>
  </si>
  <si>
    <r>
      <t xml:space="preserve">Does this engine operate to do any of the following? Select yes or no for each. </t>
    </r>
    <r>
      <rPr>
        <sz val="10"/>
        <color theme="1"/>
        <rFont val="Arial"/>
        <family val="2"/>
      </rPr>
      <t>Go to the 'FAQs' tab for more information.</t>
    </r>
  </si>
  <si>
    <t>Supply power to electric grid in emergency situations (emergency demand response)</t>
  </si>
  <si>
    <t>Supply power to electric grid in non-emergency situations (peak shaving)</t>
  </si>
  <si>
    <t>Other financial arrangement</t>
  </si>
  <si>
    <t xml:space="preserve">Does a federal rule apply to this engine? </t>
  </si>
  <si>
    <t>U.S. Environmental Protection Agency (EPA) standards for reciprocating internal combustion engines (RICE)</t>
  </si>
  <si>
    <t>Applicability is determined separately for each engine. Each engine and any other air pollutant sources at your site will need to be evaluated for air emissions.</t>
  </si>
  <si>
    <t>Federal rules for engines</t>
  </si>
  <si>
    <t>Federal standards can determine whether you need a permit and what requirements you must follow. You may have to follow federal standard requirements in addition to state permit requirements. Below are some of the common federal standards that affect engines.</t>
  </si>
  <si>
    <t>Federal standards</t>
  </si>
  <si>
    <t>National emission standards for hazardous air pollutants (NESHAP)</t>
  </si>
  <si>
    <t>Purpose</t>
  </si>
  <si>
    <t>Prevent or reduce emissions that have health impacts.</t>
  </si>
  <si>
    <t>Requires new emission sources to be less polluting than older sources.</t>
  </si>
  <si>
    <t>Engine standard for</t>
  </si>
  <si>
    <t>Standards of Performance for Compression Ignition (diesel) Engines</t>
  </si>
  <si>
    <t xml:space="preserve">Standards of Performance for Spark Ignition (gaseous) Engines </t>
  </si>
  <si>
    <t>Regulation</t>
  </si>
  <si>
    <t>40 CFR 63, subp. ZZZZ
(NESHAP 4Z)</t>
  </si>
  <si>
    <t>40 CFR 60, subp. IIII
(NSPS 4I)</t>
  </si>
  <si>
    <t>40 CFR 60, subp. JJJJ
(NSPS 4J)</t>
  </si>
  <si>
    <t xml:space="preserve">Use these tools to help you! </t>
  </si>
  <si>
    <t>https://www.epa.gov/stationary-engines/implementation-tools-nsps-spark-ignition-internal-combustion-engines</t>
  </si>
  <si>
    <t>Tip</t>
  </si>
  <si>
    <t>At small air emission sources, this rule is for engines constructed prior to June 12, 2006.</t>
  </si>
  <si>
    <t>At small air emission sources, these rules are for engines constructed on or after June 12, 2006.</t>
  </si>
  <si>
    <t xml:space="preserve">See additional details at: </t>
  </si>
  <si>
    <t>Frequently asked questions</t>
  </si>
  <si>
    <t>What is a stationary internal combustion engine?</t>
  </si>
  <si>
    <t>Stationary ICE include reciprocating ICE, rotary ICE, and other ICE, except combustion turbines.</t>
  </si>
  <si>
    <t>Is my engine considered mobile or stationary?</t>
  </si>
  <si>
    <t xml:space="preserve">Stationary internal combustion engine differs from a mobile internal combustion engine in that a stationary internal combustion engine is not a nonroad engine and is not used to propel a motor vehicle, aircraft, or a vehicle used solely for competition. </t>
  </si>
  <si>
    <t>What is a nonroad engine?</t>
  </si>
  <si>
    <t>A nonroad engine is (or will be) used in or on a piece of equipment that is:</t>
  </si>
  <si>
    <t>Self-propelled or serves a dual purpose by both propelling itself and performing another function (such as garden tractors, off-highway mobile cranes and bulldozers).</t>
  </si>
  <si>
    <t>Intended to be propelled while performing its function (such as lawnmowers and string trimmers).</t>
  </si>
  <si>
    <t>By itself or in or on a piece of equipment, it is portable or transportable, meaning designed to be and capable of being carried or moved from one location to another. Indicia of transportability include, but are not limited to, wheels, skids, carrying handles, dolly, trailer, or platform.</t>
  </si>
  <si>
    <t>An internal combustion engine is NOT a nonroad engine if it remains (or will remain) at a location for more than 12 consecutive months or a shorter period of time for an engine located at a seasonal source.</t>
  </si>
  <si>
    <t>For any engine (or engines) that replaces an engine at a location and that is intended to perform the same or similar function as the engine replaced, include the time period of both engines in calculating the consecutive time period.</t>
  </si>
  <si>
    <t xml:space="preserve">A seasonal source is a stationary source that remains in a single location on a permanent basis (i.e., at least two years) and that operates at that single location approximately three months (or more) each year. </t>
  </si>
  <si>
    <t>Am I peak shaving?</t>
  </si>
  <si>
    <r>
      <t>A peaking unit or engine</t>
    </r>
    <r>
      <rPr>
        <sz val="10"/>
        <color rgb="FF000000"/>
        <rFont val="Arial"/>
        <family val="2"/>
      </rPr>
      <t> means any standby engine intended for use during periods of high demand that are not emergencies.</t>
    </r>
  </si>
  <si>
    <t>Do I have an emergency engine?</t>
  </si>
  <si>
    <t>An emergency engine is operated to provide electrical power or mechanical work during an emergency situation.</t>
  </si>
  <si>
    <t>Examples:</t>
  </si>
  <si>
    <t>Used to produce power for critical networks or equipment (including power supplied to portions of a facility) when electric power from the local utility (or the normal power source, if the facility runs on its own power production) is interrupted, or stationary ICE used to pump water in the case of fire or flood, etc.</t>
  </si>
  <si>
    <t>Time limits:</t>
  </si>
  <si>
    <t>1.</t>
  </si>
  <si>
    <t>There is no time limit on the use of emergency stationary RICE in emergency situations.</t>
  </si>
  <si>
    <t>2.</t>
  </si>
  <si>
    <t>Up to 100 hours per year may be used for:</t>
  </si>
  <si>
    <t xml:space="preserve">Maintenance and testing
</t>
  </si>
  <si>
    <t>Emergency stationary RICE may be operated for maintenance checks and readiness testing, provided that the tests are recommended by federal, state or local government, the manufacturer, the vendor, the regional transmission organization or equivalent balancing authority and transmission operator, or the insurance company associated with the engine. The owner or operator may petition the Administrator for approval of additional hours to be used for maintenance checks and readiness testing, but a petition is not required if the owner or operator maintains records indicating that federal, state, or local standards require maintenance and testing of emergency RICE beyond 100 hours per calendar year.</t>
  </si>
  <si>
    <t>3.</t>
  </si>
  <si>
    <t>Up to 50 hours of the total 100 hours per calendar year may be used for non-emergency situations, as described below.</t>
  </si>
  <si>
    <t>At major sources of HAPs</t>
  </si>
  <si>
    <r>
      <t xml:space="preserve">The 50 hours per year for non-emergency situations </t>
    </r>
    <r>
      <rPr>
        <b/>
        <sz val="10"/>
        <color theme="1"/>
        <rFont val="Arial"/>
        <family val="2"/>
      </rPr>
      <t>cannot</t>
    </r>
    <r>
      <rPr>
        <sz val="10"/>
        <color theme="1"/>
        <rFont val="Arial"/>
        <family val="2"/>
      </rPr>
      <t xml:space="preserve"> be used for peak shaving or non-emergency demand response, or to generate income for a facility to an electric grid or otherwise supply power as part of a financial arrangement with another entity.</t>
    </r>
  </si>
  <si>
    <t>At area sources of HAPs</t>
  </si>
  <si>
    <r>
      <t xml:space="preserve">The 50 hours per year for non-emergency situations </t>
    </r>
    <r>
      <rPr>
        <b/>
        <sz val="10"/>
        <color theme="1"/>
        <rFont val="Arial"/>
        <family val="2"/>
      </rPr>
      <t>can be used</t>
    </r>
    <r>
      <rPr>
        <sz val="10"/>
        <color theme="1"/>
        <rFont val="Arial"/>
        <family val="2"/>
      </rPr>
      <t xml:space="preserve"> to supply power as part of a financial arrangement with another entity if all of the following conditions are met:</t>
    </r>
  </si>
  <si>
    <t>The engine is dispatched by the local balancing authority or local transmission and distribution system operator.</t>
  </si>
  <si>
    <t>The dispatch is intended to mitigate local transmission and/or distribution limitations so as to avert potential voltage collapse or line overloads that could lead to the interruption of power supply in a local area or region.</t>
  </si>
  <si>
    <t>The dispatch follows reliability, emergency operation or similar protocols that follow specific NERC, regional, state, public utility commission or local standards or guidelines.</t>
  </si>
  <si>
    <t>The power is provided only to the facility itself or to support the local transmission and distribution system.</t>
  </si>
  <si>
    <t>The owner or operator identifies and records the entity that dispatches the engine and the specific NERC, regional, state, public utility commission or local standards or guidelines that are being followed for dispatching the engine. The local balancing authority or local transmission and distribution system operator may keep these records on behalf of the engine owner or operator.</t>
  </si>
  <si>
    <t>To help understand if the rule applies, go to the "Generator" tab</t>
  </si>
  <si>
    <t>A NESHAP that may apply to your engine or generator is for:</t>
  </si>
  <si>
    <t>Calculate the potential and actual air emissions from this engine</t>
  </si>
  <si>
    <t xml:space="preserve">Need help? Use EPA's Regulation Navigation tools for assistance. </t>
  </si>
  <si>
    <t>The two NSPSs that may apply to your engine or generator are:</t>
  </si>
  <si>
    <t>p-sbap5-20  •  7/28/2025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</si>
</sst>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43" formatCode="_(* #,##0.00_);_(* \(#,##0.00\);_(* &quot;-&quot;??_);_(@_)"/>
    <numFmt numFmtId="164" formatCode="0.0000000000"/>
    <numFmt numFmtId="165" formatCode="#,##0.000"/>
    <numFmt numFmtId="166" formatCode="#,##0.00000000"/>
    <numFmt numFmtId="167" formatCode="0.0000"/>
    <numFmt numFmtId="168" formatCode="0.0000000"/>
    <numFmt numFmtId="169" formatCode="0.0"/>
    <numFmt numFmtId="170" formatCode="0.00000000000"/>
    <numFmt numFmtId="171" formatCode="0.000000000000"/>
    <numFmt numFmtId="172" formatCode="0.0000%"/>
    <numFmt numFmtId="173" formatCode="00000"/>
    <numFmt numFmtId="174" formatCode="0.000000"/>
    <numFmt numFmtId="175" formatCode="0.00000"/>
    <numFmt numFmtId="176" formatCode="0.000"/>
    <numFmt numFmtId="177" formatCode="0.0%"/>
    <numFmt numFmtId="178" formatCode="0.000%"/>
    <numFmt numFmtId="179" formatCode="0.00000%"/>
    <numFmt numFmtId="180" formatCode="0.00000000"/>
  </numFmts>
  <fonts count="96" x14ac:knownFonts="1">
    <font>
      <sz val="11"/>
      <color theme="1"/>
      <name val="Calibri"/>
      <family val="2"/>
      <scheme val="minor"/>
    </font>
    <font>
      <sz val="11"/>
      <color theme="1"/>
      <name val="Calibri"/>
      <family val="2"/>
      <scheme val="minor"/>
    </font>
    <font>
      <b/>
      <sz val="22"/>
      <color theme="1"/>
      <name val="Calibri"/>
      <family val="2"/>
      <scheme val="minor"/>
    </font>
    <font>
      <b/>
      <sz val="16"/>
      <color rgb="FF7F7F7F"/>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u/>
      <sz val="11"/>
      <color theme="10"/>
      <name val="Calibri"/>
      <family val="2"/>
      <scheme val="minor"/>
    </font>
    <font>
      <sz val="10"/>
      <color theme="1"/>
      <name val="Calibri"/>
      <family val="2"/>
      <scheme val="minor"/>
    </font>
    <font>
      <b/>
      <sz val="11"/>
      <color rgb="FF008EAA"/>
      <name val="Calibri"/>
      <family val="2"/>
      <scheme val="minor"/>
    </font>
    <font>
      <sz val="9"/>
      <name val="Calibri"/>
      <family val="2"/>
      <scheme val="minor"/>
    </font>
    <font>
      <sz val="9"/>
      <color theme="1"/>
      <name val="Calibri"/>
      <family val="2"/>
      <scheme val="minor"/>
    </font>
    <font>
      <u/>
      <sz val="9"/>
      <color theme="10"/>
      <name val="Calibri"/>
      <family val="2"/>
      <scheme val="minor"/>
    </font>
    <font>
      <sz val="10"/>
      <name val="Arial"/>
      <family val="2"/>
    </font>
    <font>
      <b/>
      <sz val="14"/>
      <name val="Calibri"/>
      <family val="2"/>
      <scheme val="minor"/>
    </font>
    <font>
      <sz val="11"/>
      <color rgb="FF006100"/>
      <name val="Calibri"/>
      <family val="2"/>
      <scheme val="minor"/>
    </font>
    <font>
      <i/>
      <sz val="11"/>
      <color rgb="FF7F7F7F"/>
      <name val="Calibri"/>
      <family val="2"/>
      <scheme val="minor"/>
    </font>
    <font>
      <sz val="10"/>
      <color indexed="8"/>
      <name val="Arial"/>
      <family val="2"/>
    </font>
    <font>
      <vertAlign val="superscript"/>
      <sz val="10"/>
      <name val="Arial"/>
      <family val="2"/>
    </font>
    <font>
      <u/>
      <sz val="9"/>
      <color theme="4" tint="-0.24994659260841701"/>
      <name val="Calibri"/>
      <family val="2"/>
      <scheme val="minor"/>
    </font>
    <font>
      <sz val="20"/>
      <color theme="1"/>
      <name val="Calibri"/>
      <family val="2"/>
      <scheme val="minor"/>
    </font>
    <font>
      <i/>
      <sz val="10"/>
      <color theme="1"/>
      <name val="Arial"/>
      <family val="2"/>
    </font>
    <font>
      <sz val="10"/>
      <color theme="1"/>
      <name val="Arial"/>
      <family val="2"/>
    </font>
    <font>
      <b/>
      <sz val="10"/>
      <color rgb="FF008EAA"/>
      <name val="Arial"/>
      <family val="2"/>
    </font>
    <font>
      <b/>
      <sz val="10"/>
      <color theme="1"/>
      <name val="Arial"/>
      <family val="2"/>
    </font>
    <font>
      <b/>
      <sz val="10"/>
      <name val="Arial"/>
      <family val="2"/>
    </font>
    <font>
      <b/>
      <sz val="11"/>
      <color theme="1"/>
      <name val="Arial"/>
      <family val="2"/>
    </font>
    <font>
      <sz val="11"/>
      <color theme="1"/>
      <name val="Arial"/>
      <family val="2"/>
    </font>
    <font>
      <u/>
      <sz val="11"/>
      <color theme="10"/>
      <name val="Arial"/>
      <family val="2"/>
    </font>
    <font>
      <u/>
      <sz val="9"/>
      <color theme="10"/>
      <name val="Arial"/>
      <family val="2"/>
    </font>
    <font>
      <u/>
      <sz val="10"/>
      <color theme="10"/>
      <name val="Arial"/>
      <family val="2"/>
    </font>
    <font>
      <sz val="10"/>
      <color rgb="FF008EAA"/>
      <name val="Arial"/>
      <family val="2"/>
    </font>
    <font>
      <b/>
      <sz val="11"/>
      <name val="Arial"/>
      <family val="2"/>
    </font>
    <font>
      <i/>
      <sz val="10"/>
      <name val="Arial"/>
      <family val="2"/>
    </font>
    <font>
      <sz val="8"/>
      <name val="Arial"/>
      <family val="2"/>
    </font>
    <font>
      <sz val="9"/>
      <name val="Arial"/>
      <family val="2"/>
    </font>
    <font>
      <sz val="11"/>
      <name val="Arial"/>
      <family val="2"/>
    </font>
    <font>
      <vertAlign val="superscript"/>
      <sz val="9"/>
      <name val="Arial"/>
      <family val="2"/>
    </font>
    <font>
      <vertAlign val="subscript"/>
      <sz val="9"/>
      <name val="Arial"/>
      <family val="2"/>
    </font>
    <font>
      <sz val="9"/>
      <color theme="1"/>
      <name val="Arial"/>
      <family val="2"/>
    </font>
    <font>
      <b/>
      <vertAlign val="superscript"/>
      <sz val="10"/>
      <name val="Arial"/>
      <family val="2"/>
    </font>
    <font>
      <b/>
      <vertAlign val="superscript"/>
      <sz val="10"/>
      <color theme="1"/>
      <name val="Arial"/>
      <family val="2"/>
    </font>
    <font>
      <vertAlign val="subscript"/>
      <sz val="10"/>
      <name val="Arial"/>
      <family val="2"/>
    </font>
    <font>
      <i/>
      <sz val="8"/>
      <name val="Arial"/>
      <family val="2"/>
    </font>
    <font>
      <sz val="9"/>
      <color theme="0"/>
      <name val="Arial"/>
      <family val="2"/>
    </font>
    <font>
      <sz val="10"/>
      <color rgb="FFFF0000"/>
      <name val="Arial"/>
      <family val="2"/>
    </font>
    <font>
      <b/>
      <vertAlign val="superscript"/>
      <sz val="11"/>
      <color theme="1"/>
      <name val="Arial"/>
      <family val="2"/>
    </font>
    <font>
      <vertAlign val="superscript"/>
      <sz val="10"/>
      <color theme="1"/>
      <name val="Arial"/>
      <family val="2"/>
    </font>
    <font>
      <vertAlign val="superscript"/>
      <sz val="9"/>
      <color theme="1"/>
      <name val="Arial"/>
      <family val="2"/>
    </font>
    <font>
      <u/>
      <sz val="9"/>
      <color theme="4" tint="-0.24994659260841701"/>
      <name val="Arial"/>
      <family val="2"/>
    </font>
    <font>
      <b/>
      <sz val="12"/>
      <color theme="1"/>
      <name val="Arial"/>
      <family val="2"/>
    </font>
    <font>
      <b/>
      <vertAlign val="superscript"/>
      <sz val="12"/>
      <color theme="1"/>
      <name val="Arial"/>
      <family val="2"/>
    </font>
    <font>
      <sz val="8"/>
      <color theme="1"/>
      <name val="Arial"/>
      <family val="2"/>
    </font>
    <font>
      <vertAlign val="subscript"/>
      <sz val="10"/>
      <color theme="1"/>
      <name val="Arial"/>
      <family val="2"/>
    </font>
    <font>
      <sz val="14"/>
      <color theme="1"/>
      <name val="Calibri"/>
      <family val="2"/>
      <scheme val="minor"/>
    </font>
    <font>
      <u/>
      <sz val="8"/>
      <color theme="10"/>
      <name val="Arial"/>
      <family val="2"/>
    </font>
    <font>
      <sz val="11"/>
      <color rgb="FFFF0000"/>
      <name val="Arial"/>
      <family val="2"/>
    </font>
    <font>
      <b/>
      <sz val="14"/>
      <color rgb="FF000000"/>
      <name val="Calibri"/>
      <family val="2"/>
    </font>
    <font>
      <sz val="10"/>
      <color rgb="FF000000"/>
      <name val="Arial"/>
      <family val="2"/>
    </font>
    <font>
      <sz val="9"/>
      <color rgb="FF000000"/>
      <name val="Arial"/>
      <family val="2"/>
    </font>
    <font>
      <sz val="10"/>
      <color theme="4" tint="-0.499984740745262"/>
      <name val="Arial"/>
      <family val="2"/>
    </font>
    <font>
      <i/>
      <sz val="9"/>
      <name val="Arial"/>
      <family val="2"/>
    </font>
    <font>
      <u/>
      <sz val="9"/>
      <color rgb="FF0000FF"/>
      <name val="Arial"/>
      <family val="2"/>
    </font>
    <font>
      <sz val="10"/>
      <color rgb="FF333333"/>
      <name val="Arial"/>
      <family val="2"/>
    </font>
    <font>
      <sz val="10"/>
      <color rgb="FF44546A"/>
      <name val="Arial"/>
      <family val="2"/>
    </font>
    <font>
      <u/>
      <sz val="10"/>
      <color rgb="FF0000FF"/>
      <name val="Arial"/>
      <family val="2"/>
    </font>
    <font>
      <b/>
      <sz val="10"/>
      <color rgb="FFFF0000"/>
      <name val="Arial"/>
      <family val="2"/>
    </font>
    <font>
      <b/>
      <sz val="9"/>
      <name val="Arial"/>
      <family val="2"/>
    </font>
    <font>
      <b/>
      <vertAlign val="superscript"/>
      <sz val="9"/>
      <name val="Arial"/>
      <family val="2"/>
    </font>
    <font>
      <i/>
      <sz val="9"/>
      <color rgb="FF0000FF"/>
      <name val="Arial"/>
      <family val="2"/>
    </font>
    <font>
      <sz val="9"/>
      <color rgb="FF0000FF"/>
      <name val="Arial"/>
      <family val="2"/>
    </font>
    <font>
      <b/>
      <sz val="9"/>
      <color theme="1"/>
      <name val="Arial"/>
      <family val="2"/>
    </font>
    <font>
      <b/>
      <vertAlign val="subscript"/>
      <sz val="9"/>
      <name val="Arial"/>
      <family val="2"/>
    </font>
    <font>
      <vertAlign val="superscript"/>
      <sz val="9"/>
      <color indexed="8"/>
      <name val="Arial"/>
      <family val="2"/>
    </font>
    <font>
      <sz val="9"/>
      <color indexed="8"/>
      <name val="Arial"/>
      <family val="2"/>
    </font>
    <font>
      <sz val="7"/>
      <color indexed="81"/>
      <name val="Arial"/>
      <family val="2"/>
    </font>
    <font>
      <sz val="10"/>
      <color rgb="FF212529"/>
      <name val="Arial"/>
      <family val="2"/>
    </font>
    <font>
      <sz val="8"/>
      <color indexed="81"/>
      <name val="Tahoma"/>
      <family val="2"/>
    </font>
    <font>
      <u/>
      <vertAlign val="superscript"/>
      <sz val="9"/>
      <color rgb="FF0000FF"/>
      <name val="Arial"/>
      <family val="2"/>
    </font>
    <font>
      <b/>
      <sz val="12"/>
      <color rgb="FF008EAA"/>
      <name val="Arial"/>
      <family val="2"/>
    </font>
    <font>
      <u/>
      <sz val="9"/>
      <color rgb="FF2F75B5"/>
      <name val="Arial"/>
      <family val="2"/>
    </font>
    <font>
      <sz val="9"/>
      <color indexed="81"/>
      <name val="Tahoma"/>
      <family val="2"/>
    </font>
    <font>
      <b/>
      <strike/>
      <sz val="10"/>
      <color theme="1"/>
      <name val="Arial"/>
      <family val="2"/>
    </font>
    <font>
      <i/>
      <vertAlign val="superscript"/>
      <sz val="10"/>
      <name val="Arial"/>
      <family val="2"/>
    </font>
    <font>
      <sz val="10"/>
      <color rgb="FF0070C0"/>
      <name val="Arial"/>
      <family val="2"/>
    </font>
    <font>
      <i/>
      <sz val="8"/>
      <color rgb="FF008EAA"/>
      <name val="Arial"/>
      <family val="2"/>
    </font>
    <font>
      <u/>
      <sz val="8"/>
      <color rgb="FF0000FF"/>
      <name val="Arial"/>
      <family val="2"/>
    </font>
    <font>
      <vertAlign val="subscript"/>
      <sz val="9"/>
      <color theme="1"/>
      <name val="Arial"/>
      <family val="2"/>
    </font>
    <font>
      <b/>
      <sz val="11"/>
      <color theme="1"/>
      <name val="Calibri"/>
      <family val="2"/>
      <scheme val="minor"/>
    </font>
    <font>
      <b/>
      <u/>
      <sz val="10"/>
      <color rgb="FFFF0000"/>
      <name val="Arial"/>
      <family val="2"/>
    </font>
    <font>
      <b/>
      <sz val="11"/>
      <color rgb="FF008EAA"/>
      <name val="Arial"/>
      <family val="2"/>
    </font>
    <font>
      <sz val="8"/>
      <color indexed="81"/>
      <name val="Arial"/>
      <family val="2"/>
    </font>
    <font>
      <b/>
      <vertAlign val="superscript"/>
      <sz val="9"/>
      <color theme="1"/>
      <name val="Arial"/>
      <family val="2"/>
    </font>
    <font>
      <b/>
      <sz val="14"/>
      <name val="Arial"/>
      <family val="2"/>
    </font>
    <font>
      <sz val="10"/>
      <color indexed="41"/>
      <name val="Arial"/>
      <family val="2"/>
    </font>
    <font>
      <sz val="8"/>
      <name val="Calibri"/>
      <family val="2"/>
      <scheme val="minor"/>
    </font>
  </fonts>
  <fills count="12">
    <fill>
      <patternFill patternType="none"/>
    </fill>
    <fill>
      <patternFill patternType="gray125"/>
    </fill>
    <fill>
      <patternFill patternType="solid">
        <fgColor rgb="FFD1EAFF"/>
        <bgColor indexed="64"/>
      </patternFill>
    </fill>
    <fill>
      <patternFill patternType="solid">
        <fgColor rgb="FFFFEDC1"/>
        <bgColor indexed="64"/>
      </patternFill>
    </fill>
    <fill>
      <patternFill patternType="solid">
        <fgColor rgb="FFEAF8D8"/>
        <bgColor indexed="64"/>
      </patternFill>
    </fill>
    <fill>
      <patternFill patternType="solid">
        <fgColor rgb="FFFFFFCC"/>
        <bgColor indexed="64"/>
      </patternFill>
    </fill>
    <fill>
      <patternFill patternType="solid">
        <fgColor indexed="9"/>
        <bgColor indexed="64"/>
      </patternFill>
    </fill>
    <fill>
      <patternFill patternType="solid">
        <fgColor rgb="FFC6EFCE"/>
      </patternFill>
    </fill>
    <fill>
      <patternFill patternType="solid">
        <fgColor rgb="FFFFEDC1"/>
        <bgColor rgb="FF000000"/>
      </patternFill>
    </fill>
    <fill>
      <patternFill patternType="solid">
        <fgColor theme="7" tint="0.39997558519241921"/>
        <bgColor indexed="65"/>
      </patternFill>
    </fill>
    <fill>
      <patternFill patternType="solid">
        <fgColor theme="0" tint="-0.14999847407452621"/>
        <bgColor indexed="64"/>
      </patternFill>
    </fill>
    <fill>
      <patternFill patternType="solid">
        <fgColor theme="7" tint="0.79998168889431442"/>
        <bgColor indexed="64"/>
      </patternFill>
    </fill>
  </fills>
  <borders count="8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dotted">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diagonal/>
    </border>
    <border>
      <left style="thin">
        <color indexed="64"/>
      </left>
      <right/>
      <top/>
      <bottom style="dotted">
        <color indexed="64"/>
      </bottom>
      <diagonal/>
    </border>
    <border>
      <left style="thin">
        <color indexed="64"/>
      </left>
      <right/>
      <top style="medium">
        <color indexed="64"/>
      </top>
      <bottom style="thin">
        <color indexed="64"/>
      </bottom>
      <diagonal/>
    </border>
    <border>
      <left style="thin">
        <color rgb="FF008EAA"/>
      </left>
      <right/>
      <top style="thin">
        <color rgb="FF008EAA"/>
      </top>
      <bottom/>
      <diagonal/>
    </border>
    <border>
      <left/>
      <right/>
      <top style="thin">
        <color rgb="FF008EAA"/>
      </top>
      <bottom/>
      <diagonal/>
    </border>
    <border>
      <left/>
      <right style="thin">
        <color rgb="FF008EAA"/>
      </right>
      <top style="thin">
        <color rgb="FF008EAA"/>
      </top>
      <bottom/>
      <diagonal/>
    </border>
    <border>
      <left style="thin">
        <color rgb="FF008EAA"/>
      </left>
      <right/>
      <top/>
      <bottom/>
      <diagonal/>
    </border>
    <border>
      <left/>
      <right style="thin">
        <color rgb="FF008EAA"/>
      </right>
      <top/>
      <bottom/>
      <diagonal/>
    </border>
    <border>
      <left style="thin">
        <color rgb="FF008EAA"/>
      </left>
      <right/>
      <top/>
      <bottom style="thin">
        <color rgb="FF008EAA"/>
      </bottom>
      <diagonal/>
    </border>
    <border>
      <left/>
      <right/>
      <top/>
      <bottom style="thin">
        <color rgb="FF008EAA"/>
      </bottom>
      <diagonal/>
    </border>
    <border>
      <left/>
      <right style="thin">
        <color rgb="FF008EAA"/>
      </right>
      <top/>
      <bottom style="thin">
        <color rgb="FF008EAA"/>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right/>
      <top style="dotted">
        <color theme="0" tint="-0.34998626667073579"/>
      </top>
      <bottom style="dotted">
        <color theme="0" tint="-0.34998626667073579"/>
      </bottom>
      <diagonal/>
    </border>
    <border>
      <left/>
      <right style="thin">
        <color indexed="64"/>
      </right>
      <top style="dotted">
        <color theme="0" tint="-0.34998626667073579"/>
      </top>
      <bottom style="dotted">
        <color theme="0" tint="-0.34998626667073579"/>
      </bottom>
      <diagonal/>
    </border>
    <border>
      <left/>
      <right/>
      <top style="dotted">
        <color theme="0" tint="-0.34998626667073579"/>
      </top>
      <bottom/>
      <diagonal/>
    </border>
    <border>
      <left/>
      <right style="thin">
        <color indexed="64"/>
      </right>
      <top style="dotted">
        <color theme="0" tint="-0.34998626667073579"/>
      </top>
      <bottom/>
      <diagonal/>
    </border>
    <border>
      <left/>
      <right/>
      <top/>
      <bottom style="dotted">
        <color theme="0" tint="-0.34998626667073579"/>
      </bottom>
      <diagonal/>
    </border>
    <border>
      <left/>
      <right style="thin">
        <color indexed="64"/>
      </right>
      <top/>
      <bottom style="dotted">
        <color theme="0" tint="-0.34998626667073579"/>
      </bottom>
      <diagonal/>
    </border>
    <border>
      <left style="thin">
        <color indexed="64"/>
      </left>
      <right/>
      <top style="dotted">
        <color theme="0" tint="-0.34998626667073579"/>
      </top>
      <bottom/>
      <diagonal/>
    </border>
    <border>
      <left style="thin">
        <color indexed="64"/>
      </left>
      <right/>
      <top/>
      <bottom style="dotted">
        <color theme="0" tint="-0.34998626667073579"/>
      </bottom>
      <diagonal/>
    </border>
    <border>
      <left style="thin">
        <color indexed="64"/>
      </left>
      <right style="thin">
        <color indexed="64"/>
      </right>
      <top style="medium">
        <color indexed="64"/>
      </top>
      <bottom style="thin">
        <color indexed="64"/>
      </bottom>
      <diagonal/>
    </border>
  </borders>
  <cellStyleXfs count="30">
    <xf numFmtId="0" fontId="0" fillId="0" borderId="0"/>
    <xf numFmtId="0" fontId="7" fillId="0" borderId="0" applyNumberFormat="0" applyFill="0" applyBorder="0" applyAlignment="0" applyProtection="0"/>
    <xf numFmtId="0" fontId="2" fillId="0" borderId="0" applyNumberFormat="0" applyFill="0" applyBorder="0" applyProtection="0">
      <alignment horizontal="right" vertical="center"/>
    </xf>
    <xf numFmtId="0" fontId="3" fillId="0" borderId="0" applyNumberFormat="0" applyFill="0" applyBorder="0" applyProtection="0">
      <alignment horizontal="right" vertical="center"/>
    </xf>
    <xf numFmtId="0" fontId="8" fillId="0" borderId="0" applyNumberFormat="0" applyFill="0" applyBorder="0" applyProtection="0">
      <alignment vertical="center"/>
    </xf>
    <xf numFmtId="0" fontId="4" fillId="0" borderId="0" applyNumberFormat="0" applyFill="0" applyBorder="0" applyProtection="0">
      <alignment vertical="center"/>
    </xf>
    <xf numFmtId="0" fontId="12" fillId="0" borderId="0" applyNumberFormat="0" applyFill="0" applyBorder="0" applyProtection="0">
      <alignment vertical="center"/>
    </xf>
    <xf numFmtId="0" fontId="5" fillId="0" borderId="0" applyNumberFormat="0" applyFill="0" applyBorder="0" applyProtection="0">
      <alignment vertical="center"/>
    </xf>
    <xf numFmtId="0" fontId="6" fillId="0" borderId="0" applyNumberFormat="0" applyFill="0" applyBorder="0" applyProtection="0">
      <alignment vertical="center"/>
    </xf>
    <xf numFmtId="0" fontId="1" fillId="2" borderId="0" applyNumberFormat="0" applyFont="0" applyBorder="0" applyAlignment="0" applyProtection="0">
      <alignment vertical="center"/>
    </xf>
    <xf numFmtId="0" fontId="1" fillId="3" borderId="0" applyNumberFormat="0" applyFont="0" applyBorder="0" applyAlignment="0" applyProtection="0">
      <alignment vertical="center"/>
    </xf>
    <xf numFmtId="0" fontId="1" fillId="4" borderId="0" applyNumberFormat="0" applyFont="0" applyBorder="0" applyAlignment="0" applyProtection="0">
      <alignment vertical="center"/>
    </xf>
    <xf numFmtId="0" fontId="1" fillId="5" borderId="0" applyNumberFormat="0" applyFont="0" applyBorder="0" applyAlignment="0" applyProtection="0">
      <alignment vertical="center"/>
    </xf>
    <xf numFmtId="0" fontId="9" fillId="0" borderId="0" applyNumberFormat="0" applyBorder="0" applyAlignment="0" applyProtection="0">
      <alignment vertical="center"/>
    </xf>
    <xf numFmtId="0" fontId="8" fillId="0" borderId="0" applyNumberFormat="0" applyFill="0" applyBorder="0" applyProtection="0">
      <alignment horizontal="right"/>
    </xf>
    <xf numFmtId="43" fontId="1" fillId="0" borderId="0" applyFont="0" applyFill="0" applyBorder="0" applyAlignment="0" applyProtection="0"/>
    <xf numFmtId="0" fontId="13" fillId="5" borderId="0" applyFont="0" applyBorder="0" applyAlignment="0" applyProtection="0">
      <alignment horizontal="left"/>
    </xf>
    <xf numFmtId="0" fontId="13" fillId="0" borderId="0"/>
    <xf numFmtId="0" fontId="13" fillId="3" borderId="0" applyFont="0" applyBorder="0" applyAlignment="0" applyProtection="0"/>
    <xf numFmtId="43" fontId="13" fillId="0" borderId="0" applyFont="0" applyFill="0" applyBorder="0" applyAlignment="0" applyProtection="0"/>
    <xf numFmtId="0" fontId="15" fillId="7" borderId="0" applyNumberFormat="0" applyBorder="0" applyAlignment="0" applyProtection="0"/>
    <xf numFmtId="0" fontId="16" fillId="0" borderId="0" applyNumberFormat="0" applyFill="0" applyBorder="0" applyAlignment="0" applyProtection="0"/>
    <xf numFmtId="0" fontId="17" fillId="0" borderId="0"/>
    <xf numFmtId="0" fontId="19" fillId="0" borderId="0" applyNumberFormat="0" applyFill="0" applyBorder="0" applyProtection="0">
      <alignment vertical="center"/>
    </xf>
    <xf numFmtId="0" fontId="12" fillId="0" borderId="0" applyNumberFormat="0" applyFill="0" applyBorder="0" applyProtection="0">
      <alignment vertical="center"/>
    </xf>
    <xf numFmtId="0" fontId="1" fillId="0" borderId="0"/>
    <xf numFmtId="0" fontId="65" fillId="0" borderId="0" applyNumberFormat="0" applyFill="0" applyBorder="0" applyAlignment="0" applyProtection="0">
      <alignment vertical="center"/>
    </xf>
    <xf numFmtId="0" fontId="7" fillId="0" borderId="0" applyNumberFormat="0" applyFill="0" applyBorder="0" applyAlignment="0" applyProtection="0"/>
    <xf numFmtId="0" fontId="1" fillId="9" borderId="0" applyNumberFormat="0" applyBorder="0" applyAlignment="0" applyProtection="0"/>
    <xf numFmtId="0" fontId="65" fillId="0" borderId="0" applyNumberFormat="0" applyFill="0" applyBorder="0" applyAlignment="0" applyProtection="0"/>
  </cellStyleXfs>
  <cellXfs count="1257">
    <xf numFmtId="0" fontId="0" fillId="0" borderId="0" xfId="0"/>
    <xf numFmtId="0" fontId="8" fillId="0" borderId="0" xfId="4">
      <alignment vertical="center"/>
    </xf>
    <xf numFmtId="0" fontId="0" fillId="0" borderId="0" xfId="0" applyBorder="1"/>
    <xf numFmtId="0" fontId="8" fillId="0" borderId="0" xfId="4" applyBorder="1">
      <alignment vertical="center"/>
    </xf>
    <xf numFmtId="0" fontId="0" fillId="0" borderId="0" xfId="0"/>
    <xf numFmtId="0" fontId="9" fillId="0" borderId="0" xfId="13" applyBorder="1" applyAlignment="1">
      <alignment horizontal="right"/>
    </xf>
    <xf numFmtId="0" fontId="11" fillId="0" borderId="0" xfId="0" applyFont="1" applyBorder="1"/>
    <xf numFmtId="0" fontId="10" fillId="0" borderId="0" xfId="17" quotePrefix="1" applyFont="1" applyBorder="1" applyProtection="1"/>
    <xf numFmtId="0" fontId="11" fillId="0" borderId="0" xfId="4" quotePrefix="1" applyFont="1" applyFill="1" applyBorder="1" applyAlignment="1" applyProtection="1">
      <alignment vertical="center" wrapText="1"/>
    </xf>
    <xf numFmtId="0" fontId="8" fillId="0" borderId="0" xfId="9" applyFont="1" applyFill="1" applyBorder="1" applyAlignment="1"/>
    <xf numFmtId="0" fontId="8" fillId="0" borderId="0" xfId="0" applyFont="1" applyBorder="1" applyAlignment="1">
      <alignment horizontal="center" vertical="center" wrapText="1"/>
    </xf>
    <xf numFmtId="0" fontId="22" fillId="0" borderId="0" xfId="0" applyFont="1"/>
    <xf numFmtId="0" fontId="22" fillId="2" borderId="0" xfId="4" applyFont="1" applyFill="1" applyBorder="1">
      <alignment vertical="center"/>
    </xf>
    <xf numFmtId="0" fontId="22" fillId="0" borderId="0" xfId="4" applyFont="1" applyBorder="1">
      <alignment vertical="center"/>
    </xf>
    <xf numFmtId="0" fontId="22" fillId="4" borderId="0" xfId="4" applyFont="1" applyFill="1" applyBorder="1">
      <alignment vertical="center"/>
    </xf>
    <xf numFmtId="0" fontId="22" fillId="5" borderId="0" xfId="4" applyFont="1" applyFill="1" applyBorder="1">
      <alignment vertical="center"/>
    </xf>
    <xf numFmtId="0" fontId="22" fillId="3" borderId="0" xfId="4" applyFont="1" applyFill="1" applyBorder="1">
      <alignment vertical="center"/>
    </xf>
    <xf numFmtId="0" fontId="23" fillId="0" borderId="0" xfId="4" applyFont="1" applyFill="1" applyBorder="1">
      <alignment vertical="center"/>
    </xf>
    <xf numFmtId="0" fontId="22" fillId="0" borderId="0" xfId="4" applyFont="1" applyBorder="1" applyAlignment="1">
      <alignment vertical="center" wrapText="1"/>
    </xf>
    <xf numFmtId="0" fontId="22" fillId="0" borderId="0" xfId="4" applyFont="1" applyBorder="1" applyAlignment="1">
      <alignment horizontal="right" vertical="center"/>
    </xf>
    <xf numFmtId="0" fontId="22" fillId="0" borderId="0" xfId="4" applyFont="1" applyBorder="1" applyAlignment="1">
      <alignment horizontal="left" vertical="center"/>
    </xf>
    <xf numFmtId="0" fontId="22" fillId="0" borderId="0" xfId="0" applyFont="1" applyBorder="1"/>
    <xf numFmtId="0" fontId="22" fillId="0" borderId="0" xfId="4" applyFont="1" applyBorder="1" applyAlignment="1">
      <alignment horizontal="right" vertical="center"/>
    </xf>
    <xf numFmtId="0" fontId="0" fillId="0" borderId="0" xfId="0" applyProtection="1">
      <protection hidden="1"/>
    </xf>
    <xf numFmtId="0" fontId="22" fillId="0" borderId="0" xfId="0" applyFont="1" applyProtection="1">
      <protection hidden="1"/>
    </xf>
    <xf numFmtId="173" fontId="22" fillId="0" borderId="0" xfId="0" applyNumberFormat="1" applyFont="1" applyBorder="1" applyAlignment="1" applyProtection="1">
      <alignment horizontal="right" vertical="center"/>
      <protection hidden="1"/>
    </xf>
    <xf numFmtId="0" fontId="27" fillId="0" borderId="0" xfId="0" applyFont="1" applyBorder="1"/>
    <xf numFmtId="0" fontId="22" fillId="0" borderId="0" xfId="4" applyFont="1" applyBorder="1" applyAlignment="1" applyProtection="1">
      <alignment horizontal="right" vertical="center"/>
      <protection hidden="1"/>
    </xf>
    <xf numFmtId="0" fontId="22" fillId="0" borderId="0" xfId="0" applyFont="1" applyBorder="1" applyAlignment="1" applyProtection="1">
      <alignment horizontal="left" vertical="center" indent="5"/>
      <protection hidden="1"/>
    </xf>
    <xf numFmtId="0" fontId="22" fillId="0" borderId="0" xfId="0" applyFont="1" applyBorder="1" applyProtection="1">
      <protection hidden="1"/>
    </xf>
    <xf numFmtId="0" fontId="22" fillId="0" borderId="0" xfId="0" applyFont="1" applyBorder="1" applyAlignment="1" applyProtection="1">
      <alignment vertical="center" wrapText="1"/>
      <protection hidden="1"/>
    </xf>
    <xf numFmtId="0" fontId="22" fillId="0" borderId="0" xfId="4" applyFont="1" applyBorder="1" applyAlignment="1" applyProtection="1">
      <alignment vertical="center"/>
      <protection hidden="1"/>
    </xf>
    <xf numFmtId="0" fontId="22" fillId="0" borderId="0" xfId="0" applyFont="1" applyBorder="1" applyAlignment="1" applyProtection="1">
      <alignment horizontal="center"/>
      <protection hidden="1"/>
    </xf>
    <xf numFmtId="0" fontId="22" fillId="0" borderId="0" xfId="0" applyFont="1" applyBorder="1" applyAlignment="1" applyProtection="1">
      <protection hidden="1"/>
    </xf>
    <xf numFmtId="0" fontId="22" fillId="0" borderId="0" xfId="0" applyFont="1" applyBorder="1" applyAlignment="1" applyProtection="1">
      <alignment horizontal="right"/>
      <protection hidden="1"/>
    </xf>
    <xf numFmtId="0" fontId="0" fillId="0" borderId="0" xfId="0" applyBorder="1" applyProtection="1">
      <protection hidden="1"/>
    </xf>
    <xf numFmtId="0" fontId="27" fillId="0" borderId="0" xfId="0" applyFont="1" applyProtection="1">
      <protection hidden="1"/>
    </xf>
    <xf numFmtId="0" fontId="27" fillId="0" borderId="38" xfId="0" applyFont="1" applyFill="1" applyBorder="1"/>
    <xf numFmtId="0" fontId="27" fillId="0" borderId="38" xfId="0" applyFont="1" applyFill="1" applyBorder="1" applyAlignment="1">
      <alignment horizontal="center"/>
    </xf>
    <xf numFmtId="0" fontId="26" fillId="0" borderId="37" xfId="8" applyFont="1" applyFill="1" applyBorder="1" applyProtection="1">
      <alignment vertical="center"/>
    </xf>
    <xf numFmtId="0" fontId="27" fillId="0" borderId="63" xfId="4" applyFont="1" applyFill="1" applyBorder="1" applyAlignment="1">
      <alignment horizontal="right" vertical="center"/>
    </xf>
    <xf numFmtId="0" fontId="27" fillId="0" borderId="38" xfId="4" applyFont="1" applyFill="1" applyBorder="1" applyAlignment="1">
      <alignment horizontal="right" vertical="center"/>
    </xf>
    <xf numFmtId="0" fontId="27" fillId="0" borderId="39" xfId="0" applyFont="1" applyBorder="1" applyAlignment="1">
      <alignment horizontal="right"/>
    </xf>
    <xf numFmtId="0" fontId="36" fillId="0" borderId="38" xfId="17" applyFont="1" applyFill="1" applyBorder="1" applyAlignment="1" applyProtection="1">
      <alignment horizontal="center"/>
    </xf>
    <xf numFmtId="0" fontId="27" fillId="0" borderId="38" xfId="4" applyFont="1" applyFill="1" applyBorder="1" applyAlignment="1" applyProtection="1">
      <alignment horizontal="center" vertical="center"/>
    </xf>
    <xf numFmtId="0" fontId="28" fillId="0" borderId="38" xfId="6" applyFont="1" applyBorder="1" applyAlignment="1">
      <alignment vertical="center"/>
    </xf>
    <xf numFmtId="0" fontId="39" fillId="0" borderId="0" xfId="0" applyFont="1" applyBorder="1"/>
    <xf numFmtId="0" fontId="27" fillId="0" borderId="0" xfId="0" applyFont="1" applyFill="1" applyBorder="1"/>
    <xf numFmtId="0" fontId="24" fillId="0" borderId="0" xfId="4" applyFont="1" applyFill="1" applyBorder="1" applyAlignment="1">
      <alignment horizontal="right" vertical="center"/>
    </xf>
    <xf numFmtId="0" fontId="24" fillId="0" borderId="0" xfId="4" applyFont="1" applyBorder="1" applyAlignment="1">
      <alignment horizontal="right" vertical="center"/>
    </xf>
    <xf numFmtId="0" fontId="22" fillId="0" borderId="0" xfId="0" applyFont="1" applyFill="1" applyBorder="1"/>
    <xf numFmtId="0" fontId="22" fillId="0" borderId="0" xfId="9" applyFont="1" applyFill="1" applyBorder="1" applyAlignment="1"/>
    <xf numFmtId="0" fontId="27" fillId="0" borderId="5" xfId="0" applyFont="1" applyBorder="1"/>
    <xf numFmtId="0" fontId="22" fillId="2" borderId="12" xfId="9" applyFont="1" applyBorder="1" applyAlignment="1">
      <alignment horizontal="center"/>
    </xf>
    <xf numFmtId="0" fontId="13" fillId="0" borderId="26" xfId="17" applyFont="1" applyBorder="1" applyAlignment="1" applyProtection="1">
      <alignment horizontal="center"/>
    </xf>
    <xf numFmtId="0" fontId="13" fillId="0" borderId="25" xfId="17" applyFont="1" applyBorder="1" applyAlignment="1" applyProtection="1">
      <alignment horizontal="center"/>
    </xf>
    <xf numFmtId="0" fontId="13" fillId="0" borderId="17" xfId="17" applyFont="1" applyBorder="1" applyAlignment="1" applyProtection="1">
      <alignment horizontal="center"/>
    </xf>
    <xf numFmtId="0" fontId="13" fillId="0" borderId="17" xfId="11" applyFont="1" applyFill="1" applyBorder="1" applyAlignment="1" applyProtection="1">
      <alignment horizontal="center"/>
    </xf>
    <xf numFmtId="0" fontId="13" fillId="0" borderId="18" xfId="11" applyFont="1" applyFill="1" applyBorder="1" applyAlignment="1" applyProtection="1">
      <alignment horizontal="center"/>
    </xf>
    <xf numFmtId="0" fontId="25" fillId="6" borderId="27" xfId="17" applyFont="1" applyFill="1" applyBorder="1" applyAlignment="1" applyProtection="1">
      <alignment horizontal="center" vertical="center" wrapText="1"/>
    </xf>
    <xf numFmtId="0" fontId="24" fillId="0" borderId="15" xfId="0" applyFont="1" applyBorder="1" applyAlignment="1">
      <alignment horizontal="center" vertical="center"/>
    </xf>
    <xf numFmtId="0" fontId="25" fillId="6" borderId="8" xfId="17" applyFont="1" applyFill="1" applyBorder="1" applyAlignment="1" applyProtection="1">
      <alignment horizontal="center" vertical="center" wrapText="1"/>
    </xf>
    <xf numFmtId="0" fontId="25" fillId="6" borderId="15" xfId="17" applyFont="1" applyFill="1" applyBorder="1" applyAlignment="1" applyProtection="1">
      <alignment horizontal="center" vertical="center" wrapText="1"/>
    </xf>
    <xf numFmtId="0" fontId="25" fillId="0" borderId="8" xfId="11" applyFont="1" applyFill="1" applyBorder="1" applyAlignment="1" applyProtection="1">
      <alignment horizontal="center" vertical="center" wrapText="1"/>
    </xf>
    <xf numFmtId="0" fontId="25" fillId="0" borderId="33" xfId="11" applyFont="1" applyFill="1" applyBorder="1" applyAlignment="1" applyProtection="1">
      <alignment horizontal="center" vertical="center" wrapText="1"/>
    </xf>
    <xf numFmtId="0" fontId="35" fillId="0" borderId="27" xfId="17" applyFont="1" applyBorder="1" applyAlignment="1" applyProtection="1">
      <alignment wrapText="1"/>
    </xf>
    <xf numFmtId="0" fontId="39" fillId="0" borderId="15" xfId="0" applyFont="1" applyBorder="1"/>
    <xf numFmtId="0" fontId="35" fillId="0" borderId="8" xfId="17" applyFont="1" applyBorder="1" applyAlignment="1" applyProtection="1">
      <alignment horizontal="center" wrapText="1"/>
    </xf>
    <xf numFmtId="0" fontId="35" fillId="0" borderId="15" xfId="17" applyFont="1" applyBorder="1" applyAlignment="1" applyProtection="1">
      <alignment horizontal="center" wrapText="1"/>
    </xf>
    <xf numFmtId="0" fontId="35" fillId="0" borderId="8" xfId="11" applyFont="1" applyFill="1" applyBorder="1" applyAlignment="1" applyProtection="1">
      <alignment horizontal="center" wrapText="1"/>
    </xf>
    <xf numFmtId="0" fontId="35" fillId="0" borderId="33" xfId="11" applyFont="1" applyFill="1" applyBorder="1" applyAlignment="1" applyProtection="1">
      <alignment horizontal="center" wrapText="1"/>
    </xf>
    <xf numFmtId="0" fontId="34" fillId="0" borderId="29" xfId="17" applyFont="1" applyBorder="1" applyAlignment="1" applyProtection="1">
      <alignment wrapText="1"/>
    </xf>
    <xf numFmtId="0" fontId="27" fillId="0" borderId="30" xfId="0" applyFont="1" applyBorder="1"/>
    <xf numFmtId="0" fontId="13" fillId="0" borderId="24" xfId="17" applyFont="1" applyFill="1" applyBorder="1" applyAlignment="1" applyProtection="1">
      <alignment horizontal="center"/>
    </xf>
    <xf numFmtId="0" fontId="22" fillId="0" borderId="21" xfId="4" applyFont="1" applyFill="1" applyBorder="1" applyAlignment="1" applyProtection="1">
      <alignment horizontal="center" vertical="center"/>
    </xf>
    <xf numFmtId="0" fontId="22" fillId="3" borderId="21" xfId="18" applyFont="1" applyBorder="1" applyAlignment="1" applyProtection="1">
      <alignment horizontal="center" vertical="center"/>
    </xf>
    <xf numFmtId="0" fontId="13" fillId="0" borderId="27" xfId="17" applyFont="1" applyBorder="1" applyAlignment="1" applyProtection="1">
      <alignment horizontal="right" vertical="center"/>
    </xf>
    <xf numFmtId="1" fontId="13" fillId="0" borderId="0" xfId="15" applyNumberFormat="1" applyFont="1" applyBorder="1" applyAlignment="1" applyProtection="1">
      <alignment horizontal="center"/>
    </xf>
    <xf numFmtId="3" fontId="13" fillId="0" borderId="0" xfId="17" applyNumberFormat="1" applyFont="1" applyBorder="1" applyAlignment="1" applyProtection="1">
      <alignment horizontal="right"/>
    </xf>
    <xf numFmtId="1" fontId="13" fillId="0" borderId="0" xfId="17" applyNumberFormat="1" applyFont="1" applyBorder="1" applyAlignment="1" applyProtection="1">
      <alignment horizontal="center"/>
    </xf>
    <xf numFmtId="2" fontId="22" fillId="3" borderId="13" xfId="4" applyNumberFormat="1" applyFont="1" applyFill="1" applyBorder="1" applyAlignment="1" applyProtection="1">
      <alignment horizontal="center" vertical="center"/>
    </xf>
    <xf numFmtId="2" fontId="25" fillId="4" borderId="13" xfId="11" applyNumberFormat="1" applyFont="1" applyBorder="1" applyAlignment="1" applyProtection="1">
      <alignment horizontal="center"/>
    </xf>
    <xf numFmtId="2" fontId="25" fillId="4" borderId="28" xfId="11" applyNumberFormat="1" applyFont="1" applyBorder="1" applyAlignment="1" applyProtection="1">
      <alignment horizontal="center"/>
    </xf>
    <xf numFmtId="2" fontId="25" fillId="4" borderId="12" xfId="11" applyNumberFormat="1" applyFont="1" applyBorder="1" applyAlignment="1" applyProtection="1">
      <alignment horizontal="center"/>
    </xf>
    <xf numFmtId="0" fontId="13" fillId="0" borderId="29" xfId="17" applyFont="1" applyBorder="1" applyAlignment="1" applyProtection="1">
      <alignment horizontal="right" vertical="center"/>
    </xf>
    <xf numFmtId="0" fontId="27" fillId="0" borderId="20" xfId="0" applyFont="1" applyBorder="1"/>
    <xf numFmtId="1" fontId="13" fillId="0" borderId="20" xfId="15" applyNumberFormat="1" applyFont="1" applyBorder="1" applyAlignment="1" applyProtection="1">
      <alignment horizontal="center"/>
    </xf>
    <xf numFmtId="3" fontId="13" fillId="0" borderId="20" xfId="17" applyNumberFormat="1" applyFont="1" applyBorder="1" applyAlignment="1" applyProtection="1">
      <alignment horizontal="right"/>
    </xf>
    <xf numFmtId="1" fontId="13" fillId="0" borderId="20" xfId="17" applyNumberFormat="1" applyFont="1" applyBorder="1" applyAlignment="1" applyProtection="1">
      <alignment horizontal="center"/>
    </xf>
    <xf numFmtId="0" fontId="13" fillId="0" borderId="27" xfId="17" applyFont="1" applyBorder="1" applyAlignment="1" applyProtection="1">
      <alignment horizontal="right"/>
    </xf>
    <xf numFmtId="1" fontId="43" fillId="0" borderId="0" xfId="15" applyNumberFormat="1" applyFont="1" applyBorder="1" applyAlignment="1" applyProtection="1">
      <alignment horizontal="center"/>
    </xf>
    <xf numFmtId="167" fontId="25" fillId="4" borderId="12" xfId="11" applyNumberFormat="1" applyFont="1" applyBorder="1" applyAlignment="1" applyProtection="1">
      <alignment horizontal="center"/>
    </xf>
    <xf numFmtId="0" fontId="27" fillId="0" borderId="61" xfId="0" applyFont="1" applyBorder="1"/>
    <xf numFmtId="0" fontId="13" fillId="0" borderId="5" xfId="17" applyFont="1" applyBorder="1" applyAlignment="1" applyProtection="1">
      <alignment horizontal="right" vertical="center"/>
    </xf>
    <xf numFmtId="0" fontId="27" fillId="0" borderId="14" xfId="0" applyFont="1" applyBorder="1" applyAlignment="1">
      <alignment horizontal="center"/>
    </xf>
    <xf numFmtId="2" fontId="25" fillId="4" borderId="14" xfId="11" applyNumberFormat="1" applyFont="1" applyBorder="1" applyAlignment="1" applyProtection="1">
      <alignment horizontal="center"/>
    </xf>
    <xf numFmtId="2" fontId="25" fillId="4" borderId="56" xfId="11" applyNumberFormat="1" applyFont="1" applyBorder="1" applyAlignment="1" applyProtection="1">
      <alignment horizontal="center"/>
    </xf>
    <xf numFmtId="0" fontId="35" fillId="0" borderId="27" xfId="17" applyFont="1" applyBorder="1" applyAlignment="1" applyProtection="1">
      <alignment horizontal="right" vertical="center"/>
    </xf>
    <xf numFmtId="0" fontId="35" fillId="0" borderId="0" xfId="17" applyFont="1" applyFill="1" applyBorder="1" applyAlignment="1" applyProtection="1">
      <alignment horizontal="center"/>
    </xf>
    <xf numFmtId="0" fontId="27" fillId="0" borderId="0" xfId="0" applyFont="1" applyFill="1" applyBorder="1" applyAlignment="1">
      <alignment horizontal="center"/>
    </xf>
    <xf numFmtId="0" fontId="22" fillId="0" borderId="0" xfId="4" applyFont="1" applyFill="1" applyBorder="1" applyAlignment="1" applyProtection="1">
      <alignment horizontal="center" vertical="center"/>
    </xf>
    <xf numFmtId="167" fontId="25" fillId="4" borderId="28" xfId="11" applyNumberFormat="1" applyFont="1" applyBorder="1" applyAlignment="1" applyProtection="1">
      <alignment horizontal="center"/>
    </xf>
    <xf numFmtId="0" fontId="27" fillId="0" borderId="23" xfId="0" applyFont="1" applyBorder="1"/>
    <xf numFmtId="0" fontId="27" fillId="0" borderId="24" xfId="0" applyFont="1" applyBorder="1"/>
    <xf numFmtId="0" fontId="13" fillId="0" borderId="24" xfId="17" applyFont="1" applyBorder="1" applyAlignment="1" applyProtection="1">
      <alignment horizontal="right" vertical="center"/>
    </xf>
    <xf numFmtId="0" fontId="27" fillId="0" borderId="21" xfId="0" applyFont="1" applyBorder="1" applyAlignment="1">
      <alignment horizontal="center"/>
    </xf>
    <xf numFmtId="167" fontId="24" fillId="4" borderId="21" xfId="11" applyNumberFormat="1" applyFont="1" applyBorder="1" applyAlignment="1">
      <alignment horizontal="center"/>
    </xf>
    <xf numFmtId="167" fontId="24" fillId="4" borderId="22" xfId="11" applyNumberFormat="1" applyFont="1" applyBorder="1" applyAlignment="1">
      <alignment horizontal="center"/>
    </xf>
    <xf numFmtId="0" fontId="34" fillId="0" borderId="25" xfId="17" applyFont="1" applyBorder="1" applyAlignment="1" applyProtection="1">
      <alignment horizontal="center"/>
    </xf>
    <xf numFmtId="0" fontId="34" fillId="0" borderId="17" xfId="17" applyFont="1" applyBorder="1" applyAlignment="1" applyProtection="1">
      <alignment horizontal="center"/>
    </xf>
    <xf numFmtId="0" fontId="34" fillId="0" borderId="17" xfId="11" applyFont="1" applyFill="1" applyBorder="1" applyAlignment="1" applyProtection="1">
      <alignment horizontal="center"/>
    </xf>
    <xf numFmtId="0" fontId="34" fillId="0" borderId="18" xfId="11" applyFont="1" applyFill="1" applyBorder="1" applyAlignment="1" applyProtection="1">
      <alignment horizontal="center"/>
    </xf>
    <xf numFmtId="0" fontId="34" fillId="0" borderId="21" xfId="17" applyFont="1" applyBorder="1" applyAlignment="1" applyProtection="1">
      <alignment horizontal="center" wrapText="1"/>
    </xf>
    <xf numFmtId="0" fontId="34" fillId="0" borderId="21" xfId="11" applyFont="1" applyFill="1" applyBorder="1" applyAlignment="1" applyProtection="1">
      <alignment horizontal="center" wrapText="1"/>
    </xf>
    <xf numFmtId="0" fontId="34" fillId="0" borderId="22" xfId="11" applyFont="1" applyFill="1" applyBorder="1" applyAlignment="1" applyProtection="1">
      <alignment horizontal="center" wrapText="1"/>
    </xf>
    <xf numFmtId="0" fontId="6" fillId="0" borderId="0" xfId="8" applyBorder="1">
      <alignment vertical="center"/>
    </xf>
    <xf numFmtId="0" fontId="13" fillId="0" borderId="0" xfId="0" applyFont="1" applyFill="1" applyBorder="1" applyAlignment="1"/>
    <xf numFmtId="0" fontId="13" fillId="0" borderId="0" xfId="0" applyFont="1" applyFill="1" applyBorder="1" applyAlignment="1">
      <alignment horizontal="right"/>
    </xf>
    <xf numFmtId="0" fontId="13" fillId="0" borderId="2" xfId="17" applyFont="1" applyFill="1" applyBorder="1" applyAlignment="1" applyProtection="1">
      <alignment horizontal="center"/>
    </xf>
    <xf numFmtId="0" fontId="22" fillId="0" borderId="12" xfId="0" applyFont="1" applyBorder="1" applyAlignment="1">
      <alignment horizontal="center"/>
    </xf>
    <xf numFmtId="0" fontId="22" fillId="3" borderId="12" xfId="18" applyFont="1" applyBorder="1" applyAlignment="1">
      <alignment horizontal="center"/>
    </xf>
    <xf numFmtId="1" fontId="13" fillId="0" borderId="5" xfId="15" applyNumberFormat="1" applyFont="1" applyBorder="1" applyAlignment="1" applyProtection="1">
      <alignment horizontal="center"/>
    </xf>
    <xf numFmtId="3" fontId="13" fillId="0" borderId="5" xfId="17" applyNumberFormat="1" applyFont="1" applyBorder="1" applyAlignment="1" applyProtection="1">
      <alignment horizontal="right"/>
    </xf>
    <xf numFmtId="1" fontId="13" fillId="0" borderId="5" xfId="17" applyNumberFormat="1" applyFont="1" applyBorder="1" applyAlignment="1" applyProtection="1">
      <alignment horizontal="center"/>
    </xf>
    <xf numFmtId="167" fontId="22" fillId="3" borderId="12" xfId="4" applyNumberFormat="1" applyFont="1" applyFill="1" applyBorder="1" applyAlignment="1" applyProtection="1">
      <alignment horizontal="center" vertical="center"/>
    </xf>
    <xf numFmtId="1" fontId="13" fillId="0" borderId="10" xfId="15" applyNumberFormat="1" applyFont="1" applyBorder="1" applyAlignment="1" applyProtection="1">
      <alignment horizontal="center"/>
    </xf>
    <xf numFmtId="3" fontId="13" fillId="0" borderId="10" xfId="17" applyNumberFormat="1" applyFont="1" applyBorder="1" applyAlignment="1" applyProtection="1">
      <alignment horizontal="right"/>
    </xf>
    <xf numFmtId="1" fontId="13" fillId="0" borderId="10" xfId="17" applyNumberFormat="1" applyFont="1" applyBorder="1" applyAlignment="1" applyProtection="1">
      <alignment horizontal="center"/>
    </xf>
    <xf numFmtId="0" fontId="35" fillId="0" borderId="14" xfId="17" applyFont="1" applyBorder="1" applyAlignment="1" applyProtection="1">
      <alignment horizontal="center" wrapText="1"/>
    </xf>
    <xf numFmtId="0" fontId="24" fillId="2" borderId="12" xfId="9" applyFont="1" applyBorder="1" applyAlignment="1">
      <alignment horizontal="center"/>
    </xf>
    <xf numFmtId="0" fontId="34" fillId="0" borderId="12" xfId="17" applyFont="1" applyBorder="1" applyAlignment="1" applyProtection="1">
      <alignment horizontal="center" wrapText="1"/>
    </xf>
    <xf numFmtId="0" fontId="34" fillId="0" borderId="12" xfId="11" applyFont="1" applyFill="1" applyBorder="1" applyAlignment="1" applyProtection="1">
      <alignment horizontal="center" wrapText="1"/>
    </xf>
    <xf numFmtId="0" fontId="22" fillId="2" borderId="12" xfId="9" applyFont="1" applyBorder="1" applyAlignment="1">
      <alignment horizontal="center" vertical="center" wrapText="1"/>
    </xf>
    <xf numFmtId="1" fontId="22" fillId="3" borderId="12" xfId="10" applyNumberFormat="1" applyFont="1" applyBorder="1" applyAlignment="1">
      <alignment horizontal="center" vertical="center" wrapText="1"/>
    </xf>
    <xf numFmtId="0" fontId="25" fillId="0" borderId="51" xfId="11" applyFont="1" applyFill="1" applyBorder="1" applyAlignment="1" applyProtection="1">
      <alignment horizontal="center" vertical="center" wrapText="1"/>
    </xf>
    <xf numFmtId="2" fontId="13" fillId="0" borderId="5" xfId="17" applyNumberFormat="1" applyFont="1" applyFill="1" applyBorder="1" applyAlignment="1" applyProtection="1">
      <alignment horizontal="center"/>
    </xf>
    <xf numFmtId="2" fontId="25" fillId="4" borderId="21" xfId="11" applyNumberFormat="1" applyFont="1" applyBorder="1" applyAlignment="1" applyProtection="1">
      <alignment horizontal="center"/>
    </xf>
    <xf numFmtId="2" fontId="25" fillId="4" borderId="22" xfId="11" applyNumberFormat="1" applyFont="1" applyBorder="1" applyAlignment="1" applyProtection="1">
      <alignment horizontal="center"/>
    </xf>
    <xf numFmtId="0" fontId="22" fillId="0" borderId="15" xfId="0" applyFont="1" applyBorder="1"/>
    <xf numFmtId="0" fontId="45" fillId="0" borderId="0" xfId="0" applyFont="1" applyBorder="1"/>
    <xf numFmtId="0" fontId="13" fillId="0" borderId="0" xfId="0" applyFont="1" applyBorder="1"/>
    <xf numFmtId="0" fontId="13" fillId="0" borderId="0" xfId="0" applyFont="1" applyBorder="1" applyAlignment="1">
      <alignment vertical="center"/>
    </xf>
    <xf numFmtId="167" fontId="13" fillId="0" borderId="12" xfId="0" applyNumberFormat="1" applyFont="1" applyFill="1" applyBorder="1" applyAlignment="1">
      <alignment horizontal="center"/>
    </xf>
    <xf numFmtId="0" fontId="25" fillId="0" borderId="12" xfId="0" applyFont="1" applyBorder="1" applyAlignment="1">
      <alignment horizontal="center" vertical="center" wrapText="1"/>
    </xf>
    <xf numFmtId="4" fontId="13" fillId="0" borderId="12" xfId="0" applyNumberFormat="1" applyFont="1" applyFill="1" applyBorder="1" applyAlignment="1">
      <alignment horizontal="center"/>
    </xf>
    <xf numFmtId="4" fontId="13" fillId="0" borderId="12" xfId="9" applyNumberFormat="1" applyFont="1" applyFill="1" applyBorder="1" applyAlignment="1" applyProtection="1">
      <alignment horizontal="center"/>
      <protection locked="0"/>
    </xf>
    <xf numFmtId="0" fontId="25" fillId="0" borderId="5" xfId="0" applyFont="1" applyBorder="1" applyAlignment="1">
      <alignment horizontal="center" vertical="center" wrapText="1"/>
    </xf>
    <xf numFmtId="0" fontId="39" fillId="0" borderId="0" xfId="4" applyFont="1" applyFill="1" applyBorder="1" applyAlignment="1">
      <alignment horizontal="left" vertical="center"/>
    </xf>
    <xf numFmtId="0" fontId="48" fillId="0" borderId="0" xfId="0" applyFont="1" applyBorder="1"/>
    <xf numFmtId="0" fontId="48" fillId="0" borderId="0" xfId="0" applyFont="1" applyBorder="1" applyAlignment="1">
      <alignment horizontal="left"/>
    </xf>
    <xf numFmtId="0" fontId="39" fillId="0" borderId="0" xfId="0" applyFont="1" applyBorder="1" applyAlignment="1">
      <alignment horizontal="left"/>
    </xf>
    <xf numFmtId="0" fontId="49" fillId="0" borderId="0" xfId="23" applyFont="1" applyBorder="1" applyAlignment="1">
      <alignment vertical="center"/>
    </xf>
    <xf numFmtId="3" fontId="22" fillId="0" borderId="12" xfId="8" applyNumberFormat="1" applyFont="1" applyFill="1" applyBorder="1" applyAlignment="1">
      <alignment horizontal="center" vertical="center"/>
    </xf>
    <xf numFmtId="2" fontId="25" fillId="4" borderId="12" xfId="11" applyNumberFormat="1" applyFont="1" applyBorder="1" applyAlignment="1">
      <alignment horizontal="center"/>
    </xf>
    <xf numFmtId="0" fontId="24" fillId="0" borderId="0" xfId="8" applyFont="1" applyFill="1" applyBorder="1" applyAlignment="1">
      <alignment horizontal="left" vertical="center"/>
    </xf>
    <xf numFmtId="0" fontId="52" fillId="0" borderId="0" xfId="0" applyFont="1" applyBorder="1"/>
    <xf numFmtId="0" fontId="8" fillId="0" borderId="0" xfId="0" applyFont="1" applyBorder="1" applyProtection="1">
      <protection hidden="1"/>
    </xf>
    <xf numFmtId="0" fontId="25" fillId="0" borderId="0" xfId="0" applyFont="1" applyBorder="1" applyAlignment="1" applyProtection="1">
      <alignment horizontal="center"/>
      <protection hidden="1"/>
    </xf>
    <xf numFmtId="9" fontId="13" fillId="2" borderId="12" xfId="9" applyNumberFormat="1" applyFont="1" applyBorder="1" applyAlignment="1" applyProtection="1">
      <alignment horizontal="center"/>
      <protection locked="0" hidden="1"/>
    </xf>
    <xf numFmtId="169" fontId="13" fillId="6" borderId="12" xfId="0" applyNumberFormat="1" applyFont="1" applyFill="1" applyBorder="1" applyAlignment="1" applyProtection="1">
      <alignment horizontal="center"/>
      <protection hidden="1"/>
    </xf>
    <xf numFmtId="0" fontId="13" fillId="2" borderId="12" xfId="9" applyFont="1" applyBorder="1" applyAlignment="1" applyProtection="1">
      <alignment horizontal="center"/>
      <protection locked="0" hidden="1"/>
    </xf>
    <xf numFmtId="3" fontId="13" fillId="6" borderId="12" xfId="0" applyNumberFormat="1" applyFont="1" applyFill="1" applyBorder="1" applyAlignment="1" applyProtection="1">
      <alignment horizontal="center"/>
      <protection hidden="1"/>
    </xf>
    <xf numFmtId="0" fontId="13" fillId="0" borderId="0" xfId="0" applyFont="1" applyBorder="1" applyProtection="1">
      <protection hidden="1"/>
    </xf>
    <xf numFmtId="2" fontId="13" fillId="0" borderId="12" xfId="0" applyNumberFormat="1" applyFont="1" applyBorder="1" applyAlignment="1" applyProtection="1">
      <alignment horizontal="center"/>
      <protection hidden="1"/>
    </xf>
    <xf numFmtId="0" fontId="13" fillId="3" borderId="12" xfId="18" applyFont="1" applyBorder="1" applyAlignment="1" applyProtection="1">
      <alignment horizontal="center"/>
      <protection hidden="1"/>
    </xf>
    <xf numFmtId="0" fontId="13" fillId="0" borderId="0" xfId="0" quotePrefix="1" applyFont="1" applyFill="1" applyBorder="1" applyAlignment="1" applyProtection="1">
      <protection hidden="1"/>
    </xf>
    <xf numFmtId="2" fontId="13" fillId="0" borderId="12" xfId="0" applyNumberFormat="1" applyFont="1" applyFill="1" applyBorder="1" applyAlignment="1" applyProtection="1">
      <alignment horizontal="center"/>
      <protection hidden="1"/>
    </xf>
    <xf numFmtId="0" fontId="13" fillId="0" borderId="0" xfId="0" applyFont="1" applyFill="1" applyBorder="1" applyAlignment="1" applyProtection="1">
      <protection hidden="1"/>
    </xf>
    <xf numFmtId="0" fontId="22" fillId="0" borderId="7" xfId="0" applyFont="1" applyBorder="1" applyAlignment="1" applyProtection="1">
      <alignment horizontal="center"/>
      <protection hidden="1"/>
    </xf>
    <xf numFmtId="167" fontId="13" fillId="0" borderId="12" xfId="0" applyNumberFormat="1" applyFont="1" applyFill="1" applyBorder="1" applyAlignment="1" applyProtection="1">
      <alignment horizontal="center"/>
      <protection hidden="1"/>
    </xf>
    <xf numFmtId="0" fontId="35" fillId="0" borderId="40" xfId="11" applyFont="1" applyFill="1" applyBorder="1" applyAlignment="1" applyProtection="1">
      <alignment horizontal="center" wrapText="1"/>
    </xf>
    <xf numFmtId="0" fontId="35" fillId="0" borderId="57" xfId="11" applyFont="1" applyFill="1" applyBorder="1" applyAlignment="1" applyProtection="1">
      <alignment horizontal="center" wrapText="1"/>
    </xf>
    <xf numFmtId="0" fontId="24" fillId="0" borderId="25" xfId="0" applyFont="1" applyBorder="1" applyAlignment="1">
      <alignment horizontal="center" vertical="center"/>
    </xf>
    <xf numFmtId="0" fontId="25" fillId="6" borderId="25" xfId="17" applyFont="1" applyFill="1" applyBorder="1" applyAlignment="1" applyProtection="1">
      <alignment horizontal="center" vertical="center" wrapText="1"/>
    </xf>
    <xf numFmtId="0" fontId="25" fillId="6" borderId="17" xfId="17" applyFont="1" applyFill="1" applyBorder="1" applyAlignment="1" applyProtection="1">
      <alignment horizontal="center" vertical="center" wrapText="1"/>
    </xf>
    <xf numFmtId="0" fontId="25" fillId="0" borderId="17" xfId="11" applyFont="1" applyFill="1" applyBorder="1" applyAlignment="1" applyProtection="1">
      <alignment horizontal="center" vertical="center" wrapText="1"/>
    </xf>
    <xf numFmtId="0" fontId="25" fillId="0" borderId="18" xfId="11" applyFont="1" applyFill="1" applyBorder="1" applyAlignment="1" applyProtection="1">
      <alignment horizontal="center" vertical="center" wrapText="1"/>
    </xf>
    <xf numFmtId="0" fontId="13" fillId="0" borderId="40" xfId="11" applyFont="1" applyFill="1" applyBorder="1" applyAlignment="1" applyProtection="1">
      <alignment horizontal="center" wrapText="1"/>
    </xf>
    <xf numFmtId="2" fontId="22" fillId="0" borderId="0" xfId="0" applyNumberFormat="1" applyFont="1" applyBorder="1" applyAlignment="1">
      <alignment horizontal="center"/>
    </xf>
    <xf numFmtId="2" fontId="13" fillId="0" borderId="0" xfId="15" applyNumberFormat="1" applyFont="1" applyBorder="1" applyAlignment="1" applyProtection="1">
      <alignment horizontal="center"/>
    </xf>
    <xf numFmtId="2" fontId="13" fillId="0" borderId="0" xfId="17" applyNumberFormat="1" applyFont="1" applyBorder="1" applyAlignment="1" applyProtection="1">
      <alignment horizontal="center"/>
    </xf>
    <xf numFmtId="2" fontId="13" fillId="0" borderId="0" xfId="10" applyNumberFormat="1" applyFont="1" applyFill="1" applyBorder="1" applyAlignment="1">
      <alignment horizontal="center"/>
    </xf>
    <xf numFmtId="2" fontId="25" fillId="4" borderId="12" xfId="11" applyNumberFormat="1" applyFont="1" applyBorder="1" applyAlignment="1" applyProtection="1">
      <alignment horizontal="center" vertical="center"/>
    </xf>
    <xf numFmtId="1" fontId="25" fillId="5" borderId="36" xfId="12" applyNumberFormat="1" applyFont="1" applyBorder="1" applyAlignment="1" applyProtection="1">
      <alignment horizontal="center" vertical="center"/>
    </xf>
    <xf numFmtId="2" fontId="25" fillId="4" borderId="13" xfId="11" applyNumberFormat="1" applyFont="1" applyBorder="1" applyAlignment="1" applyProtection="1">
      <alignment horizontal="center" vertical="center"/>
    </xf>
    <xf numFmtId="1" fontId="25" fillId="5" borderId="28" xfId="12" applyNumberFormat="1" applyFont="1" applyBorder="1" applyAlignment="1" applyProtection="1">
      <alignment horizontal="center" vertical="center"/>
    </xf>
    <xf numFmtId="2" fontId="13" fillId="0" borderId="20" xfId="15" applyNumberFormat="1" applyFont="1" applyBorder="1" applyAlignment="1" applyProtection="1">
      <alignment horizontal="center"/>
    </xf>
    <xf numFmtId="169" fontId="25" fillId="5" borderId="22" xfId="12" applyNumberFormat="1" applyFont="1" applyBorder="1" applyAlignment="1" applyProtection="1">
      <alignment horizontal="center" vertical="center"/>
    </xf>
    <xf numFmtId="2" fontId="45" fillId="0" borderId="0" xfId="10" applyNumberFormat="1" applyFont="1" applyFill="1" applyBorder="1" applyAlignment="1">
      <alignment horizontal="center"/>
    </xf>
    <xf numFmtId="1" fontId="25" fillId="0" borderId="56" xfId="11" applyNumberFormat="1" applyFont="1" applyFill="1" applyBorder="1" applyAlignment="1" applyProtection="1">
      <alignment horizontal="center" vertical="center"/>
    </xf>
    <xf numFmtId="167" fontId="25" fillId="4" borderId="13" xfId="11" applyNumberFormat="1" applyFont="1" applyBorder="1" applyAlignment="1" applyProtection="1">
      <alignment horizontal="center" vertical="center"/>
    </xf>
    <xf numFmtId="1" fontId="25" fillId="0" borderId="33" xfId="11" applyNumberFormat="1" applyFont="1" applyFill="1" applyBorder="1" applyAlignment="1" applyProtection="1">
      <alignment horizontal="center" vertical="center"/>
    </xf>
    <xf numFmtId="1" fontId="25" fillId="0" borderId="36" xfId="11" applyNumberFormat="1" applyFont="1" applyFill="1" applyBorder="1" applyAlignment="1" applyProtection="1">
      <alignment horizontal="center" vertical="center"/>
    </xf>
    <xf numFmtId="0" fontId="22" fillId="0" borderId="23" xfId="0" applyFont="1" applyBorder="1" applyAlignment="1">
      <alignment horizontal="left"/>
    </xf>
    <xf numFmtId="2" fontId="22" fillId="0" borderId="24" xfId="0" applyNumberFormat="1" applyFont="1" applyBorder="1" applyAlignment="1">
      <alignment horizontal="center"/>
    </xf>
    <xf numFmtId="1" fontId="25" fillId="5" borderId="22" xfId="12" applyNumberFormat="1" applyFont="1" applyBorder="1" applyAlignment="1" applyProtection="1">
      <alignment horizontal="center" vertical="center"/>
    </xf>
    <xf numFmtId="167" fontId="25" fillId="4" borderId="13" xfId="11" applyNumberFormat="1" applyFont="1" applyBorder="1" applyAlignment="1" applyProtection="1">
      <alignment horizontal="center" wrapText="1"/>
    </xf>
    <xf numFmtId="1" fontId="22" fillId="0" borderId="35" xfId="4" applyNumberFormat="1" applyFont="1" applyFill="1" applyBorder="1" applyAlignment="1">
      <alignment horizontal="right" vertical="center"/>
    </xf>
    <xf numFmtId="2" fontId="22" fillId="0" borderId="0" xfId="0" applyNumberFormat="1" applyFont="1" applyFill="1" applyBorder="1" applyAlignment="1">
      <alignment horizontal="center"/>
    </xf>
    <xf numFmtId="2" fontId="13" fillId="0" borderId="0" xfId="17" applyNumberFormat="1" applyFont="1" applyFill="1" applyBorder="1" applyAlignment="1" applyProtection="1">
      <alignment horizontal="center"/>
    </xf>
    <xf numFmtId="2" fontId="22" fillId="0" borderId="0" xfId="4" applyNumberFormat="1" applyFont="1" applyFill="1" applyBorder="1" applyAlignment="1" applyProtection="1">
      <alignment horizontal="center"/>
    </xf>
    <xf numFmtId="2" fontId="22" fillId="0" borderId="8" xfId="4" applyNumberFormat="1" applyFont="1" applyFill="1" applyBorder="1" applyAlignment="1" applyProtection="1">
      <alignment horizontal="center"/>
    </xf>
    <xf numFmtId="167" fontId="25" fillId="4" borderId="12" xfId="11" applyNumberFormat="1" applyFont="1" applyBorder="1" applyAlignment="1" applyProtection="1">
      <alignment horizontal="center" wrapText="1"/>
    </xf>
    <xf numFmtId="2" fontId="13" fillId="0" borderId="43" xfId="17" applyNumberFormat="1" applyFont="1" applyFill="1" applyBorder="1" applyAlignment="1" applyProtection="1">
      <alignment horizontal="center"/>
    </xf>
    <xf numFmtId="2" fontId="22" fillId="0" borderId="43" xfId="4" applyNumberFormat="1" applyFont="1" applyFill="1" applyBorder="1" applyAlignment="1" applyProtection="1">
      <alignment horizontal="center"/>
    </xf>
    <xf numFmtId="2" fontId="22" fillId="0" borderId="45" xfId="4" applyNumberFormat="1" applyFont="1" applyFill="1" applyBorder="1" applyAlignment="1" applyProtection="1">
      <alignment horizontal="center"/>
    </xf>
    <xf numFmtId="2" fontId="13" fillId="0" borderId="59" xfId="17" applyNumberFormat="1" applyFont="1" applyFill="1" applyBorder="1" applyAlignment="1" applyProtection="1">
      <alignment horizontal="center"/>
    </xf>
    <xf numFmtId="2" fontId="22" fillId="0" borderId="59" xfId="4" applyNumberFormat="1" applyFont="1" applyFill="1" applyBorder="1" applyAlignment="1" applyProtection="1">
      <alignment horizontal="center"/>
    </xf>
    <xf numFmtId="2" fontId="22" fillId="0" borderId="60" xfId="4" applyNumberFormat="1" applyFont="1" applyFill="1" applyBorder="1" applyAlignment="1" applyProtection="1">
      <alignment horizontal="center"/>
    </xf>
    <xf numFmtId="1" fontId="22" fillId="0" borderId="33" xfId="4" applyNumberFormat="1" applyFont="1" applyFill="1" applyBorder="1" applyAlignment="1">
      <alignment horizontal="right" vertical="center"/>
    </xf>
    <xf numFmtId="0" fontId="13" fillId="0" borderId="34" xfId="17" applyFont="1" applyBorder="1" applyAlignment="1" applyProtection="1">
      <alignment horizontal="left" vertical="center"/>
    </xf>
    <xf numFmtId="2" fontId="22" fillId="0" borderId="2" xfId="0" applyNumberFormat="1" applyFont="1" applyBorder="1" applyAlignment="1">
      <alignment horizontal="center"/>
    </xf>
    <xf numFmtId="2" fontId="13" fillId="0" borderId="2" xfId="17" applyNumberFormat="1" applyFont="1" applyBorder="1" applyAlignment="1" applyProtection="1">
      <alignment horizontal="center"/>
    </xf>
    <xf numFmtId="2" fontId="13" fillId="0" borderId="2" xfId="17" applyNumberFormat="1" applyFont="1" applyFill="1" applyBorder="1" applyAlignment="1" applyProtection="1">
      <alignment horizontal="center"/>
    </xf>
    <xf numFmtId="0" fontId="22" fillId="0" borderId="19" xfId="0" applyFont="1" applyBorder="1" applyAlignment="1">
      <alignment horizontal="left"/>
    </xf>
    <xf numFmtId="2" fontId="22" fillId="0" borderId="20" xfId="0" applyNumberFormat="1" applyFont="1" applyBorder="1" applyAlignment="1">
      <alignment horizontal="center"/>
    </xf>
    <xf numFmtId="2" fontId="25" fillId="4" borderId="21" xfId="11" applyNumberFormat="1" applyFont="1" applyBorder="1" applyAlignment="1" applyProtection="1">
      <alignment horizontal="center" vertical="center"/>
    </xf>
    <xf numFmtId="0" fontId="35" fillId="0" borderId="35" xfId="11" applyFont="1" applyFill="1" applyBorder="1" applyAlignment="1" applyProtection="1">
      <alignment horizontal="center" wrapText="1"/>
    </xf>
    <xf numFmtId="0" fontId="35" fillId="0" borderId="38" xfId="17" applyFont="1" applyFill="1" applyBorder="1" applyAlignment="1" applyProtection="1">
      <alignment horizontal="center"/>
    </xf>
    <xf numFmtId="0" fontId="35" fillId="0" borderId="38" xfId="17" applyFont="1" applyFill="1" applyBorder="1" applyAlignment="1" applyProtection="1">
      <alignment horizontal="center" wrapText="1"/>
    </xf>
    <xf numFmtId="0" fontId="35" fillId="0" borderId="38" xfId="11" applyFont="1" applyFill="1" applyBorder="1" applyAlignment="1" applyProtection="1">
      <alignment horizontal="center" wrapText="1"/>
    </xf>
    <xf numFmtId="0" fontId="24" fillId="0" borderId="37" xfId="8" applyFont="1" applyFill="1" applyBorder="1" applyProtection="1">
      <alignment vertical="center"/>
    </xf>
    <xf numFmtId="0" fontId="22" fillId="0" borderId="38" xfId="0" applyFont="1" applyFill="1" applyBorder="1"/>
    <xf numFmtId="0" fontId="13" fillId="0" borderId="38" xfId="17" applyFont="1" applyFill="1" applyBorder="1" applyAlignment="1" applyProtection="1">
      <alignment horizontal="center"/>
    </xf>
    <xf numFmtId="0" fontId="22" fillId="0" borderId="38" xfId="0" applyFont="1" applyFill="1" applyBorder="1" applyAlignment="1">
      <alignment horizontal="center"/>
    </xf>
    <xf numFmtId="0" fontId="22" fillId="0" borderId="38" xfId="4" applyFont="1" applyFill="1" applyBorder="1" applyAlignment="1" applyProtection="1">
      <alignment horizontal="center" vertical="center"/>
    </xf>
    <xf numFmtId="0" fontId="13" fillId="0" borderId="38" xfId="17" applyFont="1" applyFill="1" applyBorder="1" applyAlignment="1" applyProtection="1">
      <alignment horizontal="center" wrapText="1"/>
    </xf>
    <xf numFmtId="0" fontId="13" fillId="0" borderId="38" xfId="11" applyFont="1" applyFill="1" applyBorder="1" applyAlignment="1" applyProtection="1">
      <alignment horizontal="center" wrapText="1"/>
    </xf>
    <xf numFmtId="0" fontId="22" fillId="0" borderId="39" xfId="4" applyFont="1" applyFill="1" applyBorder="1" applyAlignment="1">
      <alignment horizontal="right" vertical="center"/>
    </xf>
    <xf numFmtId="0" fontId="54" fillId="0" borderId="0" xfId="0" applyFont="1" applyBorder="1"/>
    <xf numFmtId="0" fontId="54" fillId="0" borderId="0" xfId="0" applyFont="1"/>
    <xf numFmtId="0" fontId="27" fillId="0" borderId="0" xfId="0" applyFont="1"/>
    <xf numFmtId="0" fontId="13" fillId="0" borderId="46" xfId="11" applyFont="1" applyFill="1" applyBorder="1" applyAlignment="1" applyProtection="1">
      <alignment horizontal="center"/>
    </xf>
    <xf numFmtId="0" fontId="44" fillId="0" borderId="0" xfId="0" applyFont="1" applyBorder="1"/>
    <xf numFmtId="0" fontId="34" fillId="0" borderId="27" xfId="17" applyFont="1" applyBorder="1" applyAlignment="1" applyProtection="1">
      <alignment wrapText="1"/>
    </xf>
    <xf numFmtId="0" fontId="52" fillId="0" borderId="15" xfId="0" applyFont="1" applyBorder="1"/>
    <xf numFmtId="0" fontId="34" fillId="0" borderId="0" xfId="17" applyFont="1" applyFill="1" applyBorder="1" applyAlignment="1" applyProtection="1">
      <alignment horizontal="center"/>
    </xf>
    <xf numFmtId="0" fontId="34" fillId="0" borderId="15" xfId="17" applyFont="1" applyFill="1" applyBorder="1" applyAlignment="1" applyProtection="1">
      <alignment horizontal="center"/>
    </xf>
    <xf numFmtId="0" fontId="34" fillId="0" borderId="15" xfId="17" applyFont="1" applyBorder="1" applyAlignment="1" applyProtection="1">
      <alignment horizontal="center" wrapText="1"/>
    </xf>
    <xf numFmtId="0" fontId="34" fillId="0" borderId="13" xfId="11" applyFont="1" applyFill="1" applyBorder="1" applyAlignment="1" applyProtection="1">
      <alignment horizontal="center" wrapText="1"/>
    </xf>
    <xf numFmtId="0" fontId="34" fillId="0" borderId="36" xfId="11" applyFont="1" applyFill="1" applyBorder="1" applyAlignment="1" applyProtection="1">
      <alignment horizontal="center" wrapText="1"/>
    </xf>
    <xf numFmtId="2" fontId="22" fillId="0" borderId="21" xfId="0" applyNumberFormat="1" applyFont="1" applyBorder="1" applyAlignment="1">
      <alignment horizontal="center"/>
    </xf>
    <xf numFmtId="0" fontId="22" fillId="3" borderId="21" xfId="4" applyFont="1" applyFill="1" applyBorder="1" applyAlignment="1" applyProtection="1">
      <alignment horizontal="center" vertical="center"/>
    </xf>
    <xf numFmtId="0" fontId="35" fillId="0" borderId="21" xfId="17" applyFont="1" applyBorder="1" applyAlignment="1" applyProtection="1">
      <alignment horizontal="center" wrapText="1"/>
    </xf>
    <xf numFmtId="0" fontId="34" fillId="0" borderId="31" xfId="11" applyFont="1" applyFill="1" applyBorder="1" applyAlignment="1" applyProtection="1"/>
    <xf numFmtId="0" fontId="50" fillId="0" borderId="37" xfId="8" applyFont="1" applyFill="1" applyBorder="1" applyProtection="1">
      <alignment vertical="center"/>
    </xf>
    <xf numFmtId="169" fontId="22" fillId="0" borderId="46" xfId="4" applyNumberFormat="1" applyFont="1" applyBorder="1">
      <alignment vertical="center"/>
    </xf>
    <xf numFmtId="0" fontId="22" fillId="3" borderId="13" xfId="4" applyFont="1" applyFill="1" applyBorder="1" applyAlignment="1" applyProtection="1">
      <alignment horizontal="center" vertical="center"/>
    </xf>
    <xf numFmtId="169" fontId="25" fillId="5" borderId="47" xfId="16" applyNumberFormat="1" applyFont="1" applyBorder="1" applyAlignment="1" applyProtection="1">
      <alignment horizontal="center"/>
    </xf>
    <xf numFmtId="0" fontId="22" fillId="3" borderId="12" xfId="4" applyFont="1" applyFill="1" applyBorder="1" applyAlignment="1" applyProtection="1">
      <alignment horizontal="center" vertical="center"/>
    </xf>
    <xf numFmtId="169" fontId="25" fillId="0" borderId="47" xfId="16" applyNumberFormat="1" applyFont="1" applyFill="1" applyBorder="1" applyAlignment="1" applyProtection="1">
      <alignment horizontal="center"/>
    </xf>
    <xf numFmtId="164" fontId="22" fillId="3" borderId="14" xfId="4" applyNumberFormat="1" applyFont="1" applyFill="1" applyBorder="1" applyAlignment="1" applyProtection="1">
      <alignment horizontal="center" vertical="center"/>
    </xf>
    <xf numFmtId="0" fontId="25" fillId="0" borderId="50" xfId="16" applyFont="1" applyFill="1" applyBorder="1" applyAlignment="1" applyProtection="1">
      <alignment horizontal="center"/>
    </xf>
    <xf numFmtId="0" fontId="25" fillId="0" borderId="51" xfId="16" applyFont="1" applyFill="1" applyBorder="1" applyAlignment="1" applyProtection="1">
      <alignment horizontal="center"/>
    </xf>
    <xf numFmtId="165" fontId="13" fillId="3" borderId="13" xfId="10" applyNumberFormat="1" applyFont="1" applyBorder="1" applyAlignment="1" applyProtection="1">
      <alignment horizontal="center"/>
    </xf>
    <xf numFmtId="166" fontId="13" fillId="3" borderId="12" xfId="10" applyNumberFormat="1" applyFont="1" applyBorder="1" applyAlignment="1" applyProtection="1">
      <alignment horizontal="center"/>
    </xf>
    <xf numFmtId="0" fontId="25" fillId="0" borderId="52" xfId="16" applyFont="1" applyFill="1" applyBorder="1" applyAlignment="1" applyProtection="1">
      <alignment horizontal="center"/>
    </xf>
    <xf numFmtId="0" fontId="56" fillId="0" borderId="0" xfId="0" applyFont="1" applyBorder="1"/>
    <xf numFmtId="0" fontId="25" fillId="5" borderId="48" xfId="16" applyFont="1" applyBorder="1" applyAlignment="1" applyProtection="1">
      <alignment horizontal="center"/>
    </xf>
    <xf numFmtId="0" fontId="25" fillId="0" borderId="16" xfId="16" applyFont="1" applyFill="1" applyBorder="1" applyAlignment="1" applyProtection="1">
      <alignment horizontal="center"/>
    </xf>
    <xf numFmtId="164" fontId="13" fillId="3" borderId="13" xfId="10" applyNumberFormat="1" applyFont="1" applyBorder="1" applyAlignment="1" applyProtection="1">
      <alignment horizontal="center"/>
    </xf>
    <xf numFmtId="167" fontId="25" fillId="4" borderId="13" xfId="11" applyNumberFormat="1" applyFont="1" applyBorder="1" applyAlignment="1" applyProtection="1">
      <alignment horizontal="center"/>
    </xf>
    <xf numFmtId="0" fontId="25" fillId="0" borderId="0" xfId="16" applyFont="1" applyFill="1" applyBorder="1" applyAlignment="1" applyProtection="1">
      <alignment horizontal="center"/>
    </xf>
    <xf numFmtId="0" fontId="13" fillId="3" borderId="12" xfId="10" applyFont="1" applyBorder="1" applyAlignment="1" applyProtection="1">
      <alignment horizontal="center"/>
    </xf>
    <xf numFmtId="170" fontId="13" fillId="3" borderId="12" xfId="10" applyNumberFormat="1" applyFont="1" applyBorder="1" applyAlignment="1" applyProtection="1">
      <alignment horizontal="center"/>
    </xf>
    <xf numFmtId="0" fontId="13" fillId="0" borderId="42" xfId="17" applyFont="1" applyBorder="1" applyAlignment="1" applyProtection="1">
      <alignment horizontal="right" vertical="center"/>
    </xf>
    <xf numFmtId="0" fontId="27" fillId="0" borderId="43" xfId="0" applyFont="1" applyBorder="1"/>
    <xf numFmtId="164" fontId="13" fillId="3" borderId="44" xfId="10" applyNumberFormat="1" applyFont="1" applyBorder="1" applyAlignment="1" applyProtection="1">
      <alignment horizontal="center"/>
    </xf>
    <xf numFmtId="170" fontId="13" fillId="3" borderId="13" xfId="10" applyNumberFormat="1" applyFont="1" applyBorder="1" applyAlignment="1" applyProtection="1">
      <alignment horizontal="center"/>
    </xf>
    <xf numFmtId="171" fontId="13" fillId="3" borderId="12" xfId="10" applyNumberFormat="1" applyFont="1" applyBorder="1" applyAlignment="1" applyProtection="1">
      <alignment horizontal="center"/>
    </xf>
    <xf numFmtId="164" fontId="13" fillId="3" borderId="12" xfId="10" applyNumberFormat="1" applyFont="1" applyBorder="1" applyAlignment="1" applyProtection="1">
      <alignment horizontal="center"/>
    </xf>
    <xf numFmtId="0" fontId="52" fillId="0" borderId="0" xfId="0" applyFont="1" applyBorder="1" applyAlignment="1">
      <alignment horizontal="center"/>
    </xf>
    <xf numFmtId="0" fontId="13" fillId="0" borderId="32" xfId="17" applyFont="1" applyBorder="1" applyAlignment="1" applyProtection="1">
      <alignment horizontal="right" vertical="center"/>
    </xf>
    <xf numFmtId="0" fontId="27" fillId="0" borderId="10" xfId="0" applyFont="1" applyBorder="1"/>
    <xf numFmtId="0" fontId="13" fillId="0" borderId="20" xfId="17" applyFont="1" applyBorder="1" applyAlignment="1" applyProtection="1">
      <alignment horizontal="right" vertical="center"/>
    </xf>
    <xf numFmtId="0" fontId="27" fillId="0" borderId="30" xfId="0" applyFont="1" applyBorder="1" applyAlignment="1">
      <alignment horizontal="center"/>
    </xf>
    <xf numFmtId="167" fontId="24" fillId="4" borderId="30" xfId="11" applyNumberFormat="1" applyFont="1" applyBorder="1" applyAlignment="1">
      <alignment horizontal="center"/>
    </xf>
    <xf numFmtId="167" fontId="24" fillId="4" borderId="31" xfId="11" applyNumberFormat="1" applyFont="1" applyBorder="1" applyAlignment="1">
      <alignment horizontal="center"/>
    </xf>
    <xf numFmtId="2" fontId="25" fillId="0" borderId="0" xfId="11" applyNumberFormat="1" applyFont="1" applyFill="1" applyBorder="1" applyAlignment="1" applyProtection="1">
      <alignment horizontal="center"/>
    </xf>
    <xf numFmtId="0" fontId="35" fillId="0" borderId="0" xfId="17" quotePrefix="1" applyFont="1" applyBorder="1" applyAlignment="1" applyProtection="1">
      <alignment wrapText="1"/>
    </xf>
    <xf numFmtId="0" fontId="22" fillId="3" borderId="12" xfId="4" applyFont="1" applyFill="1" applyBorder="1" applyAlignment="1">
      <alignment horizontal="center" vertical="center"/>
    </xf>
    <xf numFmtId="0" fontId="35" fillId="0" borderId="25" xfId="17" applyFont="1" applyBorder="1" applyAlignment="1" applyProtection="1">
      <alignment horizontal="center"/>
    </xf>
    <xf numFmtId="0" fontId="34" fillId="0" borderId="13" xfId="17" applyFont="1" applyFill="1" applyBorder="1" applyAlignment="1" applyProtection="1">
      <alignment horizontal="center" vertical="center"/>
    </xf>
    <xf numFmtId="0" fontId="34" fillId="0" borderId="15" xfId="17" applyFont="1" applyFill="1" applyBorder="1" applyAlignment="1" applyProtection="1">
      <alignment horizontal="center" vertical="center"/>
    </xf>
    <xf numFmtId="0" fontId="34" fillId="0" borderId="15" xfId="17" applyFont="1" applyBorder="1" applyAlignment="1" applyProtection="1">
      <alignment horizontal="center" vertical="center" wrapText="1"/>
    </xf>
    <xf numFmtId="2" fontId="22" fillId="0" borderId="14" xfId="0" applyNumberFormat="1" applyFont="1" applyBorder="1" applyAlignment="1">
      <alignment horizontal="center"/>
    </xf>
    <xf numFmtId="167" fontId="13" fillId="3" borderId="12" xfId="10" applyNumberFormat="1" applyFont="1" applyBorder="1" applyAlignment="1">
      <alignment horizontal="center" vertical="center"/>
    </xf>
    <xf numFmtId="2" fontId="25" fillId="4" borderId="28" xfId="11" applyNumberFormat="1" applyFont="1" applyBorder="1" applyAlignment="1" applyProtection="1">
      <alignment horizontal="center" vertical="center"/>
    </xf>
    <xf numFmtId="0" fontId="13" fillId="3" borderId="12" xfId="10" applyFont="1" applyBorder="1" applyAlignment="1">
      <alignment horizontal="center" vertical="center"/>
    </xf>
    <xf numFmtId="164" fontId="13" fillId="3" borderId="21" xfId="10" applyNumberFormat="1" applyFont="1" applyBorder="1" applyAlignment="1">
      <alignment horizontal="center" vertical="center"/>
    </xf>
    <xf numFmtId="11" fontId="25" fillId="0" borderId="21" xfId="11" applyNumberFormat="1" applyFont="1" applyFill="1" applyBorder="1" applyAlignment="1" applyProtection="1">
      <alignment horizontal="center" vertical="center"/>
    </xf>
    <xf numFmtId="11" fontId="25" fillId="0" borderId="22" xfId="11" applyNumberFormat="1" applyFont="1" applyFill="1" applyBorder="1" applyAlignment="1" applyProtection="1">
      <alignment horizontal="center" vertical="center"/>
    </xf>
    <xf numFmtId="4" fontId="13" fillId="3" borderId="12" xfId="10" applyNumberFormat="1" applyFont="1" applyBorder="1" applyAlignment="1">
      <alignment horizontal="center" vertical="center"/>
    </xf>
    <xf numFmtId="168" fontId="13" fillId="3" borderId="12" xfId="10" applyNumberFormat="1" applyFont="1" applyBorder="1" applyAlignment="1">
      <alignment horizontal="center" vertical="center"/>
    </xf>
    <xf numFmtId="167" fontId="25" fillId="4" borderId="12" xfId="11" applyNumberFormat="1" applyFont="1" applyBorder="1" applyAlignment="1" applyProtection="1">
      <alignment horizontal="center" vertical="center"/>
    </xf>
    <xf numFmtId="167" fontId="25" fillId="4" borderId="28" xfId="11" applyNumberFormat="1" applyFont="1" applyBorder="1" applyAlignment="1" applyProtection="1">
      <alignment horizontal="center" vertical="center"/>
    </xf>
    <xf numFmtId="0" fontId="27" fillId="0" borderId="21" xfId="0" applyFont="1" applyBorder="1" applyAlignment="1">
      <alignment horizontal="center" vertical="center"/>
    </xf>
    <xf numFmtId="2" fontId="25" fillId="4" borderId="22" xfId="11" applyNumberFormat="1" applyFont="1" applyBorder="1" applyAlignment="1" applyProtection="1">
      <alignment horizontal="center" vertical="center"/>
    </xf>
    <xf numFmtId="164" fontId="13" fillId="3" borderId="13" xfId="10" applyNumberFormat="1" applyFont="1" applyBorder="1" applyAlignment="1" applyProtection="1">
      <alignment horizontal="center" vertical="center"/>
    </xf>
    <xf numFmtId="168" fontId="13" fillId="3" borderId="12" xfId="10" applyNumberFormat="1" applyFont="1" applyBorder="1" applyAlignment="1" applyProtection="1">
      <alignment horizontal="center" vertical="center"/>
    </xf>
    <xf numFmtId="170" fontId="13" fillId="3" borderId="12" xfId="10" applyNumberFormat="1" applyFont="1" applyBorder="1" applyAlignment="1" applyProtection="1">
      <alignment horizontal="center" vertical="center"/>
    </xf>
    <xf numFmtId="171" fontId="13" fillId="3" borderId="12" xfId="10" applyNumberFormat="1" applyFont="1" applyBorder="1" applyAlignment="1" applyProtection="1">
      <alignment horizontal="center" vertical="center"/>
    </xf>
    <xf numFmtId="164" fontId="13" fillId="3" borderId="12" xfId="10" applyNumberFormat="1" applyFont="1" applyBorder="1" applyAlignment="1" applyProtection="1">
      <alignment horizontal="center" vertical="center"/>
    </xf>
    <xf numFmtId="0" fontId="27" fillId="0" borderId="30" xfId="0" applyFont="1" applyBorder="1" applyAlignment="1">
      <alignment horizontal="center" vertical="center"/>
    </xf>
    <xf numFmtId="167" fontId="24" fillId="4" borderId="30" xfId="11" applyNumberFormat="1" applyFont="1" applyBorder="1" applyAlignment="1">
      <alignment horizontal="center" vertical="center"/>
    </xf>
    <xf numFmtId="167" fontId="24" fillId="4" borderId="31" xfId="11" applyNumberFormat="1" applyFont="1" applyBorder="1" applyAlignment="1">
      <alignment horizontal="center" vertical="center"/>
    </xf>
    <xf numFmtId="0" fontId="13" fillId="0" borderId="21" xfId="17" applyFont="1" applyBorder="1" applyAlignment="1" applyProtection="1">
      <alignment horizontal="center" wrapText="1"/>
    </xf>
    <xf numFmtId="0" fontId="13" fillId="0" borderId="31" xfId="11" applyFont="1" applyFill="1" applyBorder="1" applyAlignment="1" applyProtection="1">
      <alignment horizontal="center" wrapText="1"/>
    </xf>
    <xf numFmtId="0" fontId="35" fillId="0" borderId="15" xfId="17" applyFont="1" applyBorder="1" applyAlignment="1" applyProtection="1">
      <alignment horizontal="center" vertical="center" wrapText="1"/>
    </xf>
    <xf numFmtId="0" fontId="34" fillId="0" borderId="27" xfId="17" applyFont="1" applyBorder="1" applyAlignment="1" applyProtection="1">
      <alignment horizontal="center" vertical="center" wrapText="1"/>
    </xf>
    <xf numFmtId="0" fontId="52" fillId="0" borderId="15" xfId="0" applyFont="1" applyBorder="1" applyAlignment="1">
      <alignment horizontal="center" vertical="center"/>
    </xf>
    <xf numFmtId="0" fontId="34" fillId="0" borderId="8" xfId="11" applyFont="1" applyFill="1" applyBorder="1" applyAlignment="1" applyProtection="1">
      <alignment horizontal="center" vertical="center" wrapText="1"/>
    </xf>
    <xf numFmtId="0" fontId="34" fillId="0" borderId="33" xfId="11" applyFont="1" applyFill="1" applyBorder="1" applyAlignment="1" applyProtection="1">
      <alignment horizontal="center" vertical="center" wrapText="1"/>
    </xf>
    <xf numFmtId="0" fontId="52" fillId="0" borderId="0" xfId="0" applyFont="1" applyBorder="1" applyAlignment="1">
      <alignment horizontal="center" vertical="center"/>
    </xf>
    <xf numFmtId="0" fontId="35" fillId="0" borderId="27" xfId="17" applyFont="1" applyBorder="1" applyAlignment="1" applyProtection="1">
      <alignment horizontal="center" vertical="center" wrapText="1"/>
    </xf>
    <xf numFmtId="0" fontId="39" fillId="0" borderId="15" xfId="0" applyFont="1" applyBorder="1" applyAlignment="1">
      <alignment horizontal="center" vertical="center"/>
    </xf>
    <xf numFmtId="0" fontId="35" fillId="0" borderId="8" xfId="17" applyFont="1" applyBorder="1" applyAlignment="1" applyProtection="1">
      <alignment horizontal="center" vertical="center" wrapText="1"/>
    </xf>
    <xf numFmtId="0" fontId="35" fillId="0" borderId="8" xfId="11" applyFont="1" applyFill="1" applyBorder="1" applyAlignment="1" applyProtection="1">
      <alignment horizontal="center" vertical="center" wrapText="1"/>
    </xf>
    <xf numFmtId="0" fontId="35" fillId="0" borderId="33" xfId="11" applyFont="1" applyFill="1" applyBorder="1" applyAlignment="1" applyProtection="1">
      <alignment horizontal="center" vertical="center" wrapText="1"/>
    </xf>
    <xf numFmtId="0" fontId="35" fillId="0" borderId="51" xfId="11" applyFont="1" applyFill="1" applyBorder="1" applyAlignment="1" applyProtection="1">
      <alignment horizontal="center" vertical="center" wrapText="1"/>
    </xf>
    <xf numFmtId="0" fontId="39" fillId="0" borderId="0" xfId="0" applyFont="1" applyBorder="1" applyAlignment="1">
      <alignment horizontal="center" vertical="center"/>
    </xf>
    <xf numFmtId="0" fontId="13" fillId="0" borderId="29" xfId="17" applyFont="1" applyBorder="1" applyAlignment="1" applyProtection="1">
      <alignment wrapText="1"/>
    </xf>
    <xf numFmtId="0" fontId="22" fillId="0" borderId="30" xfId="0" applyFont="1" applyBorder="1"/>
    <xf numFmtId="0" fontId="13" fillId="0" borderId="12" xfId="4" applyFont="1" applyBorder="1" applyAlignment="1">
      <alignment horizontal="center" vertical="center"/>
    </xf>
    <xf numFmtId="0" fontId="22" fillId="0" borderId="12" xfId="4" applyFont="1" applyFill="1" applyBorder="1" applyAlignment="1">
      <alignment horizontal="center" vertical="center"/>
    </xf>
    <xf numFmtId="0" fontId="59" fillId="0" borderId="0" xfId="0" applyFont="1" applyFill="1" applyBorder="1" applyAlignment="1">
      <alignment horizontal="left" vertical="center" indent="4"/>
    </xf>
    <xf numFmtId="0" fontId="13" fillId="0" borderId="0" xfId="17" applyFont="1" applyFill="1" applyBorder="1"/>
    <xf numFmtId="0" fontId="25" fillId="0" borderId="14" xfId="17" applyFont="1" applyFill="1" applyBorder="1"/>
    <xf numFmtId="0" fontId="13" fillId="0" borderId="15" xfId="17" applyFont="1" applyFill="1" applyBorder="1"/>
    <xf numFmtId="0" fontId="13" fillId="0" borderId="13" xfId="17" applyFont="1" applyFill="1" applyBorder="1"/>
    <xf numFmtId="0" fontId="33" fillId="0" borderId="7" xfId="17" applyFont="1" applyFill="1" applyBorder="1" applyAlignment="1">
      <alignment horizontal="right"/>
    </xf>
    <xf numFmtId="0" fontId="33" fillId="0" borderId="13" xfId="17" applyFont="1" applyFill="1" applyBorder="1" applyAlignment="1">
      <alignment horizontal="center" vertical="center"/>
    </xf>
    <xf numFmtId="0" fontId="33" fillId="0" borderId="0" xfId="17" applyFont="1" applyFill="1" applyBorder="1"/>
    <xf numFmtId="0" fontId="13" fillId="0" borderId="0" xfId="17" applyFont="1" applyFill="1"/>
    <xf numFmtId="0" fontId="13" fillId="0" borderId="7" xfId="17" applyFont="1" applyFill="1" applyBorder="1" applyAlignment="1">
      <alignment horizontal="right"/>
    </xf>
    <xf numFmtId="0" fontId="22" fillId="0" borderId="15" xfId="0" applyNumberFormat="1" applyFont="1" applyBorder="1" applyAlignment="1">
      <alignment horizontal="center" vertical="center"/>
    </xf>
    <xf numFmtId="0" fontId="13" fillId="0" borderId="13" xfId="17" applyFont="1" applyFill="1" applyBorder="1" applyAlignment="1">
      <alignment horizontal="right"/>
    </xf>
    <xf numFmtId="0" fontId="13" fillId="0" borderId="13" xfId="17" applyNumberFormat="1" applyFont="1" applyFill="1" applyBorder="1" applyAlignment="1">
      <alignment horizontal="center" vertical="center"/>
    </xf>
    <xf numFmtId="0" fontId="35" fillId="0" borderId="13" xfId="17" applyFont="1" applyFill="1" applyBorder="1" applyAlignment="1">
      <alignment horizontal="right"/>
    </xf>
    <xf numFmtId="0" fontId="13" fillId="0" borderId="15" xfId="17" applyNumberFormat="1" applyFont="1" applyFill="1" applyBorder="1" applyAlignment="1">
      <alignment horizontal="center" vertical="center"/>
    </xf>
    <xf numFmtId="0" fontId="22" fillId="0" borderId="13" xfId="0" applyNumberFormat="1" applyFont="1" applyBorder="1" applyAlignment="1">
      <alignment horizontal="center" vertical="center"/>
    </xf>
    <xf numFmtId="0" fontId="22" fillId="0" borderId="0" xfId="4" applyFont="1">
      <alignment vertical="center"/>
    </xf>
    <xf numFmtId="0" fontId="21" fillId="0" borderId="4" xfId="0" applyFont="1" applyBorder="1" applyAlignment="1">
      <alignment wrapText="1"/>
    </xf>
    <xf numFmtId="0" fontId="21" fillId="0" borderId="14" xfId="4" applyFont="1" applyBorder="1">
      <alignment vertical="center"/>
    </xf>
    <xf numFmtId="0" fontId="22" fillId="0" borderId="0" xfId="0" applyFont="1" applyAlignment="1"/>
    <xf numFmtId="0" fontId="13" fillId="0" borderId="0" xfId="17" applyFont="1" applyFill="1" applyBorder="1" applyAlignment="1"/>
    <xf numFmtId="0" fontId="13" fillId="0" borderId="0" xfId="17" applyFont="1" applyFill="1" applyAlignment="1"/>
    <xf numFmtId="0" fontId="22" fillId="0" borderId="7" xfId="0" applyFont="1" applyBorder="1" applyAlignment="1">
      <alignment wrapText="1"/>
    </xf>
    <xf numFmtId="0" fontId="22" fillId="0" borderId="8" xfId="0" applyFont="1" applyBorder="1" applyAlignment="1">
      <alignment wrapText="1"/>
    </xf>
    <xf numFmtId="0" fontId="60" fillId="0" borderId="0" xfId="4" applyFont="1" applyFill="1" applyBorder="1" applyAlignment="1"/>
    <xf numFmtId="0" fontId="21" fillId="0" borderId="7" xfId="0" applyFont="1" applyBorder="1" applyAlignment="1">
      <alignment wrapText="1"/>
    </xf>
    <xf numFmtId="0" fontId="21" fillId="0" borderId="15" xfId="4" applyFont="1" applyBorder="1">
      <alignment vertical="center"/>
    </xf>
    <xf numFmtId="0" fontId="22" fillId="0" borderId="15" xfId="4" applyFont="1" applyBorder="1">
      <alignment vertical="center"/>
    </xf>
    <xf numFmtId="0" fontId="22" fillId="0" borderId="7" xfId="0" applyFont="1" applyBorder="1" applyAlignment="1"/>
    <xf numFmtId="0" fontId="22" fillId="0" borderId="8" xfId="0" applyFont="1" applyBorder="1" applyAlignment="1"/>
    <xf numFmtId="0" fontId="26" fillId="0" borderId="10" xfId="4" applyFont="1" applyBorder="1" applyAlignment="1">
      <alignment vertical="center" wrapText="1"/>
    </xf>
    <xf numFmtId="0" fontId="22" fillId="0" borderId="0" xfId="0" applyFont="1" applyBorder="1" applyAlignment="1">
      <alignment wrapText="1"/>
    </xf>
    <xf numFmtId="0" fontId="22" fillId="0" borderId="0" xfId="0" applyFont="1" applyBorder="1" applyAlignment="1"/>
    <xf numFmtId="0" fontId="13" fillId="2" borderId="12" xfId="9" applyFont="1" applyBorder="1" applyAlignment="1"/>
    <xf numFmtId="0" fontId="30" fillId="0" borderId="0" xfId="6" applyFont="1" applyBorder="1">
      <alignment vertical="center"/>
    </xf>
    <xf numFmtId="0" fontId="22" fillId="0" borderId="0" xfId="0" applyFont="1" applyBorder="1" applyAlignment="1" applyProtection="1">
      <alignment horizontal="left"/>
      <protection hidden="1"/>
    </xf>
    <xf numFmtId="0" fontId="22" fillId="0" borderId="0" xfId="0" applyFont="1" applyBorder="1" applyAlignment="1">
      <alignment horizontal="right"/>
    </xf>
    <xf numFmtId="0" fontId="22" fillId="0" borderId="0" xfId="0" applyFont="1" applyBorder="1" applyAlignment="1">
      <alignment horizontal="left" wrapText="1"/>
    </xf>
    <xf numFmtId="0" fontId="52" fillId="0" borderId="0" xfId="4" applyFont="1" applyBorder="1" applyAlignment="1">
      <alignment vertical="center" wrapText="1"/>
    </xf>
    <xf numFmtId="0" fontId="35" fillId="0" borderId="0" xfId="17" applyFont="1" applyFill="1"/>
    <xf numFmtId="0" fontId="27" fillId="0" borderId="0" xfId="0" applyFont="1" applyBorder="1" applyProtection="1">
      <protection hidden="1"/>
    </xf>
    <xf numFmtId="0" fontId="30" fillId="0" borderId="0" xfId="1" applyFont="1" applyBorder="1" applyAlignment="1" applyProtection="1">
      <protection hidden="1"/>
    </xf>
    <xf numFmtId="0" fontId="25" fillId="0" borderId="0" xfId="0" applyFont="1" applyBorder="1" applyAlignment="1" applyProtection="1">
      <protection hidden="1"/>
    </xf>
    <xf numFmtId="0" fontId="13" fillId="0" borderId="0" xfId="0" applyFont="1" applyBorder="1" applyAlignment="1" applyProtection="1">
      <alignment horizontal="center" vertical="top"/>
      <protection hidden="1"/>
    </xf>
    <xf numFmtId="0" fontId="13" fillId="0" borderId="0" xfId="0" applyFont="1" applyBorder="1" applyAlignment="1" applyProtection="1">
      <alignment horizontal="left" vertical="top"/>
      <protection hidden="1"/>
    </xf>
    <xf numFmtId="0" fontId="22" fillId="0" borderId="0" xfId="4" applyFont="1" applyFill="1" applyBorder="1" applyAlignment="1">
      <alignment vertical="center"/>
    </xf>
    <xf numFmtId="0" fontId="26" fillId="0" borderId="0" xfId="8" applyFont="1" applyBorder="1" applyAlignment="1">
      <alignment vertical="center"/>
    </xf>
    <xf numFmtId="0" fontId="22" fillId="0" borderId="7" xfId="9" applyFont="1" applyFill="1" applyBorder="1" applyAlignment="1"/>
    <xf numFmtId="0" fontId="25" fillId="0" borderId="66" xfId="0" applyFont="1" applyFill="1" applyBorder="1" applyAlignment="1" applyProtection="1">
      <protection hidden="1"/>
    </xf>
    <xf numFmtId="0" fontId="22" fillId="0" borderId="67" xfId="4" applyFont="1" applyFill="1" applyBorder="1" applyAlignment="1">
      <alignment horizontal="right" vertical="center"/>
    </xf>
    <xf numFmtId="0" fontId="30" fillId="0" borderId="68" xfId="1" applyFont="1" applyFill="1" applyBorder="1" applyAlignment="1" applyProtection="1">
      <protection hidden="1"/>
    </xf>
    <xf numFmtId="0" fontId="0" fillId="0" borderId="67" xfId="0" applyFill="1" applyBorder="1"/>
    <xf numFmtId="0" fontId="22" fillId="0" borderId="68" xfId="0" applyFont="1" applyFill="1" applyBorder="1" applyAlignment="1" applyProtection="1">
      <alignment horizontal="left"/>
      <protection hidden="1"/>
    </xf>
    <xf numFmtId="0" fontId="22" fillId="0" borderId="69" xfId="4" applyFont="1" applyFill="1" applyBorder="1" applyAlignment="1">
      <alignment horizontal="right" vertical="center"/>
    </xf>
    <xf numFmtId="0" fontId="13" fillId="0" borderId="0" xfId="0" applyFont="1" applyBorder="1" applyAlignment="1" applyProtection="1">
      <alignment vertical="center"/>
      <protection hidden="1"/>
    </xf>
    <xf numFmtId="0" fontId="13" fillId="0" borderId="0" xfId="0" applyFont="1" applyBorder="1" applyAlignment="1" applyProtection="1">
      <alignment horizontal="center" vertical="center"/>
      <protection hidden="1"/>
    </xf>
    <xf numFmtId="0" fontId="22" fillId="0" borderId="0" xfId="0" applyFont="1" applyBorder="1" applyAlignment="1" applyProtection="1">
      <alignment vertical="center"/>
      <protection hidden="1"/>
    </xf>
    <xf numFmtId="0" fontId="39" fillId="0" borderId="0" xfId="0" applyFont="1" applyBorder="1" applyAlignment="1">
      <alignment horizontal="left" vertical="center"/>
    </xf>
    <xf numFmtId="0" fontId="24" fillId="0" borderId="0" xfId="0" applyFont="1" applyBorder="1" applyAlignment="1">
      <alignment horizontal="left" vertical="center"/>
    </xf>
    <xf numFmtId="0" fontId="24" fillId="0" borderId="10" xfId="0" applyFont="1" applyBorder="1" applyAlignment="1">
      <alignment horizontal="left" vertical="center"/>
    </xf>
    <xf numFmtId="0" fontId="24" fillId="0" borderId="2" xfId="0" applyFont="1" applyBorder="1" applyAlignment="1">
      <alignment horizontal="left" vertical="center"/>
    </xf>
    <xf numFmtId="0" fontId="13" fillId="0" borderId="0" xfId="0" applyFont="1" applyBorder="1" applyAlignment="1" applyProtection="1">
      <alignment horizontal="left" vertical="center"/>
      <protection hidden="1"/>
    </xf>
    <xf numFmtId="0" fontId="22" fillId="0" borderId="0" xfId="0" applyFont="1" applyAlignment="1" applyProtection="1">
      <alignment vertical="center"/>
      <protection hidden="1"/>
    </xf>
    <xf numFmtId="0" fontId="30" fillId="0" borderId="0" xfId="1" applyFont="1" applyBorder="1" applyAlignment="1" applyProtection="1">
      <alignment vertical="center"/>
      <protection hidden="1"/>
    </xf>
    <xf numFmtId="0" fontId="27" fillId="0" borderId="0" xfId="0" applyFont="1" applyBorder="1" applyAlignment="1" applyProtection="1">
      <alignment vertical="center"/>
      <protection hidden="1"/>
    </xf>
    <xf numFmtId="0" fontId="27" fillId="0" borderId="0" xfId="0" applyFont="1" applyAlignment="1" applyProtection="1">
      <protection hidden="1"/>
    </xf>
    <xf numFmtId="0" fontId="24" fillId="0" borderId="0" xfId="0" applyFont="1" applyBorder="1" applyAlignment="1">
      <alignment horizontal="left"/>
    </xf>
    <xf numFmtId="0" fontId="24" fillId="0" borderId="0" xfId="0" applyFont="1" applyBorder="1" applyAlignment="1">
      <alignment horizontal="left"/>
    </xf>
    <xf numFmtId="0" fontId="24" fillId="0" borderId="5" xfId="0" applyFont="1" applyBorder="1" applyAlignment="1">
      <alignment horizontal="left"/>
    </xf>
    <xf numFmtId="0" fontId="24" fillId="2" borderId="13" xfId="9" applyFont="1" applyBorder="1" applyAlignment="1">
      <alignment horizontal="center" vertical="center"/>
    </xf>
    <xf numFmtId="0" fontId="64" fillId="0" borderId="0" xfId="0" applyFont="1"/>
    <xf numFmtId="0" fontId="22" fillId="0" borderId="0" xfId="4" applyFont="1" applyBorder="1" applyAlignment="1">
      <alignment horizontal="left" vertical="center"/>
    </xf>
    <xf numFmtId="0" fontId="22" fillId="2" borderId="12" xfId="9" applyFont="1" applyBorder="1" applyAlignment="1">
      <alignment horizontal="center" vertical="center"/>
    </xf>
    <xf numFmtId="0" fontId="35" fillId="0" borderId="0" xfId="17" quotePrefix="1" applyFont="1" applyBorder="1" applyAlignment="1" applyProtection="1">
      <alignment vertical="center" wrapText="1"/>
    </xf>
    <xf numFmtId="0" fontId="22" fillId="0" borderId="0" xfId="4" applyFont="1" applyBorder="1" applyAlignment="1">
      <alignment vertical="center" wrapText="1"/>
    </xf>
    <xf numFmtId="0" fontId="24" fillId="0" borderId="0" xfId="4" applyFont="1" applyBorder="1" applyAlignment="1">
      <alignment horizontal="right" vertical="center" wrapText="1"/>
    </xf>
    <xf numFmtId="0" fontId="29" fillId="0" borderId="0" xfId="24" applyNumberFormat="1" applyFont="1" applyFill="1" applyBorder="1" applyAlignment="1" applyProtection="1">
      <alignment horizontal="left" vertical="center"/>
    </xf>
    <xf numFmtId="0" fontId="8" fillId="0" borderId="0" xfId="0" applyFont="1" applyBorder="1"/>
    <xf numFmtId="175" fontId="22" fillId="3" borderId="12" xfId="10" applyNumberFormat="1" applyFont="1" applyBorder="1" applyAlignment="1">
      <alignment horizontal="center" vertical="center" wrapText="1"/>
    </xf>
    <xf numFmtId="0" fontId="27" fillId="0" borderId="46" xfId="0" applyFont="1" applyBorder="1"/>
    <xf numFmtId="0" fontId="27" fillId="0" borderId="15" xfId="0" applyFont="1" applyBorder="1"/>
    <xf numFmtId="0" fontId="22" fillId="3" borderId="14" xfId="10" applyFont="1" applyBorder="1" applyAlignment="1" applyProtection="1">
      <alignment horizontal="center" vertical="center"/>
    </xf>
    <xf numFmtId="0" fontId="22" fillId="0" borderId="41" xfId="4" applyFont="1" applyFill="1" applyBorder="1" applyAlignment="1">
      <alignment horizontal="right" vertical="center"/>
    </xf>
    <xf numFmtId="0" fontId="39" fillId="0" borderId="54" xfId="4" applyFont="1" applyFill="1" applyBorder="1" applyAlignment="1">
      <alignment horizontal="center" vertical="center"/>
    </xf>
    <xf numFmtId="169" fontId="67" fillId="5" borderId="52" xfId="12" applyNumberFormat="1" applyFont="1" applyBorder="1" applyAlignment="1" applyProtection="1">
      <alignment horizontal="center" vertical="center"/>
    </xf>
    <xf numFmtId="169" fontId="67" fillId="5" borderId="47" xfId="12" applyNumberFormat="1" applyFont="1" applyBorder="1" applyAlignment="1" applyProtection="1">
      <alignment horizontal="center" vertical="center"/>
    </xf>
    <xf numFmtId="169" fontId="67" fillId="0" borderId="47" xfId="12" applyNumberFormat="1" applyFont="1" applyFill="1" applyBorder="1" applyAlignment="1" applyProtection="1">
      <alignment horizontal="center" vertical="center"/>
    </xf>
    <xf numFmtId="169" fontId="67" fillId="0" borderId="48" xfId="12" applyNumberFormat="1" applyFont="1" applyFill="1" applyBorder="1" applyAlignment="1" applyProtection="1">
      <alignment horizontal="center" vertical="center"/>
    </xf>
    <xf numFmtId="0" fontId="62" fillId="0" borderId="41" xfId="6" applyFont="1" applyBorder="1" applyAlignment="1">
      <alignment horizontal="right" vertical="center"/>
    </xf>
    <xf numFmtId="1" fontId="39" fillId="0" borderId="46" xfId="4" applyNumberFormat="1" applyFont="1" applyFill="1" applyBorder="1" applyAlignment="1">
      <alignment horizontal="right" vertical="center"/>
    </xf>
    <xf numFmtId="1" fontId="67" fillId="0" borderId="51" xfId="11" applyNumberFormat="1" applyFont="1" applyFill="1" applyBorder="1" applyAlignment="1" applyProtection="1">
      <alignment horizontal="center" vertical="center"/>
    </xf>
    <xf numFmtId="1" fontId="67" fillId="0" borderId="52" xfId="11" applyNumberFormat="1" applyFont="1" applyFill="1" applyBorder="1" applyAlignment="1" applyProtection="1">
      <alignment horizontal="center" vertical="center"/>
    </xf>
    <xf numFmtId="1" fontId="67" fillId="5" borderId="48" xfId="12" applyNumberFormat="1" applyFont="1" applyBorder="1" applyAlignment="1" applyProtection="1">
      <alignment horizontal="center" vertical="center"/>
    </xf>
    <xf numFmtId="0" fontId="39" fillId="0" borderId="58" xfId="0" applyFont="1" applyBorder="1" applyAlignment="1">
      <alignment horizontal="right"/>
    </xf>
    <xf numFmtId="0" fontId="39" fillId="0" borderId="27" xfId="0" applyFont="1" applyBorder="1" applyAlignment="1">
      <alignment horizontal="right"/>
    </xf>
    <xf numFmtId="0" fontId="36" fillId="0" borderId="0" xfId="0" applyFont="1" applyBorder="1"/>
    <xf numFmtId="0" fontId="34" fillId="0" borderId="0" xfId="0" applyFont="1" applyBorder="1" applyAlignment="1">
      <alignment horizontal="center"/>
    </xf>
    <xf numFmtId="0" fontId="35" fillId="0" borderId="12" xfId="17" applyFont="1" applyFill="1" applyBorder="1"/>
    <xf numFmtId="0" fontId="67" fillId="0" borderId="12" xfId="17" applyFont="1" applyFill="1" applyBorder="1" applyAlignment="1">
      <alignment horizontal="center" wrapText="1"/>
    </xf>
    <xf numFmtId="0" fontId="67" fillId="0" borderId="1" xfId="17" applyFont="1" applyFill="1" applyBorder="1" applyAlignment="1">
      <alignment horizontal="center" wrapText="1"/>
    </xf>
    <xf numFmtId="0" fontId="69" fillId="0" borderId="14" xfId="17" applyFont="1" applyFill="1" applyBorder="1" applyAlignment="1">
      <alignment horizontal="right"/>
    </xf>
    <xf numFmtId="0" fontId="62" fillId="0" borderId="14" xfId="1" applyFont="1" applyFill="1" applyBorder="1" applyAlignment="1">
      <alignment horizontal="center"/>
    </xf>
    <xf numFmtId="0" fontId="62" fillId="0" borderId="4" xfId="1" applyFont="1" applyFill="1" applyBorder="1" applyAlignment="1">
      <alignment horizontal="center"/>
    </xf>
    <xf numFmtId="0" fontId="62" fillId="0" borderId="3" xfId="1" applyFont="1" applyFill="1" applyBorder="1" applyAlignment="1">
      <alignment horizontal="center"/>
    </xf>
    <xf numFmtId="0" fontId="70" fillId="0" borderId="0" xfId="17" applyFont="1" applyFill="1"/>
    <xf numFmtId="0" fontId="35" fillId="0" borderId="14" xfId="17" applyFont="1" applyFill="1" applyBorder="1" applyAlignment="1">
      <alignment horizontal="right"/>
    </xf>
    <xf numFmtId="0" fontId="35" fillId="0" borderId="5" xfId="20" applyFont="1" applyFill="1" applyBorder="1" applyAlignment="1">
      <alignment horizontal="center"/>
    </xf>
    <xf numFmtId="0" fontId="35" fillId="0" borderId="0" xfId="20" applyFont="1" applyFill="1" applyBorder="1" applyAlignment="1">
      <alignment horizontal="center"/>
    </xf>
    <xf numFmtId="0" fontId="35" fillId="0" borderId="15" xfId="17" applyFont="1" applyFill="1" applyBorder="1" applyAlignment="1">
      <alignment horizontal="right"/>
    </xf>
    <xf numFmtId="0" fontId="61" fillId="0" borderId="2" xfId="17" applyFont="1" applyFill="1" applyBorder="1" applyAlignment="1">
      <alignment horizontal="center"/>
    </xf>
    <xf numFmtId="2" fontId="35" fillId="0" borderId="5" xfId="20" applyNumberFormat="1" applyFont="1" applyFill="1" applyBorder="1" applyAlignment="1">
      <alignment horizontal="center"/>
    </xf>
    <xf numFmtId="167" fontId="35" fillId="0" borderId="0" xfId="20" applyNumberFormat="1" applyFont="1" applyFill="1" applyBorder="1" applyAlignment="1">
      <alignment horizontal="center"/>
    </xf>
    <xf numFmtId="167" fontId="35" fillId="0" borderId="10" xfId="20" applyNumberFormat="1" applyFont="1" applyFill="1" applyBorder="1" applyAlignment="1">
      <alignment horizontal="center"/>
    </xf>
    <xf numFmtId="167" fontId="35" fillId="0" borderId="10" xfId="20" quotePrefix="1" applyNumberFormat="1" applyFont="1" applyFill="1" applyBorder="1" applyAlignment="1">
      <alignment horizontal="center"/>
    </xf>
    <xf numFmtId="167" fontId="35" fillId="0" borderId="11" xfId="20" quotePrefix="1" applyNumberFormat="1" applyFont="1" applyFill="1" applyBorder="1" applyAlignment="1">
      <alignment horizontal="center"/>
    </xf>
    <xf numFmtId="0" fontId="61" fillId="0" borderId="1" xfId="17" applyFont="1" applyFill="1" applyBorder="1" applyAlignment="1">
      <alignment horizontal="right"/>
    </xf>
    <xf numFmtId="0" fontId="39" fillId="0" borderId="14" xfId="0" applyFont="1" applyBorder="1" applyAlignment="1">
      <alignment horizontal="right"/>
    </xf>
    <xf numFmtId="0" fontId="35" fillId="0" borderId="5" xfId="20" applyFont="1" applyFill="1" applyBorder="1" applyAlignment="1">
      <alignment horizontal="center" vertical="center"/>
    </xf>
    <xf numFmtId="0" fontId="39" fillId="0" borderId="5" xfId="0" applyFont="1" applyFill="1" applyBorder="1" applyAlignment="1">
      <alignment horizontal="center" vertical="center"/>
    </xf>
    <xf numFmtId="0" fontId="39" fillId="0" borderId="15" xfId="0" applyFont="1" applyBorder="1" applyAlignment="1">
      <alignment horizontal="right"/>
    </xf>
    <xf numFmtId="0" fontId="35" fillId="0" borderId="0" xfId="20" applyFont="1" applyFill="1" applyBorder="1" applyAlignment="1">
      <alignment horizontal="center" vertical="center"/>
    </xf>
    <xf numFmtId="0" fontId="39" fillId="0" borderId="0" xfId="0" applyFont="1" applyFill="1" applyBorder="1" applyAlignment="1">
      <alignment horizontal="center" vertical="center"/>
    </xf>
    <xf numFmtId="0" fontId="35" fillId="0" borderId="0" xfId="17" applyFont="1" applyFill="1" applyBorder="1"/>
    <xf numFmtId="0" fontId="35" fillId="0" borderId="72" xfId="17" applyFont="1" applyBorder="1" applyAlignment="1" applyProtection="1">
      <alignment horizontal="right" vertical="center"/>
    </xf>
    <xf numFmtId="0" fontId="35" fillId="0" borderId="43" xfId="20" applyFont="1" applyFill="1" applyBorder="1" applyAlignment="1">
      <alignment horizontal="center" vertical="center"/>
    </xf>
    <xf numFmtId="0" fontId="35" fillId="0" borderId="73" xfId="17" applyFont="1" applyBorder="1" applyAlignment="1" applyProtection="1">
      <alignment horizontal="right" vertical="center"/>
    </xf>
    <xf numFmtId="0" fontId="35" fillId="0" borderId="59" xfId="20" applyFont="1" applyFill="1" applyBorder="1" applyAlignment="1">
      <alignment horizontal="center" vertical="center"/>
    </xf>
    <xf numFmtId="0" fontId="35" fillId="0" borderId="15" xfId="17" applyFont="1" applyBorder="1" applyAlignment="1" applyProtection="1">
      <alignment horizontal="right" vertical="center"/>
    </xf>
    <xf numFmtId="0" fontId="39" fillId="0" borderId="72" xfId="0" applyFont="1" applyBorder="1" applyAlignment="1">
      <alignment horizontal="right"/>
    </xf>
    <xf numFmtId="0" fontId="39" fillId="0" borderId="43" xfId="0" applyFont="1" applyFill="1" applyBorder="1" applyAlignment="1">
      <alignment horizontal="center" vertical="center"/>
    </xf>
    <xf numFmtId="0" fontId="35" fillId="0" borderId="0" xfId="17" applyFont="1" applyFill="1" applyBorder="1" applyAlignment="1">
      <alignment wrapText="1"/>
    </xf>
    <xf numFmtId="11" fontId="35" fillId="0" borderId="0" xfId="17" applyNumberFormat="1" applyFont="1" applyFill="1" applyBorder="1"/>
    <xf numFmtId="0" fontId="35" fillId="0" borderId="0" xfId="17" applyFont="1" applyFill="1" applyBorder="1" applyAlignment="1">
      <alignment horizontal="center" vertical="center"/>
    </xf>
    <xf numFmtId="0" fontId="35" fillId="0" borderId="13" xfId="17" applyFont="1" applyBorder="1" applyAlignment="1" applyProtection="1">
      <alignment horizontal="right" vertical="center"/>
    </xf>
    <xf numFmtId="0" fontId="35" fillId="0" borderId="10" xfId="20" applyFont="1" applyFill="1" applyBorder="1" applyAlignment="1">
      <alignment horizontal="center" vertical="center"/>
    </xf>
    <xf numFmtId="0" fontId="37" fillId="0" borderId="0" xfId="17" applyFont="1" applyFill="1"/>
    <xf numFmtId="0" fontId="71" fillId="0" borderId="12" xfId="17" applyFont="1" applyFill="1" applyBorder="1" applyAlignment="1">
      <alignment horizontal="center" wrapText="1"/>
    </xf>
    <xf numFmtId="0" fontId="35" fillId="0" borderId="12" xfId="20" applyFont="1" applyFill="1" applyBorder="1" applyAlignment="1">
      <alignment horizontal="center" wrapText="1"/>
    </xf>
    <xf numFmtId="0" fontId="67" fillId="0" borderId="12" xfId="20" applyFont="1" applyFill="1" applyBorder="1" applyAlignment="1">
      <alignment horizontal="center" wrapText="1"/>
    </xf>
    <xf numFmtId="49" fontId="74" fillId="0" borderId="13" xfId="22" applyNumberFormat="1" applyFont="1" applyFill="1" applyBorder="1"/>
    <xf numFmtId="0" fontId="35" fillId="0" borderId="13" xfId="17" applyFont="1" applyFill="1" applyBorder="1"/>
    <xf numFmtId="11" fontId="35" fillId="0" borderId="13" xfId="17" applyNumberFormat="1" applyFont="1" applyFill="1" applyBorder="1"/>
    <xf numFmtId="0" fontId="35" fillId="0" borderId="11" xfId="17" applyFont="1" applyFill="1" applyBorder="1" applyAlignment="1">
      <alignment wrapText="1"/>
    </xf>
    <xf numFmtId="0" fontId="35" fillId="0" borderId="13" xfId="17" quotePrefix="1" applyFont="1" applyFill="1" applyBorder="1"/>
    <xf numFmtId="49" fontId="74" fillId="0" borderId="12" xfId="22" applyNumberFormat="1" applyFont="1" applyFill="1" applyBorder="1"/>
    <xf numFmtId="11" fontId="35" fillId="0" borderId="12" xfId="17" applyNumberFormat="1" applyFont="1" applyFill="1" applyBorder="1"/>
    <xf numFmtId="167" fontId="58" fillId="8" borderId="13" xfId="4" applyNumberFormat="1" applyFont="1" applyFill="1" applyBorder="1" applyAlignment="1" applyProtection="1">
      <alignment horizontal="center" vertical="center"/>
    </xf>
    <xf numFmtId="0" fontId="58" fillId="8" borderId="13" xfId="4" applyFont="1" applyFill="1" applyBorder="1" applyAlignment="1" applyProtection="1">
      <alignment horizontal="center" vertical="center"/>
    </xf>
    <xf numFmtId="2" fontId="58" fillId="8" borderId="13" xfId="4" applyNumberFormat="1" applyFont="1" applyFill="1" applyBorder="1" applyAlignment="1" applyProtection="1">
      <alignment horizontal="center" vertical="center"/>
    </xf>
    <xf numFmtId="0" fontId="35" fillId="0" borderId="0" xfId="0" applyFont="1" applyBorder="1"/>
    <xf numFmtId="0" fontId="13" fillId="0" borderId="0" xfId="0" applyFont="1"/>
    <xf numFmtId="0" fontId="35" fillId="0" borderId="0" xfId="0" applyFont="1"/>
    <xf numFmtId="0" fontId="22" fillId="0" borderId="0" xfId="4" quotePrefix="1" applyFont="1" applyFill="1" applyBorder="1" applyAlignment="1" applyProtection="1">
      <alignment vertical="center" wrapText="1"/>
    </xf>
    <xf numFmtId="0" fontId="22" fillId="0" borderId="0" xfId="4" applyFont="1" applyBorder="1" applyAlignment="1">
      <alignment horizontal="right" vertical="center" wrapText="1"/>
    </xf>
    <xf numFmtId="0" fontId="13" fillId="0" borderId="0" xfId="17" applyFont="1" applyFill="1" applyAlignment="1">
      <alignment horizontal="center"/>
    </xf>
    <xf numFmtId="0" fontId="25" fillId="0" borderId="4" xfId="17" applyFont="1" applyFill="1" applyBorder="1"/>
    <xf numFmtId="0" fontId="25" fillId="0" borderId="7" xfId="17" applyFont="1" applyFill="1" applyBorder="1"/>
    <xf numFmtId="0" fontId="22" fillId="0" borderId="7" xfId="0" applyFont="1" applyBorder="1" applyAlignment="1">
      <alignment horizontal="right"/>
    </xf>
    <xf numFmtId="0" fontId="22" fillId="0" borderId="9" xfId="0" applyFont="1" applyBorder="1" applyAlignment="1">
      <alignment horizontal="right"/>
    </xf>
    <xf numFmtId="0" fontId="33" fillId="0" borderId="11" xfId="17" applyFont="1" applyFill="1" applyBorder="1" applyAlignment="1">
      <alignment horizontal="center" vertical="center"/>
    </xf>
    <xf numFmtId="0" fontId="76" fillId="0" borderId="8" xfId="0" applyFont="1" applyBorder="1" applyAlignment="1">
      <alignment horizontal="right" vertical="top" wrapText="1"/>
    </xf>
    <xf numFmtId="0" fontId="13" fillId="0" borderId="8" xfId="17" applyFont="1" applyFill="1" applyBorder="1"/>
    <xf numFmtId="2" fontId="22" fillId="0" borderId="15" xfId="4" applyNumberFormat="1" applyFont="1" applyFill="1" applyBorder="1" applyAlignment="1">
      <alignment horizontal="center" vertical="center"/>
    </xf>
    <xf numFmtId="176" fontId="13" fillId="0" borderId="15" xfId="20" applyNumberFormat="1" applyFont="1" applyFill="1" applyBorder="1" applyAlignment="1">
      <alignment horizontal="center" vertical="center"/>
    </xf>
    <xf numFmtId="177" fontId="22" fillId="0" borderId="12" xfId="4" applyNumberFormat="1" applyFont="1" applyBorder="1" applyAlignment="1">
      <alignment horizontal="center" vertical="center" wrapText="1"/>
    </xf>
    <xf numFmtId="177" fontId="13" fillId="0" borderId="0" xfId="17" applyNumberFormat="1" applyFont="1" applyFill="1" applyAlignment="1">
      <alignment horizontal="center"/>
    </xf>
    <xf numFmtId="0" fontId="22" fillId="0" borderId="0" xfId="0" applyFont="1" applyBorder="1" applyAlignment="1">
      <alignment vertical="center" wrapText="1"/>
    </xf>
    <xf numFmtId="2" fontId="28" fillId="0" borderId="39" xfId="6" applyNumberFormat="1" applyFont="1" applyBorder="1" applyAlignment="1">
      <alignment vertical="center"/>
    </xf>
    <xf numFmtId="0" fontId="21" fillId="0" borderId="0" xfId="8" applyFont="1" applyFill="1" applyBorder="1" applyAlignment="1">
      <alignment horizontal="left" vertical="center" wrapText="1" indent="2"/>
    </xf>
    <xf numFmtId="0" fontId="24" fillId="0" borderId="11" xfId="0" applyFont="1" applyBorder="1" applyAlignment="1">
      <alignment horizontal="center" vertical="center" wrapText="1"/>
    </xf>
    <xf numFmtId="0" fontId="22" fillId="0" borderId="10" xfId="0" applyFont="1" applyBorder="1" applyAlignment="1">
      <alignment horizontal="left" vertical="center" wrapText="1" indent="1"/>
    </xf>
    <xf numFmtId="0" fontId="22" fillId="0" borderId="0" xfId="0" applyFont="1" applyBorder="1" applyAlignment="1">
      <alignment horizontal="left" vertical="center" wrapText="1" indent="1"/>
    </xf>
    <xf numFmtId="0" fontId="62" fillId="0" borderId="0" xfId="26" applyNumberFormat="1" applyFont="1" applyFill="1" applyBorder="1" applyAlignment="1" applyProtection="1">
      <alignment horizontal="left" vertical="center"/>
    </xf>
    <xf numFmtId="0" fontId="21" fillId="0" borderId="0" xfId="0" applyFont="1" applyBorder="1" applyAlignment="1">
      <alignment wrapText="1"/>
    </xf>
    <xf numFmtId="0" fontId="76" fillId="0" borderId="7" xfId="0" applyFont="1" applyBorder="1" applyAlignment="1">
      <alignment horizontal="left" vertical="top" wrapText="1"/>
    </xf>
    <xf numFmtId="0" fontId="22" fillId="0" borderId="0" xfId="4" applyFont="1" applyBorder="1" applyAlignment="1">
      <alignment horizontal="center" vertical="center" wrapText="1"/>
    </xf>
    <xf numFmtId="0" fontId="13" fillId="0" borderId="10" xfId="17" applyFont="1" applyBorder="1" applyAlignment="1" applyProtection="1">
      <alignment horizontal="right" vertical="center"/>
    </xf>
    <xf numFmtId="0" fontId="22" fillId="0" borderId="2" xfId="0" applyFont="1" applyBorder="1"/>
    <xf numFmtId="0" fontId="22" fillId="0" borderId="3" xfId="0" applyFont="1" applyBorder="1"/>
    <xf numFmtId="167" fontId="22" fillId="0" borderId="2" xfId="4" applyNumberFormat="1" applyFont="1" applyFill="1" applyBorder="1" applyAlignment="1" applyProtection="1">
      <alignment horizontal="center" vertical="center"/>
    </xf>
    <xf numFmtId="167" fontId="22" fillId="0" borderId="10" xfId="4" applyNumberFormat="1" applyFont="1" applyFill="1" applyBorder="1" applyAlignment="1" applyProtection="1">
      <alignment horizontal="center" vertical="center"/>
    </xf>
    <xf numFmtId="2" fontId="22" fillId="0" borderId="62" xfId="0" applyNumberFormat="1" applyFont="1" applyFill="1" applyBorder="1" applyAlignment="1">
      <alignment horizontal="center"/>
    </xf>
    <xf numFmtId="0" fontId="22" fillId="0" borderId="1" xfId="4" applyFont="1" applyFill="1" applyBorder="1" applyAlignment="1">
      <alignment horizontal="center" vertical="center"/>
    </xf>
    <xf numFmtId="0" fontId="22" fillId="0" borderId="3" xfId="4" applyFont="1" applyFill="1" applyBorder="1" applyAlignment="1">
      <alignment horizontal="center" vertical="center"/>
    </xf>
    <xf numFmtId="0" fontId="22" fillId="0" borderId="0" xfId="4" applyFont="1" applyFill="1" applyBorder="1" applyAlignment="1">
      <alignment horizontal="center" vertical="center"/>
    </xf>
    <xf numFmtId="0" fontId="13" fillId="0" borderId="0" xfId="4" applyFont="1" applyBorder="1" applyAlignment="1">
      <alignment horizontal="center" vertical="center"/>
    </xf>
    <xf numFmtId="0" fontId="80" fillId="0" borderId="0" xfId="6" applyFont="1" applyFill="1" applyBorder="1" applyAlignment="1" applyProtection="1">
      <alignment horizontal="center" vertical="center" wrapText="1"/>
    </xf>
    <xf numFmtId="0" fontId="36" fillId="0" borderId="0" xfId="25" applyFont="1" applyBorder="1"/>
    <xf numFmtId="0" fontId="27" fillId="0" borderId="0" xfId="25" applyFont="1" applyBorder="1"/>
    <xf numFmtId="0" fontId="24" fillId="0" borderId="0" xfId="4" applyFont="1" applyFill="1" applyBorder="1" applyAlignment="1">
      <alignment vertical="center" wrapText="1"/>
    </xf>
    <xf numFmtId="0" fontId="22" fillId="0" borderId="0" xfId="0" applyFont="1" applyAlignment="1">
      <alignment horizontal="right"/>
    </xf>
    <xf numFmtId="169" fontId="22" fillId="0" borderId="15" xfId="4" applyNumberFormat="1" applyFont="1" applyBorder="1" applyAlignment="1">
      <alignment horizontal="center" vertical="center"/>
    </xf>
    <xf numFmtId="169" fontId="22" fillId="0" borderId="15" xfId="0" applyNumberFormat="1" applyFont="1" applyBorder="1" applyAlignment="1">
      <alignment horizontal="center" vertical="center"/>
    </xf>
    <xf numFmtId="2" fontId="13" fillId="0" borderId="15" xfId="20" applyNumberFormat="1" applyFont="1" applyFill="1" applyBorder="1" applyAlignment="1">
      <alignment horizontal="center" vertical="center"/>
    </xf>
    <xf numFmtId="167" fontId="13" fillId="0" borderId="15" xfId="20" applyNumberFormat="1" applyFont="1" applyFill="1" applyBorder="1" applyAlignment="1">
      <alignment horizontal="center" vertical="center"/>
    </xf>
    <xf numFmtId="167" fontId="22" fillId="0" borderId="15" xfId="4" applyNumberFormat="1" applyFont="1" applyBorder="1" applyAlignment="1">
      <alignment horizontal="center" vertical="center"/>
    </xf>
    <xf numFmtId="0" fontId="13" fillId="0" borderId="14" xfId="1" applyFont="1" applyFill="1" applyBorder="1" applyAlignment="1">
      <alignment horizontal="center"/>
    </xf>
    <xf numFmtId="0" fontId="13" fillId="0" borderId="10" xfId="17" applyFont="1" applyFill="1" applyBorder="1" applyAlignment="1">
      <alignment horizontal="center"/>
    </xf>
    <xf numFmtId="167" fontId="25" fillId="4" borderId="14" xfId="11" applyNumberFormat="1" applyFont="1" applyBorder="1" applyAlignment="1" applyProtection="1">
      <alignment horizontal="center"/>
    </xf>
    <xf numFmtId="0" fontId="0" fillId="0" borderId="8" xfId="0" applyBorder="1"/>
    <xf numFmtId="167" fontId="22" fillId="3" borderId="13" xfId="4" applyNumberFormat="1" applyFont="1" applyFill="1" applyBorder="1" applyAlignment="1" applyProtection="1">
      <alignment horizontal="center" vertical="center"/>
    </xf>
    <xf numFmtId="167" fontId="28" fillId="0" borderId="38" xfId="6" applyNumberFormat="1" applyFont="1" applyBorder="1" applyAlignment="1">
      <alignment vertical="center"/>
    </xf>
    <xf numFmtId="167" fontId="28" fillId="0" borderId="39" xfId="6" applyNumberFormat="1" applyFont="1" applyBorder="1" applyAlignment="1">
      <alignment vertical="center"/>
    </xf>
    <xf numFmtId="167" fontId="13" fillId="3" borderId="12" xfId="18" applyNumberFormat="1" applyFont="1" applyBorder="1" applyAlignment="1">
      <alignment horizontal="center"/>
    </xf>
    <xf numFmtId="0" fontId="0" fillId="0" borderId="7" xfId="0" applyBorder="1"/>
    <xf numFmtId="0" fontId="27" fillId="0" borderId="6" xfId="0" applyFont="1" applyBorder="1"/>
    <xf numFmtId="0" fontId="22" fillId="0" borderId="8" xfId="0" applyFont="1" applyBorder="1"/>
    <xf numFmtId="0" fontId="22" fillId="0" borderId="43" xfId="0" applyFont="1" applyBorder="1"/>
    <xf numFmtId="0" fontId="22" fillId="0" borderId="45" xfId="0" applyFont="1" applyBorder="1"/>
    <xf numFmtId="0" fontId="27" fillId="0" borderId="4" xfId="0" applyFont="1" applyFill="1" applyBorder="1"/>
    <xf numFmtId="0" fontId="27" fillId="0" borderId="7" xfId="0" applyFont="1" applyFill="1" applyBorder="1"/>
    <xf numFmtId="0" fontId="27" fillId="0" borderId="8" xfId="0" applyFont="1" applyBorder="1"/>
    <xf numFmtId="0" fontId="27" fillId="0" borderId="62" xfId="0" applyFont="1" applyFill="1" applyBorder="1"/>
    <xf numFmtId="0" fontId="27" fillId="0" borderId="45" xfId="0" applyFont="1" applyBorder="1"/>
    <xf numFmtId="0" fontId="22" fillId="0" borderId="8" xfId="4" applyFont="1" applyFill="1" applyBorder="1" applyAlignment="1" applyProtection="1">
      <alignment horizontal="center" vertical="center"/>
    </xf>
    <xf numFmtId="0" fontId="33" fillId="0" borderId="2" xfId="1" applyFont="1" applyFill="1" applyBorder="1" applyAlignment="1">
      <alignment horizontal="center" vertical="center"/>
    </xf>
    <xf numFmtId="0" fontId="13" fillId="0" borderId="0" xfId="17" applyFont="1" applyFill="1" applyBorder="1" applyAlignment="1">
      <alignment vertical="center"/>
    </xf>
    <xf numFmtId="0" fontId="13" fillId="0" borderId="0" xfId="17" applyFont="1" applyFill="1" applyAlignment="1">
      <alignment vertical="center"/>
    </xf>
    <xf numFmtId="0" fontId="33" fillId="0" borderId="11" xfId="17" applyFont="1" applyFill="1" applyBorder="1" applyAlignment="1">
      <alignment horizontal="right" vertical="center"/>
    </xf>
    <xf numFmtId="0" fontId="13" fillId="0" borderId="3" xfId="17" applyFont="1" applyFill="1" applyBorder="1" applyAlignment="1">
      <alignment vertical="center"/>
    </xf>
    <xf numFmtId="0" fontId="13" fillId="0" borderId="2" xfId="1" applyFont="1" applyFill="1" applyBorder="1" applyAlignment="1">
      <alignment horizontal="center" vertical="center"/>
    </xf>
    <xf numFmtId="0" fontId="13" fillId="0" borderId="2" xfId="17" applyFont="1" applyFill="1" applyBorder="1" applyAlignment="1">
      <alignment horizontal="center" vertical="center"/>
    </xf>
    <xf numFmtId="0" fontId="13" fillId="0" borderId="14" xfId="17" applyFont="1" applyFill="1" applyBorder="1" applyAlignment="1">
      <alignment horizontal="right" vertical="center"/>
    </xf>
    <xf numFmtId="0" fontId="13" fillId="0" borderId="14" xfId="17" applyFont="1" applyFill="1" applyBorder="1" applyAlignment="1">
      <alignment horizontal="center" vertical="center"/>
    </xf>
    <xf numFmtId="0" fontId="22" fillId="0" borderId="14" xfId="0" applyFont="1" applyFill="1" applyBorder="1" applyAlignment="1">
      <alignment horizontal="center" vertical="center"/>
    </xf>
    <xf numFmtId="0" fontId="13" fillId="0" borderId="15" xfId="17" applyFont="1" applyFill="1" applyBorder="1" applyAlignment="1">
      <alignment horizontal="right" vertical="center"/>
    </xf>
    <xf numFmtId="0" fontId="13" fillId="0" borderId="15" xfId="17" applyFont="1" applyFill="1" applyBorder="1" applyAlignment="1">
      <alignment horizontal="center" vertical="center"/>
    </xf>
    <xf numFmtId="0" fontId="22" fillId="0" borderId="15" xfId="0" applyFont="1" applyFill="1" applyBorder="1" applyAlignment="1">
      <alignment horizontal="center" vertical="center"/>
    </xf>
    <xf numFmtId="0" fontId="13" fillId="0" borderId="15" xfId="0" applyFont="1" applyFill="1" applyBorder="1" applyAlignment="1">
      <alignment horizontal="center" vertical="center"/>
    </xf>
    <xf numFmtId="0" fontId="22" fillId="0" borderId="15" xfId="0" applyFont="1" applyBorder="1" applyAlignment="1">
      <alignment horizontal="right" vertical="center"/>
    </xf>
    <xf numFmtId="0" fontId="13" fillId="0" borderId="15" xfId="17" applyFont="1" applyFill="1" applyBorder="1" applyAlignment="1">
      <alignment vertical="center"/>
    </xf>
    <xf numFmtId="0" fontId="33" fillId="0" borderId="2" xfId="17" applyFont="1" applyFill="1" applyBorder="1" applyAlignment="1">
      <alignment horizontal="left" vertical="center"/>
    </xf>
    <xf numFmtId="0" fontId="33" fillId="0" borderId="3" xfId="17" applyFont="1" applyFill="1" applyBorder="1" applyAlignment="1">
      <alignment vertical="center"/>
    </xf>
    <xf numFmtId="0" fontId="22" fillId="0" borderId="14" xfId="0" applyFont="1" applyBorder="1" applyAlignment="1">
      <alignment horizontal="right" vertical="center"/>
    </xf>
    <xf numFmtId="0" fontId="13" fillId="0" borderId="14" xfId="17" applyFont="1" applyFill="1" applyBorder="1" applyAlignment="1">
      <alignment vertical="center"/>
    </xf>
    <xf numFmtId="0" fontId="13" fillId="0" borderId="13" xfId="17" applyFont="1" applyFill="1" applyBorder="1" applyAlignment="1">
      <alignment horizontal="right" vertical="center"/>
    </xf>
    <xf numFmtId="0" fontId="13" fillId="0" borderId="13" xfId="17" applyFont="1" applyFill="1" applyBorder="1" applyAlignment="1">
      <alignment vertical="center"/>
    </xf>
    <xf numFmtId="2" fontId="22" fillId="0" borderId="4" xfId="0" applyNumberFormat="1" applyFont="1" applyFill="1" applyBorder="1" applyAlignment="1">
      <alignment horizontal="center"/>
    </xf>
    <xf numFmtId="2" fontId="22" fillId="0" borderId="5" xfId="4" applyNumberFormat="1" applyFont="1" applyFill="1" applyBorder="1" applyAlignment="1" applyProtection="1">
      <alignment horizontal="center"/>
    </xf>
    <xf numFmtId="2" fontId="22" fillId="0" borderId="6" xfId="4" applyNumberFormat="1" applyFont="1" applyFill="1" applyBorder="1" applyAlignment="1" applyProtection="1">
      <alignment horizontal="center"/>
    </xf>
    <xf numFmtId="2" fontId="22" fillId="0" borderId="7" xfId="0" applyNumberFormat="1" applyFont="1" applyFill="1" applyBorder="1" applyAlignment="1">
      <alignment horizontal="center"/>
    </xf>
    <xf numFmtId="2" fontId="22" fillId="0" borderId="9" xfId="0" applyNumberFormat="1" applyFont="1" applyFill="1" applyBorder="1" applyAlignment="1">
      <alignment horizontal="center"/>
    </xf>
    <xf numFmtId="2" fontId="13" fillId="0" borderId="10" xfId="17" applyNumberFormat="1" applyFont="1" applyFill="1" applyBorder="1" applyAlignment="1" applyProtection="1">
      <alignment horizontal="center"/>
    </xf>
    <xf numFmtId="2" fontId="22" fillId="0" borderId="10" xfId="4" applyNumberFormat="1" applyFont="1" applyFill="1" applyBorder="1" applyAlignment="1" applyProtection="1">
      <alignment horizontal="center"/>
    </xf>
    <xf numFmtId="2" fontId="22" fillId="0" borderId="11" xfId="4" applyNumberFormat="1" applyFont="1" applyFill="1" applyBorder="1" applyAlignment="1" applyProtection="1">
      <alignment horizontal="center"/>
    </xf>
    <xf numFmtId="2" fontId="22" fillId="0" borderId="74" xfId="0" applyNumberFormat="1" applyFont="1" applyFill="1" applyBorder="1" applyAlignment="1">
      <alignment horizontal="center"/>
    </xf>
    <xf numFmtId="0" fontId="22" fillId="0" borderId="27" xfId="0" applyFont="1" applyBorder="1" applyAlignment="1">
      <alignment horizontal="right"/>
    </xf>
    <xf numFmtId="0" fontId="22" fillId="0" borderId="42" xfId="0" applyFont="1" applyBorder="1" applyAlignment="1">
      <alignment horizontal="right"/>
    </xf>
    <xf numFmtId="0" fontId="22" fillId="0" borderId="32" xfId="0" applyFont="1" applyBorder="1" applyAlignment="1">
      <alignment horizontal="right"/>
    </xf>
    <xf numFmtId="0" fontId="0" fillId="0" borderId="27" xfId="0" applyBorder="1" applyAlignment="1">
      <alignment horizontal="right"/>
    </xf>
    <xf numFmtId="0" fontId="0" fillId="0" borderId="27" xfId="0" applyFill="1" applyBorder="1" applyAlignment="1">
      <alignment horizontal="right"/>
    </xf>
    <xf numFmtId="0" fontId="0" fillId="0" borderId="32" xfId="0" applyBorder="1" applyAlignment="1">
      <alignment horizontal="right"/>
    </xf>
    <xf numFmtId="0" fontId="13" fillId="0" borderId="15" xfId="17" applyFont="1" applyFill="1" applyBorder="1" applyAlignment="1">
      <alignment horizontal="left" vertical="center"/>
    </xf>
    <xf numFmtId="0" fontId="22" fillId="0" borderId="0" xfId="0" applyFont="1" applyAlignment="1" applyProtection="1">
      <alignment horizontal="right"/>
      <protection hidden="1"/>
    </xf>
    <xf numFmtId="0" fontId="13" fillId="0" borderId="42" xfId="17" applyFont="1" applyBorder="1" applyAlignment="1" applyProtection="1">
      <alignment horizontal="right"/>
    </xf>
    <xf numFmtId="0" fontId="76" fillId="0" borderId="0" xfId="0" applyFont="1" applyAlignment="1">
      <alignment vertical="top" wrapText="1"/>
    </xf>
    <xf numFmtId="0" fontId="14" fillId="0" borderId="10" xfId="17" applyFont="1" applyFill="1" applyBorder="1" applyAlignment="1"/>
    <xf numFmtId="0" fontId="13" fillId="0" borderId="0" xfId="17" applyFont="1" applyFill="1" applyBorder="1" applyAlignment="1">
      <alignment horizontal="right"/>
    </xf>
    <xf numFmtId="0" fontId="25" fillId="0" borderId="10" xfId="17" applyFont="1" applyFill="1" applyBorder="1" applyAlignment="1"/>
    <xf numFmtId="0" fontId="24" fillId="0" borderId="1" xfId="0" applyFont="1" applyBorder="1" applyAlignment="1">
      <alignment vertical="center"/>
    </xf>
    <xf numFmtId="0" fontId="22" fillId="0" borderId="15" xfId="0" applyFont="1" applyBorder="1" applyAlignment="1">
      <alignment horizontal="right"/>
    </xf>
    <xf numFmtId="0" fontId="22" fillId="0" borderId="15" xfId="0" applyFont="1" applyFill="1" applyBorder="1" applyAlignment="1">
      <alignment horizontal="right"/>
    </xf>
    <xf numFmtId="0" fontId="22" fillId="0" borderId="13" xfId="0" applyFont="1" applyBorder="1" applyAlignment="1">
      <alignment horizontal="right"/>
    </xf>
    <xf numFmtId="0" fontId="24" fillId="0" borderId="11" xfId="0" applyFont="1" applyBorder="1"/>
    <xf numFmtId="0" fontId="13" fillId="0" borderId="13" xfId="17" applyNumberFormat="1" applyFont="1" applyFill="1" applyBorder="1" applyAlignment="1">
      <alignment horizontal="center"/>
    </xf>
    <xf numFmtId="0" fontId="22" fillId="0" borderId="15" xfId="0" applyFont="1" applyBorder="1" applyAlignment="1">
      <alignment horizontal="center"/>
    </xf>
    <xf numFmtId="0" fontId="84" fillId="0" borderId="15" xfId="0" applyFont="1" applyBorder="1" applyAlignment="1">
      <alignment horizontal="center"/>
    </xf>
    <xf numFmtId="0" fontId="22" fillId="0" borderId="15" xfId="0" applyFont="1" applyFill="1" applyBorder="1" applyAlignment="1">
      <alignment horizontal="center"/>
    </xf>
    <xf numFmtId="0" fontId="22" fillId="0" borderId="8" xfId="0" applyFont="1" applyBorder="1" applyAlignment="1">
      <alignment horizontal="center"/>
    </xf>
    <xf numFmtId="11" fontId="22" fillId="0" borderId="15" xfId="0" applyNumberFormat="1" applyFont="1" applyBorder="1" applyAlignment="1">
      <alignment horizontal="center"/>
    </xf>
    <xf numFmtId="0" fontId="22" fillId="0" borderId="13" xfId="0" applyFont="1" applyBorder="1" applyAlignment="1">
      <alignment horizontal="center"/>
    </xf>
    <xf numFmtId="11" fontId="22" fillId="0" borderId="13" xfId="0" applyNumberFormat="1" applyFont="1" applyBorder="1" applyAlignment="1">
      <alignment horizontal="center"/>
    </xf>
    <xf numFmtId="10" fontId="13" fillId="0" borderId="15" xfId="17" applyNumberFormat="1" applyFont="1" applyFill="1" applyBorder="1" applyAlignment="1">
      <alignment horizontal="center" vertical="center"/>
    </xf>
    <xf numFmtId="178" fontId="13" fillId="0" borderId="15" xfId="17" applyNumberFormat="1" applyFont="1" applyFill="1" applyBorder="1" applyAlignment="1">
      <alignment horizontal="center" vertical="center"/>
    </xf>
    <xf numFmtId="178" fontId="22" fillId="0" borderId="15" xfId="0" applyNumberFormat="1" applyFont="1" applyBorder="1" applyAlignment="1">
      <alignment horizontal="center" vertical="center"/>
    </xf>
    <xf numFmtId="172" fontId="22" fillId="0" borderId="15" xfId="0" applyNumberFormat="1" applyFont="1" applyBorder="1" applyAlignment="1">
      <alignment horizontal="center" vertical="center"/>
    </xf>
    <xf numFmtId="172" fontId="22" fillId="0" borderId="15" xfId="0" applyNumberFormat="1" applyFont="1" applyFill="1" applyBorder="1" applyAlignment="1">
      <alignment horizontal="center" vertical="center"/>
    </xf>
    <xf numFmtId="178" fontId="22" fillId="0" borderId="15" xfId="0" applyNumberFormat="1" applyFont="1" applyFill="1" applyBorder="1" applyAlignment="1">
      <alignment horizontal="center" vertical="center"/>
    </xf>
    <xf numFmtId="179" fontId="22" fillId="0" borderId="15" xfId="0" applyNumberFormat="1" applyFont="1" applyBorder="1" applyAlignment="1">
      <alignment horizontal="center" vertical="center"/>
    </xf>
    <xf numFmtId="179" fontId="13" fillId="0" borderId="15" xfId="17" applyNumberFormat="1" applyFont="1" applyFill="1" applyBorder="1" applyAlignment="1">
      <alignment horizontal="center" vertical="center"/>
    </xf>
    <xf numFmtId="10" fontId="13" fillId="0" borderId="13" xfId="17" applyNumberFormat="1" applyFont="1" applyFill="1" applyBorder="1" applyAlignment="1">
      <alignment horizontal="center" vertical="center"/>
    </xf>
    <xf numFmtId="10" fontId="22" fillId="0" borderId="15" xfId="0" applyNumberFormat="1" applyFont="1" applyBorder="1" applyAlignment="1">
      <alignment horizontal="center" vertical="center"/>
    </xf>
    <xf numFmtId="172" fontId="13" fillId="0" borderId="15" xfId="17" applyNumberFormat="1" applyFont="1" applyFill="1" applyBorder="1" applyAlignment="1">
      <alignment horizontal="center" vertical="center"/>
    </xf>
    <xf numFmtId="0" fontId="22" fillId="0" borderId="0" xfId="0" applyFont="1" applyAlignment="1">
      <alignment horizontal="left" vertical="top"/>
    </xf>
    <xf numFmtId="178" fontId="13" fillId="0" borderId="8" xfId="17" applyNumberFormat="1" applyFont="1" applyFill="1" applyBorder="1" applyAlignment="1">
      <alignment horizontal="center" vertical="center"/>
    </xf>
    <xf numFmtId="172" fontId="13" fillId="0" borderId="8" xfId="17" applyNumberFormat="1" applyFont="1" applyFill="1" applyBorder="1" applyAlignment="1">
      <alignment horizontal="center" vertical="center"/>
    </xf>
    <xf numFmtId="179" fontId="13" fillId="0" borderId="8" xfId="17" applyNumberFormat="1" applyFont="1" applyFill="1" applyBorder="1" applyAlignment="1">
      <alignment horizontal="center" vertical="center"/>
    </xf>
    <xf numFmtId="10" fontId="13" fillId="0" borderId="8" xfId="17" applyNumberFormat="1" applyFont="1" applyFill="1" applyBorder="1" applyAlignment="1">
      <alignment horizontal="center" vertical="center"/>
    </xf>
    <xf numFmtId="177" fontId="13" fillId="0" borderId="8" xfId="17" applyNumberFormat="1" applyFont="1" applyFill="1" applyBorder="1" applyAlignment="1">
      <alignment horizontal="center" vertical="center"/>
    </xf>
    <xf numFmtId="177" fontId="13" fillId="0" borderId="0" xfId="17" applyNumberFormat="1" applyFont="1" applyFill="1" applyBorder="1" applyAlignment="1">
      <alignment horizontal="center" vertical="center"/>
    </xf>
    <xf numFmtId="172" fontId="13" fillId="0" borderId="0" xfId="17" applyNumberFormat="1" applyFont="1" applyFill="1" applyBorder="1" applyAlignment="1">
      <alignment horizontal="center" vertical="center"/>
    </xf>
    <xf numFmtId="10" fontId="13" fillId="0" borderId="0" xfId="17" applyNumberFormat="1" applyFont="1" applyFill="1" applyBorder="1" applyAlignment="1">
      <alignment horizontal="center" vertical="center"/>
    </xf>
    <xf numFmtId="178" fontId="13" fillId="0" borderId="7" xfId="17" applyNumberFormat="1" applyFont="1" applyFill="1" applyBorder="1" applyAlignment="1">
      <alignment horizontal="center" vertical="center"/>
    </xf>
    <xf numFmtId="172" fontId="13" fillId="0" borderId="7" xfId="17" applyNumberFormat="1" applyFont="1" applyFill="1" applyBorder="1" applyAlignment="1">
      <alignment horizontal="center" vertical="center"/>
    </xf>
    <xf numFmtId="0" fontId="13" fillId="0" borderId="0" xfId="17" applyFont="1" applyFill="1" applyAlignment="1">
      <alignment horizontal="center" vertical="center"/>
    </xf>
    <xf numFmtId="10" fontId="13" fillId="0" borderId="7" xfId="17" applyNumberFormat="1" applyFont="1" applyFill="1" applyBorder="1" applyAlignment="1">
      <alignment horizontal="center" vertical="center"/>
    </xf>
    <xf numFmtId="179" fontId="13" fillId="0" borderId="7" xfId="17" applyNumberFormat="1" applyFont="1" applyFill="1" applyBorder="1" applyAlignment="1">
      <alignment horizontal="center" vertical="center"/>
    </xf>
    <xf numFmtId="0" fontId="13" fillId="0" borderId="7" xfId="17" applyFont="1" applyFill="1" applyBorder="1" applyAlignment="1">
      <alignment horizontal="center" vertical="center"/>
    </xf>
    <xf numFmtId="0" fontId="13" fillId="0" borderId="0" xfId="17" applyFont="1" applyFill="1" applyBorder="1" applyAlignment="1">
      <alignment horizontal="center" vertical="center"/>
    </xf>
    <xf numFmtId="0" fontId="13" fillId="0" borderId="15" xfId="17" applyFont="1" applyFill="1" applyBorder="1" applyAlignment="1">
      <alignment horizontal="right"/>
    </xf>
    <xf numFmtId="0" fontId="13" fillId="0" borderId="15" xfId="17" applyNumberFormat="1" applyFont="1" applyFill="1" applyBorder="1" applyAlignment="1">
      <alignment horizontal="center"/>
    </xf>
    <xf numFmtId="176" fontId="22" fillId="0" borderId="15" xfId="4" applyNumberFormat="1" applyFont="1" applyFill="1" applyBorder="1" applyAlignment="1">
      <alignment horizontal="center" vertical="center"/>
    </xf>
    <xf numFmtId="0" fontId="24" fillId="0" borderId="1" xfId="0" applyFont="1" applyBorder="1"/>
    <xf numFmtId="0" fontId="24" fillId="0" borderId="2" xfId="0" applyFont="1" applyBorder="1" applyAlignment="1">
      <alignment horizontal="center"/>
    </xf>
    <xf numFmtId="0" fontId="66" fillId="0" borderId="3" xfId="0" applyFont="1" applyBorder="1" applyAlignment="1">
      <alignment horizontal="center"/>
    </xf>
    <xf numFmtId="0" fontId="24" fillId="0" borderId="3" xfId="0" applyFont="1" applyBorder="1" applyAlignment="1">
      <alignment horizontal="center"/>
    </xf>
    <xf numFmtId="0" fontId="22" fillId="0" borderId="2" xfId="0" applyFont="1" applyBorder="1" applyAlignment="1">
      <alignment horizontal="center"/>
    </xf>
    <xf numFmtId="0" fontId="24" fillId="0" borderId="2" xfId="0" applyFont="1" applyBorder="1"/>
    <xf numFmtId="0" fontId="24" fillId="0" borderId="3" xfId="0" applyFont="1" applyBorder="1"/>
    <xf numFmtId="0" fontId="22" fillId="0" borderId="2" xfId="0" applyFont="1" applyBorder="1" applyAlignment="1">
      <alignment horizontal="left"/>
    </xf>
    <xf numFmtId="0" fontId="13" fillId="0" borderId="10" xfId="17" applyFont="1" applyFill="1" applyBorder="1"/>
    <xf numFmtId="177" fontId="13" fillId="0" borderId="6" xfId="17" applyNumberFormat="1" applyFont="1" applyFill="1" applyBorder="1" applyAlignment="1">
      <alignment horizontal="center"/>
    </xf>
    <xf numFmtId="177" fontId="13" fillId="0" borderId="8" xfId="17" applyNumberFormat="1" applyFont="1" applyFill="1" applyBorder="1" applyAlignment="1">
      <alignment horizontal="center"/>
    </xf>
    <xf numFmtId="0" fontId="13" fillId="0" borderId="8" xfId="17" applyFont="1" applyFill="1" applyBorder="1" applyAlignment="1">
      <alignment horizontal="center"/>
    </xf>
    <xf numFmtId="0" fontId="24" fillId="0" borderId="10" xfId="0" applyFont="1" applyBorder="1"/>
    <xf numFmtId="0" fontId="21" fillId="0" borderId="6" xfId="0" applyFont="1" applyBorder="1" applyAlignment="1">
      <alignment wrapText="1"/>
    </xf>
    <xf numFmtId="0" fontId="21" fillId="0" borderId="8" xfId="0" applyFont="1" applyBorder="1" applyAlignment="1">
      <alignment wrapText="1"/>
    </xf>
    <xf numFmtId="0" fontId="22" fillId="0" borderId="8" xfId="0" applyFont="1" applyBorder="1" applyAlignment="1">
      <alignment horizontal="center" wrapText="1"/>
    </xf>
    <xf numFmtId="0" fontId="25" fillId="6" borderId="27" xfId="17" applyFont="1" applyFill="1" applyBorder="1" applyAlignment="1" applyProtection="1">
      <alignment horizontal="center" vertical="center" wrapText="1"/>
    </xf>
    <xf numFmtId="0" fontId="25" fillId="6" borderId="15" xfId="17" applyFont="1" applyFill="1" applyBorder="1" applyAlignment="1" applyProtection="1">
      <alignment horizontal="center" vertical="center" wrapText="1"/>
    </xf>
    <xf numFmtId="0" fontId="25" fillId="0" borderId="33" xfId="11" applyFont="1" applyFill="1" applyBorder="1" applyAlignment="1" applyProtection="1">
      <alignment horizontal="center" vertical="center" wrapText="1"/>
    </xf>
    <xf numFmtId="0" fontId="24" fillId="0" borderId="0" xfId="4" applyFont="1" applyFill="1" applyBorder="1" applyAlignment="1">
      <alignment horizontal="left" vertical="center" wrapText="1"/>
    </xf>
    <xf numFmtId="0" fontId="24" fillId="0" borderId="53" xfId="8" applyFont="1" applyFill="1" applyBorder="1" applyAlignment="1" applyProtection="1">
      <alignment vertical="center"/>
    </xf>
    <xf numFmtId="0" fontId="24" fillId="0" borderId="38" xfId="8" applyFont="1" applyFill="1" applyBorder="1" applyAlignment="1" applyProtection="1">
      <alignment vertical="center"/>
    </xf>
    <xf numFmtId="0" fontId="24" fillId="0" borderId="39" xfId="8" applyFont="1" applyFill="1" applyBorder="1" applyAlignment="1" applyProtection="1">
      <alignment vertical="center"/>
    </xf>
    <xf numFmtId="0" fontId="85" fillId="0" borderId="38" xfId="8" applyFont="1" applyFill="1" applyBorder="1" applyAlignment="1" applyProtection="1">
      <alignment horizontal="center" vertical="center"/>
    </xf>
    <xf numFmtId="0" fontId="22" fillId="0" borderId="0" xfId="4" applyFont="1" applyFill="1" applyBorder="1" applyAlignment="1">
      <alignment vertical="center" wrapText="1"/>
    </xf>
    <xf numFmtId="0" fontId="39" fillId="0" borderId="0" xfId="0" applyFont="1" applyBorder="1" applyAlignment="1">
      <alignment vertical="center"/>
    </xf>
    <xf numFmtId="2" fontId="22" fillId="0" borderId="0" xfId="4" applyNumberFormat="1" applyFont="1" applyFill="1" applyBorder="1" applyAlignment="1" applyProtection="1">
      <alignment horizontal="right" vertical="center"/>
    </xf>
    <xf numFmtId="0" fontId="22" fillId="0" borderId="27" xfId="0" applyFont="1" applyFill="1" applyBorder="1" applyAlignment="1">
      <alignment horizontal="right"/>
    </xf>
    <xf numFmtId="0" fontId="22" fillId="0" borderId="0" xfId="0" applyFont="1" applyBorder="1" applyAlignment="1">
      <alignment vertical="center"/>
    </xf>
    <xf numFmtId="0" fontId="62" fillId="0" borderId="41" xfId="6" applyFont="1" applyFill="1" applyBorder="1" applyAlignment="1">
      <alignment horizontal="right" vertical="center"/>
    </xf>
    <xf numFmtId="0" fontId="13" fillId="0" borderId="27" xfId="17" applyFont="1" applyBorder="1" applyAlignment="1" applyProtection="1">
      <alignment wrapText="1"/>
    </xf>
    <xf numFmtId="0" fontId="13" fillId="0" borderId="32" xfId="17" applyFont="1" applyBorder="1" applyAlignment="1" applyProtection="1">
      <alignment wrapText="1"/>
    </xf>
    <xf numFmtId="0" fontId="34" fillId="0" borderId="28" xfId="11" applyFont="1" applyFill="1" applyBorder="1" applyAlignment="1" applyProtection="1">
      <alignment horizontal="center" wrapText="1"/>
    </xf>
    <xf numFmtId="0" fontId="13" fillId="0" borderId="58" xfId="17" applyFont="1" applyBorder="1" applyAlignment="1" applyProtection="1">
      <alignment horizontal="right" vertical="center"/>
    </xf>
    <xf numFmtId="0" fontId="13" fillId="0" borderId="76" xfId="17" applyFont="1" applyBorder="1" applyAlignment="1" applyProtection="1">
      <alignment horizontal="right" vertical="center"/>
    </xf>
    <xf numFmtId="0" fontId="13" fillId="0" borderId="77" xfId="17" applyFont="1" applyBorder="1" applyAlignment="1" applyProtection="1">
      <alignment horizontal="right" vertical="center"/>
    </xf>
    <xf numFmtId="167" fontId="25" fillId="4" borderId="56" xfId="11" applyNumberFormat="1" applyFont="1" applyBorder="1" applyAlignment="1" applyProtection="1">
      <alignment horizontal="center"/>
    </xf>
    <xf numFmtId="0" fontId="0" fillId="0" borderId="20" xfId="0" applyBorder="1"/>
    <xf numFmtId="167" fontId="13" fillId="3" borderId="21" xfId="18" applyNumberFormat="1" applyFont="1" applyBorder="1" applyAlignment="1">
      <alignment horizontal="center"/>
    </xf>
    <xf numFmtId="167" fontId="25" fillId="4" borderId="21" xfId="11" applyNumberFormat="1" applyFont="1" applyBorder="1" applyAlignment="1" applyProtection="1">
      <alignment horizontal="center"/>
    </xf>
    <xf numFmtId="167" fontId="25" fillId="4" borderId="22" xfId="11" applyNumberFormat="1" applyFont="1" applyBorder="1" applyAlignment="1" applyProtection="1">
      <alignment horizontal="center"/>
    </xf>
    <xf numFmtId="0" fontId="21" fillId="0" borderId="0" xfId="0" applyFont="1" applyBorder="1" applyAlignment="1">
      <alignment horizontal="right" vertical="center"/>
    </xf>
    <xf numFmtId="0" fontId="8" fillId="0" borderId="0" xfId="0" applyFont="1" applyBorder="1" applyAlignment="1">
      <alignment horizontal="right"/>
    </xf>
    <xf numFmtId="0" fontId="8" fillId="0" borderId="0" xfId="0" applyFont="1" applyBorder="1" applyAlignment="1"/>
    <xf numFmtId="0" fontId="21" fillId="0" borderId="0" xfId="0" applyFont="1" applyBorder="1" applyAlignment="1">
      <alignment horizontal="right"/>
    </xf>
    <xf numFmtId="0" fontId="35" fillId="0" borderId="0" xfId="20" applyFont="1" applyFill="1" applyAlignment="1">
      <alignment horizontal="center"/>
    </xf>
    <xf numFmtId="167" fontId="35" fillId="0" borderId="0" xfId="21" applyNumberFormat="1" applyFont="1" applyAlignment="1">
      <alignment horizontal="center"/>
    </xf>
    <xf numFmtId="0" fontId="35" fillId="0" borderId="13" xfId="17" applyFont="1" applyBorder="1"/>
    <xf numFmtId="0" fontId="52" fillId="0" borderId="0" xfId="0" applyFont="1"/>
    <xf numFmtId="0" fontId="33" fillId="0" borderId="10" xfId="17" applyFont="1" applyFill="1" applyBorder="1" applyAlignment="1">
      <alignment horizontal="right"/>
    </xf>
    <xf numFmtId="0" fontId="33" fillId="0" borderId="0" xfId="17" applyFont="1" applyFill="1" applyBorder="1" applyAlignment="1">
      <alignment horizontal="right"/>
    </xf>
    <xf numFmtId="0" fontId="22" fillId="0" borderId="0" xfId="0" applyFont="1" applyBorder="1" applyAlignment="1">
      <alignment horizontal="right"/>
    </xf>
    <xf numFmtId="0" fontId="22" fillId="0" borderId="7" xfId="0" applyFont="1" applyBorder="1" applyAlignment="1">
      <alignment horizontal="left"/>
    </xf>
    <xf numFmtId="0" fontId="24" fillId="2" borderId="12" xfId="9" applyFont="1" applyBorder="1" applyAlignment="1">
      <alignment horizontal="center" vertical="center"/>
    </xf>
    <xf numFmtId="0" fontId="21" fillId="0" borderId="7" xfId="0" applyFont="1" applyBorder="1" applyAlignment="1">
      <alignment horizontal="left" wrapText="1"/>
    </xf>
    <xf numFmtId="0" fontId="86" fillId="0" borderId="0" xfId="26" applyFont="1" applyBorder="1" applyAlignment="1">
      <alignment vertical="top" wrapText="1"/>
    </xf>
    <xf numFmtId="1" fontId="25" fillId="0" borderId="28" xfId="12" applyNumberFormat="1" applyFont="1" applyFill="1" applyBorder="1" applyAlignment="1" applyProtection="1">
      <alignment horizontal="center" vertical="center"/>
    </xf>
    <xf numFmtId="0" fontId="62" fillId="0" borderId="0" xfId="26" applyFont="1" applyFill="1" applyBorder="1" applyAlignment="1">
      <alignment horizontal="left" vertical="center"/>
    </xf>
    <xf numFmtId="0" fontId="13" fillId="0" borderId="0" xfId="0" applyFont="1" applyFill="1" applyBorder="1" applyAlignment="1" applyProtection="1">
      <alignment horizontal="left"/>
      <protection hidden="1"/>
    </xf>
    <xf numFmtId="0" fontId="13" fillId="0" borderId="0" xfId="0" applyFont="1" applyFill="1" applyBorder="1" applyAlignment="1" applyProtection="1">
      <alignment horizontal="right"/>
      <protection hidden="1"/>
    </xf>
    <xf numFmtId="0" fontId="13" fillId="0" borderId="0" xfId="0" applyFont="1" applyFill="1" applyBorder="1" applyAlignment="1" applyProtection="1">
      <protection hidden="1"/>
    </xf>
    <xf numFmtId="0" fontId="24" fillId="0" borderId="0" xfId="8" applyFont="1" applyFill="1" applyBorder="1" applyAlignment="1">
      <alignment horizontal="left" vertical="center"/>
    </xf>
    <xf numFmtId="0" fontId="13" fillId="0" borderId="0" xfId="0" applyFont="1" applyBorder="1" applyAlignment="1" applyProtection="1">
      <alignment horizontal="center"/>
      <protection hidden="1"/>
    </xf>
    <xf numFmtId="0" fontId="26" fillId="0" borderId="0" xfId="8" applyFont="1" applyFill="1" applyBorder="1" applyAlignment="1">
      <alignment horizontal="left" vertical="center"/>
    </xf>
    <xf numFmtId="0" fontId="39" fillId="0" borderId="0" xfId="4" applyFont="1" applyBorder="1" applyAlignment="1">
      <alignment horizontal="left" vertical="center"/>
    </xf>
    <xf numFmtId="0" fontId="13" fillId="0" borderId="0" xfId="0" quotePrefix="1" applyFont="1" applyFill="1" applyBorder="1" applyAlignment="1" applyProtection="1">
      <alignment horizontal="right"/>
      <protection hidden="1"/>
    </xf>
    <xf numFmtId="0" fontId="13" fillId="0" borderId="0" xfId="0" applyFont="1" applyFill="1" applyBorder="1" applyAlignment="1" applyProtection="1">
      <alignment horizontal="left"/>
      <protection hidden="1"/>
    </xf>
    <xf numFmtId="0" fontId="13" fillId="0" borderId="7" xfId="0" applyFont="1" applyFill="1" applyBorder="1" applyAlignment="1" applyProtection="1">
      <alignment horizontal="right"/>
      <protection hidden="1"/>
    </xf>
    <xf numFmtId="0" fontId="13" fillId="0" borderId="0" xfId="0" applyFont="1" applyFill="1" applyBorder="1" applyAlignment="1" applyProtection="1">
      <alignment horizontal="right"/>
      <protection hidden="1"/>
    </xf>
    <xf numFmtId="0" fontId="26" fillId="0" borderId="0" xfId="8" applyFont="1" applyFill="1" applyBorder="1" applyAlignment="1" applyProtection="1">
      <alignment horizontal="left" vertical="center"/>
      <protection hidden="1"/>
    </xf>
    <xf numFmtId="0" fontId="13" fillId="0" borderId="0" xfId="0" applyFont="1" applyFill="1" applyBorder="1" applyAlignment="1" applyProtection="1">
      <protection hidden="1"/>
    </xf>
    <xf numFmtId="0" fontId="62" fillId="0" borderId="0" xfId="26" applyFont="1" applyBorder="1">
      <alignment vertical="center"/>
    </xf>
    <xf numFmtId="0" fontId="62" fillId="0" borderId="0" xfId="26" applyFont="1" applyFill="1" applyBorder="1" applyAlignment="1">
      <alignment horizontal="left" vertical="center"/>
    </xf>
    <xf numFmtId="0" fontId="39" fillId="0" borderId="0" xfId="4" applyFont="1" applyFill="1" applyBorder="1" applyAlignment="1">
      <alignment horizontal="left" vertical="center"/>
    </xf>
    <xf numFmtId="0" fontId="13" fillId="0" borderId="0" xfId="0" applyFont="1" applyBorder="1" applyAlignment="1" applyProtection="1">
      <alignment horizontal="right" vertical="center"/>
      <protection hidden="1"/>
    </xf>
    <xf numFmtId="0" fontId="22" fillId="0" borderId="0" xfId="0" applyFont="1" applyBorder="1" applyAlignment="1" applyProtection="1">
      <alignment horizontal="right"/>
      <protection hidden="1"/>
    </xf>
    <xf numFmtId="0" fontId="13" fillId="0" borderId="7" xfId="0" applyFont="1" applyBorder="1" applyAlignment="1" applyProtection="1">
      <alignment horizontal="center"/>
      <protection hidden="1"/>
    </xf>
    <xf numFmtId="0" fontId="25" fillId="0" borderId="5" xfId="0" applyFont="1" applyBorder="1" applyAlignment="1">
      <alignment horizontal="center" vertical="center" wrapText="1"/>
    </xf>
    <xf numFmtId="2" fontId="13" fillId="0" borderId="0" xfId="0" applyNumberFormat="1" applyFont="1" applyFill="1" applyBorder="1" applyAlignment="1" applyProtection="1">
      <alignment horizontal="center"/>
      <protection hidden="1"/>
    </xf>
    <xf numFmtId="0" fontId="13" fillId="0" borderId="0" xfId="18" applyFont="1" applyFill="1" applyBorder="1" applyAlignment="1" applyProtection="1">
      <alignment horizontal="center"/>
      <protection hidden="1"/>
    </xf>
    <xf numFmtId="0" fontId="88" fillId="9" borderId="0" xfId="28" applyFont="1" applyBorder="1" applyAlignment="1" applyProtection="1">
      <alignment horizontal="left"/>
      <protection locked="0" hidden="1"/>
    </xf>
    <xf numFmtId="0" fontId="25" fillId="0" borderId="10" xfId="0" applyFont="1" applyBorder="1" applyAlignment="1">
      <alignment horizontal="center"/>
    </xf>
    <xf numFmtId="0" fontId="24" fillId="0" borderId="20" xfId="8" applyFont="1" applyFill="1" applyBorder="1" applyAlignment="1">
      <alignment horizontal="left" vertical="center"/>
    </xf>
    <xf numFmtId="0" fontId="22" fillId="0" borderId="20" xfId="0" applyFont="1" applyBorder="1"/>
    <xf numFmtId="0" fontId="13" fillId="0" borderId="20" xfId="0" applyFont="1" applyFill="1" applyBorder="1" applyAlignment="1" applyProtection="1">
      <alignment horizontal="left"/>
      <protection hidden="1"/>
    </xf>
    <xf numFmtId="0" fontId="13" fillId="0" borderId="20" xfId="18" applyFont="1" applyFill="1" applyBorder="1" applyAlignment="1" applyProtection="1">
      <alignment horizontal="center"/>
      <protection hidden="1"/>
    </xf>
    <xf numFmtId="0" fontId="13" fillId="0" borderId="20" xfId="0" quotePrefix="1" applyFont="1" applyFill="1" applyBorder="1" applyAlignment="1" applyProtection="1">
      <protection hidden="1"/>
    </xf>
    <xf numFmtId="0" fontId="13" fillId="0" borderId="20" xfId="0" applyFont="1" applyFill="1" applyBorder="1" applyAlignment="1" applyProtection="1">
      <protection hidden="1"/>
    </xf>
    <xf numFmtId="0" fontId="13" fillId="0" borderId="20" xfId="0" applyFont="1" applyFill="1" applyBorder="1" applyAlignment="1" applyProtection="1">
      <alignment horizontal="right"/>
      <protection hidden="1"/>
    </xf>
    <xf numFmtId="2" fontId="13" fillId="0" borderId="20" xfId="0" applyNumberFormat="1" applyFont="1" applyFill="1" applyBorder="1" applyAlignment="1" applyProtection="1">
      <alignment horizontal="center"/>
      <protection hidden="1"/>
    </xf>
    <xf numFmtId="0" fontId="0" fillId="0" borderId="20" xfId="0" applyBorder="1" applyProtection="1">
      <protection hidden="1"/>
    </xf>
    <xf numFmtId="0" fontId="0" fillId="0" borderId="20" xfId="0" applyBorder="1" applyAlignment="1">
      <alignment horizontal="center"/>
    </xf>
    <xf numFmtId="0" fontId="88" fillId="9" borderId="12" xfId="28" applyFont="1" applyBorder="1" applyAlignment="1" applyProtection="1">
      <alignment horizontal="center"/>
      <protection locked="0" hidden="1"/>
    </xf>
    <xf numFmtId="0" fontId="39" fillId="0" borderId="0" xfId="0" applyFont="1"/>
    <xf numFmtId="0" fontId="22" fillId="0" borderId="7" xfId="0" applyFont="1" applyBorder="1"/>
    <xf numFmtId="0" fontId="88" fillId="0" borderId="0" xfId="28" applyFont="1" applyFill="1" applyBorder="1" applyAlignment="1" applyProtection="1">
      <alignment horizontal="left"/>
      <protection locked="0" hidden="1"/>
    </xf>
    <xf numFmtId="0" fontId="13" fillId="0" borderId="20" xfId="0" applyFont="1" applyBorder="1" applyAlignment="1">
      <alignment horizontal="center" wrapText="1"/>
    </xf>
    <xf numFmtId="1" fontId="67" fillId="0" borderId="4" xfId="0" applyNumberFormat="1" applyFont="1" applyBorder="1" applyAlignment="1" applyProtection="1">
      <alignment horizontal="center" vertical="center"/>
      <protection hidden="1"/>
    </xf>
    <xf numFmtId="1" fontId="67" fillId="0" borderId="5" xfId="0" applyNumberFormat="1" applyFont="1" applyBorder="1" applyAlignment="1" applyProtection="1">
      <alignment horizontal="center" vertical="center"/>
      <protection hidden="1"/>
    </xf>
    <xf numFmtId="1" fontId="67" fillId="0" borderId="6" xfId="0" applyNumberFormat="1" applyFont="1" applyBorder="1" applyAlignment="1" applyProtection="1">
      <alignment horizontal="center" vertical="center"/>
      <protection hidden="1"/>
    </xf>
    <xf numFmtId="0" fontId="35" fillId="0" borderId="9" xfId="0" applyFont="1" applyBorder="1" applyAlignment="1" applyProtection="1">
      <alignment horizontal="center" vertical="center" wrapText="1"/>
      <protection hidden="1"/>
    </xf>
    <xf numFmtId="0" fontId="35" fillId="0" borderId="10"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5" fillId="0" borderId="11" xfId="0" applyFont="1" applyFill="1" applyBorder="1" applyAlignment="1" applyProtection="1">
      <alignment horizontal="center" vertical="center" wrapText="1"/>
      <protection hidden="1"/>
    </xf>
    <xf numFmtId="0" fontId="25" fillId="0" borderId="0" xfId="11" applyFont="1" applyFill="1" applyBorder="1" applyAlignment="1" applyProtection="1">
      <alignment vertical="center" wrapText="1"/>
      <protection hidden="1"/>
    </xf>
    <xf numFmtId="0" fontId="35" fillId="4" borderId="13" xfId="11" applyFont="1" applyBorder="1" applyAlignment="1" applyProtection="1">
      <alignment horizontal="center" vertical="center" wrapText="1"/>
      <protection hidden="1"/>
    </xf>
    <xf numFmtId="2" fontId="22" fillId="3" borderId="15" xfId="4" applyNumberFormat="1" applyFont="1" applyFill="1" applyBorder="1" applyAlignment="1" applyProtection="1">
      <alignment horizontal="center" vertical="center"/>
    </xf>
    <xf numFmtId="0" fontId="24" fillId="0" borderId="0" xfId="0" applyFont="1" applyBorder="1" applyAlignment="1">
      <alignment horizontal="right"/>
    </xf>
    <xf numFmtId="0" fontId="31" fillId="0" borderId="0" xfId="4" applyFont="1" applyFill="1" applyBorder="1" applyAlignment="1">
      <alignment horizontal="center" vertical="center" wrapText="1"/>
    </xf>
    <xf numFmtId="0" fontId="0" fillId="0" borderId="0" xfId="0" applyFill="1" applyBorder="1"/>
    <xf numFmtId="0" fontId="26" fillId="0" borderId="0" xfId="0" applyFont="1" applyBorder="1"/>
    <xf numFmtId="176" fontId="22" fillId="2" borderId="12" xfId="9" applyNumberFormat="1" applyFont="1" applyBorder="1" applyAlignment="1">
      <alignment horizontal="center"/>
    </xf>
    <xf numFmtId="1" fontId="22" fillId="2" borderId="12" xfId="9" applyNumberFormat="1" applyFont="1" applyBorder="1" applyAlignment="1">
      <alignment horizontal="center"/>
    </xf>
    <xf numFmtId="0" fontId="24" fillId="0" borderId="0" xfId="0" applyFont="1" applyBorder="1"/>
    <xf numFmtId="0" fontId="21" fillId="0" borderId="0" xfId="0" applyFont="1" applyBorder="1"/>
    <xf numFmtId="0" fontId="39" fillId="0" borderId="0" xfId="0" applyFont="1" applyBorder="1" applyAlignment="1">
      <alignment horizontal="center"/>
    </xf>
    <xf numFmtId="0" fontId="24" fillId="0" borderId="0" xfId="0" applyFont="1" applyBorder="1" applyAlignment="1">
      <alignment horizontal="center"/>
    </xf>
    <xf numFmtId="0" fontId="13" fillId="0" borderId="27" xfId="17" applyFont="1" applyBorder="1" applyAlignment="1" applyProtection="1">
      <alignment horizontal="center"/>
    </xf>
    <xf numFmtId="176" fontId="25" fillId="4" borderId="12" xfId="11" applyNumberFormat="1" applyFont="1" applyBorder="1" applyAlignment="1" applyProtection="1">
      <alignment horizontal="center"/>
    </xf>
    <xf numFmtId="3" fontId="22" fillId="2" borderId="12" xfId="9" applyNumberFormat="1" applyFont="1" applyBorder="1" applyAlignment="1">
      <alignment horizontal="center"/>
    </xf>
    <xf numFmtId="0" fontId="26" fillId="9" borderId="0" xfId="28" applyFont="1" applyBorder="1" applyAlignment="1" applyProtection="1">
      <alignment horizontal="left"/>
      <protection locked="0" hidden="1"/>
    </xf>
    <xf numFmtId="0" fontId="65" fillId="0" borderId="0" xfId="1" applyFont="1" applyFill="1" applyBorder="1" applyAlignment="1" applyProtection="1">
      <alignment horizontal="left" vertical="top"/>
      <protection locked="0" hidden="1"/>
    </xf>
    <xf numFmtId="0" fontId="39" fillId="0" borderId="5" xfId="0" applyFont="1" applyBorder="1"/>
    <xf numFmtId="0" fontId="39" fillId="0" borderId="6" xfId="0" applyFont="1" applyBorder="1"/>
    <xf numFmtId="0" fontId="39" fillId="0" borderId="0" xfId="0" applyFont="1" applyAlignment="1">
      <alignment horizontal="center"/>
    </xf>
    <xf numFmtId="0" fontId="39" fillId="0" borderId="79" xfId="0" applyFont="1" applyBorder="1"/>
    <xf numFmtId="0" fontId="39" fillId="0" borderId="80" xfId="0" applyFont="1" applyBorder="1"/>
    <xf numFmtId="0" fontId="39" fillId="0" borderId="79" xfId="0" applyFont="1" applyBorder="1" applyAlignment="1">
      <alignment horizontal="center"/>
    </xf>
    <xf numFmtId="0" fontId="39" fillId="0" borderId="8" xfId="0" applyFont="1" applyBorder="1"/>
    <xf numFmtId="0" fontId="39" fillId="0" borderId="81" xfId="0" applyFont="1" applyBorder="1"/>
    <xf numFmtId="0" fontId="39" fillId="0" borderId="82" xfId="0" applyFont="1" applyBorder="1"/>
    <xf numFmtId="0" fontId="39" fillId="0" borderId="81" xfId="0" applyFont="1" applyBorder="1" applyAlignment="1">
      <alignment horizontal="center"/>
    </xf>
    <xf numFmtId="0" fontId="39" fillId="0" borderId="83" xfId="0" applyFont="1" applyBorder="1"/>
    <xf numFmtId="0" fontId="39" fillId="0" borderId="84" xfId="0" applyFont="1" applyBorder="1"/>
    <xf numFmtId="0" fontId="39" fillId="0" borderId="83" xfId="0" applyFont="1" applyBorder="1" applyAlignment="1">
      <alignment horizontal="center"/>
    </xf>
    <xf numFmtId="0" fontId="39" fillId="0" borderId="20" xfId="0" applyFont="1" applyBorder="1"/>
    <xf numFmtId="0" fontId="39" fillId="0" borderId="20" xfId="0" applyFont="1" applyBorder="1" applyAlignment="1">
      <alignment horizontal="center"/>
    </xf>
    <xf numFmtId="0" fontId="24" fillId="0" borderId="10" xfId="0" applyFont="1" applyBorder="1" applyAlignment="1">
      <alignment horizontal="center"/>
    </xf>
    <xf numFmtId="0" fontId="39" fillId="0" borderId="4" xfId="0" applyFont="1" applyBorder="1" applyAlignment="1">
      <alignment horizontal="center"/>
    </xf>
    <xf numFmtId="0" fontId="39" fillId="0" borderId="7" xfId="0" applyFont="1" applyBorder="1" applyAlignment="1">
      <alignment horizontal="center"/>
    </xf>
    <xf numFmtId="0" fontId="39" fillId="0" borderId="85" xfId="0" applyFont="1" applyBorder="1" applyAlignment="1">
      <alignment horizontal="center"/>
    </xf>
    <xf numFmtId="0" fontId="39" fillId="0" borderId="86" xfId="0" applyFont="1" applyBorder="1" applyAlignment="1">
      <alignment horizontal="center"/>
    </xf>
    <xf numFmtId="0" fontId="22" fillId="0" borderId="0" xfId="28" applyFont="1" applyFill="1" applyBorder="1" applyAlignment="1" applyProtection="1">
      <alignment horizontal="left" vertical="top"/>
      <protection locked="0" hidden="1"/>
    </xf>
    <xf numFmtId="0" fontId="24" fillId="0" borderId="0" xfId="28" applyFont="1" applyFill="1" applyBorder="1" applyAlignment="1" applyProtection="1">
      <alignment horizontal="left"/>
      <protection locked="0" hidden="1"/>
    </xf>
    <xf numFmtId="0" fontId="25" fillId="0" borderId="10" xfId="0" applyFont="1" applyBorder="1" applyAlignment="1">
      <alignment vertical="center"/>
    </xf>
    <xf numFmtId="0" fontId="35" fillId="0" borderId="8" xfId="0" applyFont="1" applyBorder="1" applyAlignment="1">
      <alignment vertical="center"/>
    </xf>
    <xf numFmtId="0" fontId="35" fillId="0" borderId="15" xfId="0" applyFont="1" applyBorder="1" applyAlignment="1">
      <alignment vertical="center"/>
    </xf>
    <xf numFmtId="0" fontId="35" fillId="0" borderId="14" xfId="0" applyFont="1" applyBorder="1" applyAlignment="1">
      <alignment horizontal="center" vertical="center"/>
    </xf>
    <xf numFmtId="169" fontId="35" fillId="0" borderId="0" xfId="0" applyNumberFormat="1" applyFont="1" applyAlignment="1">
      <alignment horizontal="center" vertical="center"/>
    </xf>
    <xf numFmtId="0" fontId="35" fillId="0" borderId="15" xfId="0" applyFont="1" applyBorder="1" applyAlignment="1">
      <alignment horizontal="center" vertical="center"/>
    </xf>
    <xf numFmtId="169" fontId="35" fillId="0" borderId="0" xfId="0" quotePrefix="1" applyNumberFormat="1" applyFont="1" applyAlignment="1">
      <alignment horizontal="center" vertical="center"/>
    </xf>
    <xf numFmtId="0" fontId="13" fillId="0" borderId="3" xfId="4" applyFont="1" applyBorder="1" applyAlignment="1">
      <alignment horizontal="center" vertical="center"/>
    </xf>
    <xf numFmtId="0" fontId="13" fillId="0" borderId="3" xfId="4" applyFont="1" applyFill="1" applyBorder="1" applyAlignment="1">
      <alignment horizontal="center" vertical="center"/>
    </xf>
    <xf numFmtId="0" fontId="22" fillId="0" borderId="0" xfId="0" applyFont="1" applyBorder="1" applyAlignment="1">
      <alignment horizontal="right"/>
    </xf>
    <xf numFmtId="0" fontId="22" fillId="0" borderId="0" xfId="0" applyFont="1" applyBorder="1" applyAlignment="1">
      <alignment horizontal="right"/>
    </xf>
    <xf numFmtId="0" fontId="24" fillId="0" borderId="0" xfId="4" applyFont="1" applyBorder="1" applyAlignment="1">
      <alignment horizontal="right" vertical="center"/>
    </xf>
    <xf numFmtId="0" fontId="39" fillId="0" borderId="7" xfId="4" applyFont="1" applyBorder="1" applyAlignment="1">
      <alignment horizontal="left" vertical="center"/>
    </xf>
    <xf numFmtId="0" fontId="39" fillId="0" borderId="0" xfId="4" applyFont="1" applyBorder="1" applyAlignment="1">
      <alignment horizontal="left" vertical="center"/>
    </xf>
    <xf numFmtId="0" fontId="24" fillId="0" borderId="0" xfId="4" applyFont="1" applyFill="1" applyBorder="1" applyAlignment="1">
      <alignment horizontal="right" vertical="center"/>
    </xf>
    <xf numFmtId="0" fontId="39" fillId="0" borderId="0" xfId="0" applyFont="1" applyBorder="1" applyAlignment="1">
      <alignment horizontal="left"/>
    </xf>
    <xf numFmtId="0" fontId="22" fillId="0" borderId="0" xfId="0" applyFont="1" applyAlignment="1">
      <alignment horizontal="left"/>
    </xf>
    <xf numFmtId="0" fontId="26" fillId="0" borderId="10" xfId="4" applyFont="1" applyBorder="1" applyAlignment="1">
      <alignment horizontal="left" vertical="center" wrapText="1"/>
    </xf>
    <xf numFmtId="0" fontId="62" fillId="0" borderId="12" xfId="1" applyFont="1" applyBorder="1" applyAlignment="1">
      <alignment horizontal="center"/>
    </xf>
    <xf numFmtId="0" fontId="61" fillId="0" borderId="12" xfId="17" applyFont="1" applyBorder="1" applyAlignment="1">
      <alignment horizontal="center"/>
    </xf>
    <xf numFmtId="3" fontId="39" fillId="0" borderId="12" xfId="0" applyNumberFormat="1" applyFont="1" applyBorder="1" applyAlignment="1">
      <alignment horizontal="center"/>
    </xf>
    <xf numFmtId="167" fontId="39" fillId="0" borderId="6" xfId="0" applyNumberFormat="1" applyFont="1" applyBorder="1" applyAlignment="1">
      <alignment horizontal="center"/>
    </xf>
    <xf numFmtId="167" fontId="39" fillId="0" borderId="8" xfId="0" applyNumberFormat="1" applyFont="1" applyBorder="1" applyAlignment="1">
      <alignment horizontal="center"/>
    </xf>
    <xf numFmtId="175" fontId="39" fillId="0" borderId="8" xfId="0" applyNumberFormat="1" applyFont="1" applyBorder="1" applyAlignment="1">
      <alignment horizontal="center"/>
    </xf>
    <xf numFmtId="2" fontId="39" fillId="0" borderId="8" xfId="0" applyNumberFormat="1" applyFont="1" applyBorder="1" applyAlignment="1">
      <alignment horizontal="center"/>
    </xf>
    <xf numFmtId="176" fontId="39" fillId="0" borderId="8" xfId="0" applyNumberFormat="1" applyFont="1" applyBorder="1" applyAlignment="1">
      <alignment horizontal="center"/>
    </xf>
    <xf numFmtId="1" fontId="61" fillId="0" borderId="3" xfId="17" applyNumberFormat="1" applyFont="1" applyBorder="1" applyAlignment="1">
      <alignment horizontal="center"/>
    </xf>
    <xf numFmtId="2" fontId="35" fillId="0" borderId="8" xfId="17" applyNumberFormat="1" applyFont="1" applyBorder="1" applyAlignment="1">
      <alignment horizontal="center"/>
    </xf>
    <xf numFmtId="168" fontId="35" fillId="0" borderId="8" xfId="17" applyNumberFormat="1" applyFont="1" applyBorder="1" applyAlignment="1">
      <alignment horizontal="center"/>
    </xf>
    <xf numFmtId="168" fontId="39" fillId="0" borderId="6" xfId="0" applyNumberFormat="1" applyFont="1" applyBorder="1" applyAlignment="1">
      <alignment horizontal="center" vertical="center"/>
    </xf>
    <xf numFmtId="168" fontId="39" fillId="0" borderId="8" xfId="0" applyNumberFormat="1" applyFont="1" applyBorder="1" applyAlignment="1">
      <alignment horizontal="center" vertical="center"/>
    </xf>
    <xf numFmtId="174" fontId="39" fillId="0" borderId="8" xfId="0" applyNumberFormat="1" applyFont="1" applyBorder="1" applyAlignment="1">
      <alignment horizontal="center" vertical="center"/>
    </xf>
    <xf numFmtId="175" fontId="35" fillId="0" borderId="45" xfId="20" applyNumberFormat="1" applyFont="1" applyFill="1" applyBorder="1" applyAlignment="1">
      <alignment horizontal="center" vertical="center"/>
    </xf>
    <xf numFmtId="175" fontId="39" fillId="0" borderId="8" xfId="0" applyNumberFormat="1" applyFont="1" applyBorder="1" applyAlignment="1">
      <alignment horizontal="center" vertical="center"/>
    </xf>
    <xf numFmtId="174" fontId="35" fillId="0" borderId="8" xfId="20" applyNumberFormat="1" applyFont="1" applyFill="1" applyBorder="1" applyAlignment="1">
      <alignment horizontal="center" vertical="center"/>
    </xf>
    <xf numFmtId="168" fontId="39" fillId="0" borderId="45" xfId="0" applyNumberFormat="1" applyFont="1" applyBorder="1" applyAlignment="1">
      <alignment horizontal="center" vertical="center"/>
    </xf>
    <xf numFmtId="168" fontId="35" fillId="0" borderId="60" xfId="20" applyNumberFormat="1" applyFont="1" applyFill="1" applyBorder="1" applyAlignment="1">
      <alignment horizontal="center" vertical="center"/>
    </xf>
    <xf numFmtId="168" fontId="35" fillId="0" borderId="8" xfId="20" applyNumberFormat="1" applyFont="1" applyFill="1" applyBorder="1" applyAlignment="1">
      <alignment horizontal="center" vertical="center"/>
    </xf>
    <xf numFmtId="167" fontId="39" fillId="0" borderId="8" xfId="0" applyNumberFormat="1" applyFont="1" applyBorder="1" applyAlignment="1">
      <alignment horizontal="center" vertical="center"/>
    </xf>
    <xf numFmtId="174" fontId="39" fillId="0" borderId="45" xfId="0" applyNumberFormat="1" applyFont="1" applyBorder="1" applyAlignment="1">
      <alignment horizontal="center" vertical="center"/>
    </xf>
    <xf numFmtId="175" fontId="35" fillId="0" borderId="60" xfId="20" applyNumberFormat="1" applyFont="1" applyFill="1" applyBorder="1" applyAlignment="1">
      <alignment horizontal="center" vertical="center"/>
    </xf>
    <xf numFmtId="180" fontId="35" fillId="0" borderId="8" xfId="17" applyNumberFormat="1" applyFont="1" applyBorder="1" applyAlignment="1">
      <alignment horizontal="center" vertical="center"/>
    </xf>
    <xf numFmtId="180" fontId="39" fillId="0" borderId="8" xfId="0" applyNumberFormat="1" applyFont="1" applyBorder="1" applyAlignment="1">
      <alignment horizontal="center" vertical="center"/>
    </xf>
    <xf numFmtId="168" fontId="35" fillId="0" borderId="11" xfId="20" applyNumberFormat="1" applyFont="1" applyFill="1" applyBorder="1" applyAlignment="1">
      <alignment horizontal="center" vertical="center"/>
    </xf>
    <xf numFmtId="0" fontId="37" fillId="0" borderId="0" xfId="17" applyFont="1"/>
    <xf numFmtId="0" fontId="35" fillId="0" borderId="0" xfId="17" applyFont="1"/>
    <xf numFmtId="0" fontId="39" fillId="0" borderId="0" xfId="0" applyFont="1" applyAlignment="1">
      <alignment horizontal="right"/>
    </xf>
    <xf numFmtId="0" fontId="39" fillId="0" borderId="0" xfId="0" applyFont="1" applyAlignment="1">
      <alignment horizontal="left"/>
    </xf>
    <xf numFmtId="11" fontId="35" fillId="0" borderId="0" xfId="17" applyNumberFormat="1" applyFont="1"/>
    <xf numFmtId="0" fontId="71" fillId="0" borderId="12" xfId="17" applyFont="1" applyBorder="1" applyAlignment="1">
      <alignment horizontal="center" wrapText="1"/>
    </xf>
    <xf numFmtId="0" fontId="35" fillId="0" borderId="12" xfId="17" applyFont="1" applyBorder="1"/>
    <xf numFmtId="11" fontId="35" fillId="0" borderId="12" xfId="17" applyNumberFormat="1" applyFont="1" applyBorder="1"/>
    <xf numFmtId="0" fontId="35" fillId="0" borderId="11" xfId="17" applyFont="1" applyBorder="1" applyAlignment="1">
      <alignment wrapText="1"/>
    </xf>
    <xf numFmtId="1" fontId="35" fillId="0" borderId="12" xfId="17" applyNumberFormat="1" applyFont="1" applyBorder="1"/>
    <xf numFmtId="0" fontId="67" fillId="0" borderId="12" xfId="17" applyFont="1" applyBorder="1" applyAlignment="1">
      <alignment horizontal="center" wrapText="1"/>
    </xf>
    <xf numFmtId="0" fontId="39" fillId="0" borderId="5" xfId="0" applyFont="1" applyBorder="1" applyAlignment="1">
      <alignment horizontal="center"/>
    </xf>
    <xf numFmtId="0" fontId="39" fillId="0" borderId="0" xfId="0" applyFont="1" applyFill="1" applyBorder="1" applyAlignment="1">
      <alignment horizontal="center"/>
    </xf>
    <xf numFmtId="1" fontId="61" fillId="0" borderId="2" xfId="17" applyNumberFormat="1" applyFont="1" applyFill="1" applyBorder="1" applyAlignment="1">
      <alignment horizontal="center"/>
    </xf>
    <xf numFmtId="1" fontId="35" fillId="0" borderId="5" xfId="17" applyNumberFormat="1" applyFont="1" applyFill="1" applyBorder="1" applyAlignment="1">
      <alignment horizontal="center"/>
    </xf>
    <xf numFmtId="0" fontId="62" fillId="0" borderId="1" xfId="1" applyFont="1" applyBorder="1" applyAlignment="1">
      <alignment horizontal="center"/>
    </xf>
    <xf numFmtId="0" fontId="35" fillId="0" borderId="3" xfId="17" applyFont="1" applyBorder="1" applyAlignment="1">
      <alignment horizontal="center"/>
    </xf>
    <xf numFmtId="0" fontId="94" fillId="0" borderId="0" xfId="17" applyFont="1" applyFill="1" applyBorder="1"/>
    <xf numFmtId="0" fontId="94" fillId="0" borderId="0" xfId="17" applyFont="1" applyFill="1" applyBorder="1" applyAlignment="1">
      <alignment horizontal="center" wrapText="1"/>
    </xf>
    <xf numFmtId="0" fontId="39" fillId="0" borderId="0" xfId="4" applyFont="1">
      <alignment vertical="center"/>
    </xf>
    <xf numFmtId="0" fontId="26" fillId="0" borderId="0" xfId="4" applyFont="1">
      <alignment vertical="center"/>
    </xf>
    <xf numFmtId="0" fontId="26" fillId="0" borderId="0" xfId="4" applyFont="1" applyAlignment="1">
      <alignment vertical="center" wrapText="1"/>
    </xf>
    <xf numFmtId="0" fontId="21" fillId="0" borderId="0" xfId="4" applyFont="1">
      <alignment vertical="center"/>
    </xf>
    <xf numFmtId="0" fontId="13" fillId="0" borderId="0" xfId="4" applyFont="1">
      <alignment vertical="center"/>
    </xf>
    <xf numFmtId="0" fontId="13" fillId="0" borderId="0" xfId="4" applyFont="1" applyFill="1">
      <alignment vertical="center"/>
    </xf>
    <xf numFmtId="0" fontId="33" fillId="0" borderId="0" xfId="17" applyFont="1"/>
    <xf numFmtId="0" fontId="21" fillId="0" borderId="0" xfId="0" applyFont="1" applyAlignment="1">
      <alignment horizontal="left" wrapText="1"/>
    </xf>
    <xf numFmtId="0" fontId="13" fillId="0" borderId="0" xfId="17" applyAlignment="1">
      <alignment horizontal="left"/>
    </xf>
    <xf numFmtId="0" fontId="21" fillId="0" borderId="0" xfId="0" applyFont="1" applyAlignment="1">
      <alignment horizontal="left"/>
    </xf>
    <xf numFmtId="0" fontId="22" fillId="0" borderId="15" xfId="0" applyFont="1" applyBorder="1" applyAlignment="1"/>
    <xf numFmtId="0" fontId="24" fillId="0" borderId="0" xfId="4" applyFont="1" applyFill="1" applyBorder="1" applyAlignment="1">
      <alignment vertical="center"/>
    </xf>
    <xf numFmtId="0" fontId="39" fillId="0" borderId="0" xfId="4" applyFont="1" applyBorder="1" applyAlignment="1">
      <alignment vertical="center"/>
    </xf>
    <xf numFmtId="0" fontId="39" fillId="0" borderId="0" xfId="0" applyFont="1" applyBorder="1" applyAlignment="1"/>
    <xf numFmtId="0" fontId="24" fillId="0" borderId="0" xfId="4" applyFont="1" applyBorder="1" applyAlignment="1">
      <alignment vertical="center"/>
    </xf>
    <xf numFmtId="169" fontId="24" fillId="5" borderId="31" xfId="12" applyNumberFormat="1" applyFont="1" applyBorder="1" applyAlignment="1">
      <alignment horizontal="center"/>
    </xf>
    <xf numFmtId="0" fontId="62" fillId="0" borderId="0" xfId="26" applyFont="1" applyFill="1" applyBorder="1" applyAlignment="1">
      <alignment horizontal="left" vertical="center"/>
    </xf>
    <xf numFmtId="0" fontId="22" fillId="0" borderId="0" xfId="0" applyFont="1" applyBorder="1" applyAlignment="1" applyProtection="1">
      <alignment horizontal="left"/>
      <protection hidden="1"/>
    </xf>
    <xf numFmtId="0" fontId="24" fillId="2" borderId="12" xfId="9" applyFont="1" applyBorder="1" applyAlignment="1">
      <alignment horizontal="center" vertical="center"/>
    </xf>
    <xf numFmtId="0" fontId="22" fillId="0" borderId="0" xfId="0" applyFont="1" applyAlignment="1">
      <alignment horizontal="left" vertical="center" wrapText="1"/>
    </xf>
    <xf numFmtId="0" fontId="22" fillId="0" borderId="0" xfId="0" applyFont="1" applyAlignment="1">
      <alignment horizontal="left"/>
    </xf>
    <xf numFmtId="0" fontId="22" fillId="0" borderId="0" xfId="0" applyFont="1" applyAlignment="1">
      <alignment horizontal="left" vertical="top" wrapText="1"/>
    </xf>
    <xf numFmtId="0" fontId="33" fillId="0" borderId="4" xfId="17" applyFont="1" applyFill="1" applyBorder="1" applyAlignment="1">
      <alignment horizontal="right"/>
    </xf>
    <xf numFmtId="0" fontId="33" fillId="0" borderId="14" xfId="17" applyFont="1" applyFill="1" applyBorder="1" applyAlignment="1">
      <alignment horizontal="center" vertical="center"/>
    </xf>
    <xf numFmtId="0" fontId="33" fillId="0" borderId="15" xfId="17" applyFont="1" applyFill="1" applyBorder="1" applyAlignment="1">
      <alignment horizontal="right"/>
    </xf>
    <xf numFmtId="0" fontId="13" fillId="0" borderId="13" xfId="1" applyFont="1" applyFill="1" applyBorder="1" applyAlignment="1">
      <alignment horizontal="center"/>
    </xf>
    <xf numFmtId="0" fontId="13" fillId="0" borderId="9" xfId="17" applyFont="1" applyFill="1" applyBorder="1" applyAlignment="1">
      <alignment horizontal="right"/>
    </xf>
    <xf numFmtId="0" fontId="13" fillId="0" borderId="1" xfId="17" applyNumberFormat="1" applyFont="1" applyFill="1" applyBorder="1" applyAlignment="1"/>
    <xf numFmtId="0" fontId="13" fillId="0" borderId="2" xfId="17" applyNumberFormat="1" applyFont="1" applyFill="1" applyBorder="1" applyAlignment="1"/>
    <xf numFmtId="0" fontId="13" fillId="0" borderId="3" xfId="17" applyNumberFormat="1" applyFont="1" applyFill="1" applyBorder="1" applyAlignment="1"/>
    <xf numFmtId="0" fontId="13" fillId="10" borderId="9" xfId="17" applyFont="1" applyFill="1" applyBorder="1" applyAlignment="1">
      <alignment horizontal="right"/>
    </xf>
    <xf numFmtId="0" fontId="13" fillId="10" borderId="10" xfId="17" applyNumberFormat="1" applyFont="1" applyFill="1" applyBorder="1" applyAlignment="1">
      <alignment horizontal="center"/>
    </xf>
    <xf numFmtId="0" fontId="13" fillId="10" borderId="11" xfId="17" applyNumberFormat="1" applyFont="1" applyFill="1" applyBorder="1" applyAlignment="1">
      <alignment horizontal="center"/>
    </xf>
    <xf numFmtId="0" fontId="13" fillId="10" borderId="7" xfId="17" applyFont="1" applyFill="1" applyBorder="1" applyAlignment="1">
      <alignment horizontal="right"/>
    </xf>
    <xf numFmtId="174" fontId="13" fillId="10" borderId="0" xfId="17" applyNumberFormat="1" applyFont="1" applyFill="1" applyBorder="1" applyAlignment="1">
      <alignment horizontal="center" vertical="center"/>
    </xf>
    <xf numFmtId="167" fontId="22" fillId="10" borderId="0" xfId="4" applyNumberFormat="1" applyFont="1" applyFill="1" applyBorder="1" applyAlignment="1">
      <alignment horizontal="center" vertical="center"/>
    </xf>
    <xf numFmtId="174" fontId="13" fillId="10" borderId="8" xfId="17" applyNumberFormat="1" applyFont="1" applyFill="1" applyBorder="1" applyAlignment="1">
      <alignment horizontal="center" vertical="center"/>
    </xf>
    <xf numFmtId="174" fontId="13" fillId="0" borderId="13" xfId="17" applyNumberFormat="1" applyFont="1" applyFill="1" applyBorder="1" applyAlignment="1">
      <alignment horizontal="center" vertical="center"/>
    </xf>
    <xf numFmtId="167" fontId="22" fillId="0" borderId="13" xfId="4" applyNumberFormat="1" applyFont="1" applyBorder="1" applyAlignment="1">
      <alignment horizontal="center" vertical="center"/>
    </xf>
    <xf numFmtId="0" fontId="35" fillId="0" borderId="87" xfId="17" applyFont="1" applyBorder="1" applyAlignment="1" applyProtection="1">
      <alignment horizontal="center" wrapText="1"/>
    </xf>
    <xf numFmtId="0" fontId="35" fillId="0" borderId="13" xfId="17" applyFont="1" applyBorder="1" applyAlignment="1" applyProtection="1">
      <alignment horizontal="center" wrapText="1"/>
    </xf>
    <xf numFmtId="167" fontId="22" fillId="3" borderId="21" xfId="4" applyNumberFormat="1" applyFont="1" applyFill="1" applyBorder="1" applyAlignment="1" applyProtection="1">
      <alignment horizontal="center" vertical="center"/>
    </xf>
    <xf numFmtId="0" fontId="23" fillId="0" borderId="0" xfId="8" applyFont="1" applyAlignment="1">
      <alignment horizontal="left"/>
    </xf>
    <xf numFmtId="0" fontId="26" fillId="0" borderId="0" xfId="8" applyFont="1" applyAlignment="1">
      <alignment horizontal="left"/>
    </xf>
    <xf numFmtId="0" fontId="24" fillId="0" borderId="0" xfId="0" applyFont="1" applyAlignment="1">
      <alignment horizontal="right"/>
    </xf>
    <xf numFmtId="0" fontId="24" fillId="2" borderId="12" xfId="8" applyFont="1" applyFill="1" applyBorder="1" applyAlignment="1">
      <alignment horizontal="center"/>
    </xf>
    <xf numFmtId="0" fontId="24" fillId="0" borderId="0" xfId="8" applyFont="1">
      <alignment vertical="center"/>
    </xf>
    <xf numFmtId="0" fontId="24" fillId="0" borderId="0" xfId="8" applyFont="1" applyAlignment="1">
      <alignment horizontal="left"/>
    </xf>
    <xf numFmtId="0" fontId="24" fillId="0" borderId="0" xfId="0" applyFont="1" applyAlignment="1">
      <alignment horizontal="left"/>
    </xf>
    <xf numFmtId="0" fontId="26" fillId="0" borderId="0" xfId="0" applyFont="1"/>
    <xf numFmtId="0" fontId="22"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horizontal="center" vertical="center" wrapText="1"/>
    </xf>
    <xf numFmtId="0" fontId="24" fillId="0" borderId="0" xfId="0" applyFont="1"/>
    <xf numFmtId="0" fontId="65" fillId="0" borderId="0" xfId="29" applyAlignment="1">
      <alignment vertical="center"/>
    </xf>
    <xf numFmtId="173" fontId="22" fillId="0" borderId="0" xfId="0" applyNumberFormat="1" applyFont="1" applyAlignment="1">
      <alignment horizontal="right" vertical="top"/>
    </xf>
    <xf numFmtId="0" fontId="22" fillId="0" borderId="0" xfId="0" applyFont="1" applyAlignment="1">
      <alignment vertical="top"/>
    </xf>
    <xf numFmtId="0" fontId="24" fillId="0" borderId="0" xfId="0" applyFont="1" applyAlignment="1">
      <alignment vertical="top"/>
    </xf>
    <xf numFmtId="49" fontId="22" fillId="0" borderId="0" xfId="0" applyNumberFormat="1" applyFont="1" applyAlignment="1">
      <alignment horizontal="right"/>
    </xf>
    <xf numFmtId="0" fontId="58" fillId="0" borderId="0" xfId="0" applyFont="1" applyAlignment="1">
      <alignment horizontal="left" vertical="top" wrapText="1"/>
    </xf>
    <xf numFmtId="0" fontId="22" fillId="0" borderId="0" xfId="0" applyFont="1" applyAlignment="1">
      <alignment vertical="top" wrapText="1"/>
    </xf>
    <xf numFmtId="0" fontId="26" fillId="0" borderId="0" xfId="5" applyFont="1" applyAlignment="1">
      <alignment vertical="center"/>
    </xf>
    <xf numFmtId="0" fontId="88" fillId="0" borderId="0" xfId="0" applyFont="1" applyAlignment="1">
      <alignment vertical="top"/>
    </xf>
    <xf numFmtId="0" fontId="27" fillId="0" borderId="0" xfId="0" applyFont="1" applyBorder="1" applyAlignment="1"/>
    <xf numFmtId="49" fontId="22" fillId="0" borderId="0" xfId="0" applyNumberFormat="1" applyFont="1" applyAlignment="1"/>
    <xf numFmtId="0" fontId="0" fillId="0" borderId="0" xfId="0" applyBorder="1" applyAlignment="1"/>
    <xf numFmtId="0" fontId="65" fillId="0" borderId="0" xfId="23" applyFont="1" applyBorder="1">
      <alignment vertical="center"/>
    </xf>
    <xf numFmtId="0" fontId="22" fillId="0" borderId="0" xfId="4" applyFont="1" applyBorder="1" applyAlignment="1">
      <alignment horizontal="left" vertical="center"/>
    </xf>
    <xf numFmtId="0" fontId="5" fillId="0" borderId="10" xfId="7" applyBorder="1" applyAlignment="1">
      <alignment horizontal="left" vertical="center"/>
    </xf>
    <xf numFmtId="0" fontId="65" fillId="0" borderId="0" xfId="23" applyFont="1" applyBorder="1" applyAlignment="1">
      <alignment horizontal="left" vertical="center"/>
    </xf>
    <xf numFmtId="0" fontId="22" fillId="0" borderId="0" xfId="4" applyFont="1" applyBorder="1" applyAlignment="1">
      <alignment vertical="center" wrapText="1"/>
    </xf>
    <xf numFmtId="0" fontId="22" fillId="0" borderId="0" xfId="4" applyFont="1" applyBorder="1" applyAlignment="1">
      <alignment horizontal="left" vertical="center" wrapText="1"/>
    </xf>
    <xf numFmtId="0" fontId="20" fillId="0" borderId="0" xfId="2" applyFont="1" applyAlignment="1">
      <alignment horizontal="right" vertical="center" wrapText="1"/>
    </xf>
    <xf numFmtId="0" fontId="0" fillId="0" borderId="0" xfId="0" applyBorder="1" applyAlignment="1">
      <alignment horizontal="center"/>
    </xf>
    <xf numFmtId="0" fontId="13" fillId="0" borderId="0" xfId="4" applyFont="1" applyBorder="1" applyAlignment="1">
      <alignment horizontal="left" vertical="center"/>
    </xf>
    <xf numFmtId="0" fontId="13" fillId="0" borderId="0" xfId="4" applyFont="1" applyBorder="1" applyAlignment="1">
      <alignment horizontal="left" vertical="center" wrapText="1"/>
    </xf>
    <xf numFmtId="0" fontId="22" fillId="0" borderId="5" xfId="4" applyFont="1" applyBorder="1" applyAlignment="1">
      <alignment horizontal="left" vertical="center"/>
    </xf>
    <xf numFmtId="0" fontId="0" fillId="0" borderId="0" xfId="0" applyAlignment="1">
      <alignment horizontal="center"/>
    </xf>
    <xf numFmtId="0" fontId="21" fillId="0" borderId="0" xfId="0" applyFont="1" applyBorder="1" applyAlignment="1">
      <alignment horizontal="right" vertical="center"/>
    </xf>
    <xf numFmtId="173" fontId="22" fillId="0" borderId="0" xfId="0" applyNumberFormat="1" applyFont="1" applyBorder="1" applyAlignment="1" applyProtection="1">
      <alignment horizontal="right" vertical="top"/>
      <protection hidden="1"/>
    </xf>
    <xf numFmtId="0" fontId="13" fillId="0" borderId="0" xfId="0" applyFont="1" applyBorder="1" applyAlignment="1" applyProtection="1">
      <alignment horizontal="left" wrapText="1"/>
      <protection hidden="1"/>
    </xf>
    <xf numFmtId="0" fontId="21" fillId="0" borderId="0" xfId="0" applyFont="1" applyBorder="1" applyAlignment="1">
      <alignment horizontal="right"/>
    </xf>
    <xf numFmtId="0" fontId="26" fillId="0" borderId="0" xfId="5" applyFont="1" applyBorder="1" applyAlignment="1">
      <alignment horizontal="left" vertical="center" wrapText="1"/>
    </xf>
    <xf numFmtId="0" fontId="22" fillId="0" borderId="0" xfId="0" applyFont="1" applyBorder="1" applyAlignment="1" applyProtection="1">
      <alignment horizontal="left" vertical="top"/>
      <protection hidden="1"/>
    </xf>
    <xf numFmtId="0" fontId="65" fillId="0" borderId="0" xfId="26" applyBorder="1" applyAlignment="1" applyProtection="1">
      <alignment horizontal="left" vertical="center"/>
      <protection hidden="1"/>
    </xf>
    <xf numFmtId="0" fontId="22" fillId="0" borderId="0" xfId="0" applyFont="1" applyFill="1" applyBorder="1" applyAlignment="1">
      <alignment horizontal="right"/>
    </xf>
    <xf numFmtId="0" fontId="5" fillId="0" borderId="20" xfId="5" applyFont="1" applyBorder="1" applyAlignment="1">
      <alignment horizontal="left" vertical="center"/>
    </xf>
    <xf numFmtId="0" fontId="5" fillId="0" borderId="16" xfId="5" applyFont="1" applyBorder="1" applyAlignment="1">
      <alignment horizontal="center" vertical="center"/>
    </xf>
    <xf numFmtId="0" fontId="24" fillId="2" borderId="1" xfId="9" applyFont="1" applyBorder="1" applyAlignment="1" applyProtection="1">
      <alignment horizontal="center" vertical="center"/>
      <protection hidden="1"/>
    </xf>
    <xf numFmtId="0" fontId="24" fillId="2" borderId="3" xfId="9" applyFont="1" applyBorder="1" applyAlignment="1" applyProtection="1">
      <alignment horizontal="center" vertical="center"/>
      <protection hidden="1"/>
    </xf>
    <xf numFmtId="0" fontId="22" fillId="0" borderId="0" xfId="0" applyFont="1" applyBorder="1" applyAlignment="1" applyProtection="1">
      <alignment horizontal="left"/>
      <protection hidden="1"/>
    </xf>
    <xf numFmtId="0" fontId="22" fillId="0" borderId="0" xfId="0" applyFont="1" applyBorder="1" applyAlignment="1">
      <alignment horizontal="center"/>
    </xf>
    <xf numFmtId="0" fontId="65" fillId="0" borderId="0" xfId="26" applyFill="1" applyBorder="1" applyAlignment="1" applyProtection="1">
      <alignment horizontal="left"/>
      <protection hidden="1"/>
    </xf>
    <xf numFmtId="0" fontId="30" fillId="0" borderId="0" xfId="6" applyFont="1" applyBorder="1" applyAlignment="1">
      <alignment horizontal="center" vertical="center"/>
    </xf>
    <xf numFmtId="0" fontId="26" fillId="0" borderId="0" xfId="5" applyFont="1" applyBorder="1" applyAlignment="1">
      <alignment horizontal="left" vertical="center"/>
    </xf>
    <xf numFmtId="0" fontId="65" fillId="0" borderId="0" xfId="26" applyBorder="1" applyAlignment="1" applyProtection="1">
      <alignment horizontal="left"/>
      <protection hidden="1"/>
    </xf>
    <xf numFmtId="0" fontId="22" fillId="0" borderId="0" xfId="0" applyFont="1" applyBorder="1" applyAlignment="1" applyProtection="1">
      <alignment horizontal="center"/>
      <protection hidden="1"/>
    </xf>
    <xf numFmtId="0" fontId="22" fillId="0" borderId="0" xfId="0" applyFont="1" applyBorder="1" applyAlignment="1" applyProtection="1">
      <alignment horizontal="center" vertical="center" wrapText="1"/>
      <protection hidden="1"/>
    </xf>
    <xf numFmtId="0" fontId="23" fillId="0" borderId="5" xfId="13" applyFont="1" applyBorder="1" applyAlignment="1" applyProtection="1">
      <alignment horizontal="center" vertical="center" wrapText="1"/>
      <protection hidden="1"/>
    </xf>
    <xf numFmtId="0" fontId="23" fillId="0" borderId="0" xfId="13" applyFont="1" applyBorder="1" applyAlignment="1" applyProtection="1">
      <alignment horizontal="center" vertical="center" wrapText="1"/>
      <protection hidden="1"/>
    </xf>
    <xf numFmtId="0" fontId="65" fillId="0" borderId="0" xfId="26" applyBorder="1" applyAlignment="1">
      <alignment horizontal="left" vertical="center"/>
    </xf>
    <xf numFmtId="0" fontId="22" fillId="0" borderId="0" xfId="0" applyFont="1" applyBorder="1" applyAlignment="1">
      <alignment horizontal="left"/>
    </xf>
    <xf numFmtId="0" fontId="65" fillId="0" borderId="0" xfId="26" applyBorder="1">
      <alignment vertical="center"/>
    </xf>
    <xf numFmtId="0" fontId="13" fillId="0" borderId="0" xfId="0" applyFont="1" applyBorder="1" applyAlignment="1" applyProtection="1">
      <alignment horizontal="center"/>
      <protection hidden="1"/>
    </xf>
    <xf numFmtId="0" fontId="31" fillId="0" borderId="0" xfId="0" applyFont="1" applyBorder="1" applyAlignment="1" applyProtection="1">
      <alignment horizontal="center"/>
      <protection hidden="1"/>
    </xf>
    <xf numFmtId="0" fontId="65" fillId="0" borderId="0" xfId="26" applyBorder="1" applyProtection="1">
      <alignment vertical="center"/>
      <protection hidden="1"/>
    </xf>
    <xf numFmtId="0" fontId="13" fillId="0" borderId="0" xfId="0" applyFont="1" applyBorder="1" applyAlignment="1" applyProtection="1">
      <alignment horizontal="right"/>
      <protection hidden="1"/>
    </xf>
    <xf numFmtId="0" fontId="65" fillId="0" borderId="0" xfId="26" applyBorder="1" applyAlignment="1" applyProtection="1">
      <alignment horizontal="center" vertical="center"/>
      <protection hidden="1"/>
    </xf>
    <xf numFmtId="0" fontId="13" fillId="0" borderId="0" xfId="0" applyFont="1" applyBorder="1" applyAlignment="1" applyProtection="1">
      <alignment horizontal="center" wrapText="1"/>
      <protection hidden="1"/>
    </xf>
    <xf numFmtId="0" fontId="13" fillId="0" borderId="0" xfId="0" applyFont="1" applyBorder="1" applyAlignment="1" applyProtection="1">
      <alignment horizontal="left" vertical="top" wrapText="1"/>
      <protection hidden="1"/>
    </xf>
    <xf numFmtId="0" fontId="22" fillId="0" borderId="0" xfId="0" applyFont="1" applyBorder="1" applyAlignment="1">
      <alignment horizontal="right"/>
    </xf>
    <xf numFmtId="0" fontId="22" fillId="0" borderId="0" xfId="0" applyFont="1" applyBorder="1" applyAlignment="1">
      <alignment horizontal="left" wrapText="1"/>
    </xf>
    <xf numFmtId="173" fontId="22" fillId="0" borderId="0" xfId="0" applyNumberFormat="1" applyFont="1" applyBorder="1" applyAlignment="1" applyProtection="1">
      <alignment horizontal="center" vertical="top"/>
      <protection hidden="1"/>
    </xf>
    <xf numFmtId="0" fontId="22" fillId="0" borderId="0" xfId="0" applyFont="1" applyFill="1" applyBorder="1" applyAlignment="1">
      <alignment horizontal="left"/>
    </xf>
    <xf numFmtId="0" fontId="24" fillId="0" borderId="0" xfId="8" applyFont="1" applyBorder="1" applyAlignment="1">
      <alignment horizontal="left" vertical="center"/>
    </xf>
    <xf numFmtId="0" fontId="22" fillId="0" borderId="0" xfId="4" applyFont="1" applyBorder="1" applyAlignment="1" applyProtection="1">
      <alignment horizontal="center" vertical="center"/>
      <protection hidden="1"/>
    </xf>
    <xf numFmtId="0" fontId="22" fillId="0" borderId="0" xfId="0" applyFont="1" applyBorder="1" applyAlignment="1" applyProtection="1">
      <alignment horizontal="left" wrapText="1"/>
      <protection hidden="1"/>
    </xf>
    <xf numFmtId="0" fontId="22" fillId="0" borderId="0" xfId="0" applyFont="1" applyBorder="1" applyAlignment="1" applyProtection="1">
      <alignment horizontal="center" wrapText="1"/>
      <protection hidden="1"/>
    </xf>
    <xf numFmtId="0" fontId="24" fillId="0" borderId="0" xfId="8" applyFont="1" applyFill="1" applyBorder="1" applyAlignment="1">
      <alignment horizontal="left" vertical="center"/>
    </xf>
    <xf numFmtId="0" fontId="65" fillId="0" borderId="70" xfId="26" applyBorder="1" applyAlignment="1">
      <alignment horizontal="left" vertical="center"/>
    </xf>
    <xf numFmtId="0" fontId="65" fillId="0" borderId="71" xfId="26" applyBorder="1" applyAlignment="1">
      <alignment horizontal="left" vertical="center"/>
    </xf>
    <xf numFmtId="0" fontId="22" fillId="0" borderId="0" xfId="0" applyFont="1" applyFill="1" applyBorder="1" applyAlignment="1">
      <alignment horizontal="left" wrapText="1"/>
    </xf>
    <xf numFmtId="0" fontId="22" fillId="0" borderId="68" xfId="0" applyFont="1" applyFill="1" applyBorder="1" applyAlignment="1">
      <alignment horizontal="left" wrapText="1"/>
    </xf>
    <xf numFmtId="0" fontId="33" fillId="0" borderId="64" xfId="0" applyFont="1" applyFill="1" applyBorder="1" applyAlignment="1" applyProtection="1">
      <alignment horizontal="left"/>
      <protection hidden="1"/>
    </xf>
    <xf numFmtId="0" fontId="33" fillId="0" borderId="65" xfId="0" applyFont="1" applyFill="1" applyBorder="1" applyAlignment="1" applyProtection="1">
      <alignment horizontal="left"/>
      <protection hidden="1"/>
    </xf>
    <xf numFmtId="0" fontId="22" fillId="0" borderId="0" xfId="0" applyFont="1" applyBorder="1" applyAlignment="1" applyProtection="1">
      <alignment horizontal="center" vertical="center"/>
      <protection hidden="1"/>
    </xf>
    <xf numFmtId="0" fontId="21" fillId="0" borderId="0" xfId="0" applyFont="1" applyBorder="1" applyAlignment="1" applyProtection="1">
      <alignment horizontal="right"/>
      <protection hidden="1"/>
    </xf>
    <xf numFmtId="0" fontId="13" fillId="0" borderId="0" xfId="0" applyFont="1" applyBorder="1" applyAlignment="1" applyProtection="1">
      <alignment horizontal="left" vertical="center"/>
      <protection hidden="1"/>
    </xf>
    <xf numFmtId="9" fontId="13" fillId="0" borderId="1" xfId="0" applyNumberFormat="1" applyFont="1" applyBorder="1" applyAlignment="1" applyProtection="1">
      <alignment horizontal="center" vertical="center"/>
      <protection hidden="1"/>
    </xf>
    <xf numFmtId="0" fontId="13" fillId="0" borderId="2" xfId="0" applyFont="1" applyBorder="1" applyAlignment="1" applyProtection="1">
      <alignment horizontal="center" vertical="center"/>
      <protection hidden="1"/>
    </xf>
    <xf numFmtId="9" fontId="13" fillId="0" borderId="4" xfId="0" applyNumberFormat="1" applyFont="1" applyBorder="1" applyAlignment="1" applyProtection="1">
      <alignment horizontal="center" vertical="center"/>
      <protection hidden="1"/>
    </xf>
    <xf numFmtId="0" fontId="13" fillId="0" borderId="6" xfId="0" applyFont="1" applyBorder="1" applyAlignment="1" applyProtection="1">
      <alignment horizontal="center" vertical="center"/>
      <protection hidden="1"/>
    </xf>
    <xf numFmtId="0" fontId="13" fillId="0" borderId="5" xfId="0" applyFont="1" applyBorder="1" applyAlignment="1" applyProtection="1">
      <alignment horizontal="center" vertical="center"/>
      <protection hidden="1"/>
    </xf>
    <xf numFmtId="0" fontId="26" fillId="0" borderId="0" xfId="4" applyFont="1" applyBorder="1" applyAlignment="1">
      <alignment horizontal="left" vertical="center" wrapText="1"/>
    </xf>
    <xf numFmtId="0" fontId="13" fillId="0" borderId="0" xfId="0" applyFont="1" applyBorder="1" applyAlignment="1" applyProtection="1">
      <alignment horizontal="center" vertical="center"/>
      <protection hidden="1"/>
    </xf>
    <xf numFmtId="0" fontId="25" fillId="0" borderId="2" xfId="0" applyFont="1" applyBorder="1" applyAlignment="1" applyProtection="1">
      <alignment horizontal="center" vertical="center"/>
      <protection hidden="1"/>
    </xf>
    <xf numFmtId="0" fontId="25" fillId="0" borderId="3" xfId="0" applyFont="1" applyBorder="1" applyAlignment="1" applyProtection="1">
      <alignment horizontal="center" vertical="center"/>
      <protection hidden="1"/>
    </xf>
    <xf numFmtId="0" fontId="13" fillId="0" borderId="0" xfId="0" applyFont="1" applyBorder="1" applyAlignment="1" applyProtection="1">
      <alignment horizontal="left" vertical="center" wrapText="1"/>
      <protection hidden="1"/>
    </xf>
    <xf numFmtId="0" fontId="25" fillId="0" borderId="5"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173" fontId="22" fillId="0" borderId="10" xfId="0" applyNumberFormat="1" applyFont="1" applyBorder="1" applyAlignment="1" applyProtection="1">
      <alignment horizontal="center" vertical="center"/>
      <protection hidden="1"/>
    </xf>
    <xf numFmtId="0" fontId="13" fillId="0" borderId="2" xfId="0" applyFont="1" applyBorder="1" applyAlignment="1">
      <alignment horizontal="left" vertical="center"/>
    </xf>
    <xf numFmtId="0" fontId="22" fillId="0" borderId="5" xfId="0" applyFont="1" applyBorder="1" applyAlignment="1">
      <alignment horizontal="left" vertical="center" wrapText="1"/>
    </xf>
    <xf numFmtId="0" fontId="22" fillId="0" borderId="0" xfId="0" applyFont="1" applyBorder="1" applyAlignment="1">
      <alignment horizontal="left" vertical="center" wrapText="1"/>
    </xf>
    <xf numFmtId="0" fontId="22" fillId="0" borderId="10" xfId="0" applyFont="1" applyBorder="1" applyAlignment="1">
      <alignment horizontal="left" vertical="center" wrapText="1"/>
    </xf>
    <xf numFmtId="0" fontId="13" fillId="0" borderId="3" xfId="0" applyFont="1" applyBorder="1" applyAlignment="1" applyProtection="1">
      <alignment horizontal="center" vertical="center"/>
      <protection hidden="1"/>
    </xf>
    <xf numFmtId="0" fontId="22" fillId="0" borderId="5" xfId="0" applyFont="1" applyBorder="1" applyAlignment="1">
      <alignment horizontal="right" vertical="center"/>
    </xf>
    <xf numFmtId="0" fontId="65" fillId="0" borderId="5" xfId="1" applyFont="1" applyBorder="1" applyAlignment="1">
      <alignment horizontal="left" vertical="center"/>
    </xf>
    <xf numFmtId="0" fontId="63" fillId="0" borderId="0" xfId="0" applyFont="1" applyBorder="1" applyAlignment="1">
      <alignment horizontal="left" vertical="center" wrapText="1"/>
    </xf>
    <xf numFmtId="0" fontId="63" fillId="0" borderId="10" xfId="0" applyFont="1" applyBorder="1" applyAlignment="1">
      <alignment horizontal="left" vertical="center" wrapText="1"/>
    </xf>
    <xf numFmtId="0" fontId="22" fillId="0" borderId="0" xfId="0" applyFont="1" applyBorder="1" applyAlignment="1">
      <alignment horizontal="left" vertical="center"/>
    </xf>
    <xf numFmtId="0" fontId="5" fillId="0" borderId="20" xfId="5" applyFont="1" applyBorder="1" applyAlignment="1" applyProtection="1">
      <alignment horizontal="left" vertical="center"/>
      <protection hidden="1"/>
    </xf>
    <xf numFmtId="0" fontId="90" fillId="0" borderId="0" xfId="13" applyFont="1" applyBorder="1" applyAlignment="1">
      <alignment horizontal="left"/>
    </xf>
    <xf numFmtId="0" fontId="13" fillId="0" borderId="0" xfId="13" applyFont="1" applyBorder="1" applyAlignment="1">
      <alignment horizontal="center" vertical="center"/>
    </xf>
    <xf numFmtId="0" fontId="65" fillId="0" borderId="0" xfId="1" applyFont="1" applyBorder="1" applyAlignment="1">
      <alignment horizontal="center" vertical="center"/>
    </xf>
    <xf numFmtId="0" fontId="24" fillId="0" borderId="0" xfId="4" applyFont="1" applyBorder="1" applyAlignment="1">
      <alignment horizontal="right" vertical="center"/>
    </xf>
    <xf numFmtId="0" fontId="24" fillId="0" borderId="8" xfId="4" applyFont="1" applyBorder="1" applyAlignment="1">
      <alignment horizontal="right" vertical="center"/>
    </xf>
    <xf numFmtId="0" fontId="22" fillId="0" borderId="7" xfId="0" quotePrefix="1" applyFont="1" applyBorder="1" applyAlignment="1">
      <alignment horizontal="right"/>
    </xf>
    <xf numFmtId="0" fontId="22" fillId="0" borderId="0" xfId="0" quotePrefix="1" applyFont="1" applyBorder="1" applyAlignment="1">
      <alignment horizontal="right"/>
    </xf>
    <xf numFmtId="0" fontId="22" fillId="0" borderId="8" xfId="0" quotePrefix="1" applyFont="1" applyBorder="1" applyAlignment="1">
      <alignment horizontal="right"/>
    </xf>
    <xf numFmtId="0" fontId="13" fillId="0" borderId="7" xfId="0" applyFont="1" applyBorder="1" applyAlignment="1">
      <alignment horizontal="right" wrapText="1"/>
    </xf>
    <xf numFmtId="0" fontId="13" fillId="0" borderId="0" xfId="0" applyFont="1" applyBorder="1" applyAlignment="1">
      <alignment horizontal="right" wrapText="1"/>
    </xf>
    <xf numFmtId="0" fontId="13" fillId="0" borderId="8" xfId="0" applyFont="1" applyBorder="1" applyAlignment="1">
      <alignment horizontal="right" wrapText="1"/>
    </xf>
    <xf numFmtId="0" fontId="22" fillId="0" borderId="7" xfId="0" applyFont="1" applyBorder="1" applyAlignment="1">
      <alignment horizontal="right"/>
    </xf>
    <xf numFmtId="0" fontId="22" fillId="0" borderId="8" xfId="0" applyFont="1" applyBorder="1" applyAlignment="1">
      <alignment horizontal="right"/>
    </xf>
    <xf numFmtId="0" fontId="25" fillId="0" borderId="14" xfId="0" applyFont="1" applyBorder="1" applyAlignment="1">
      <alignment horizontal="center" vertical="center" wrapText="1"/>
    </xf>
    <xf numFmtId="0" fontId="25" fillId="0" borderId="13" xfId="0" applyFont="1" applyBorder="1" applyAlignment="1">
      <alignment horizontal="center" vertical="center" wrapText="1"/>
    </xf>
    <xf numFmtId="0" fontId="29" fillId="0" borderId="0" xfId="6" applyFont="1" applyBorder="1" applyAlignment="1">
      <alignment vertical="center"/>
    </xf>
    <xf numFmtId="0" fontId="35" fillId="0" borderId="0" xfId="17" quotePrefix="1" applyFont="1" applyBorder="1" applyAlignment="1" applyProtection="1">
      <alignment vertical="center" wrapText="1"/>
    </xf>
    <xf numFmtId="0" fontId="37" fillId="0" borderId="16" xfId="17" quotePrefix="1" applyFont="1" applyBorder="1" applyAlignment="1" applyProtection="1">
      <alignment horizontal="left" vertical="center"/>
    </xf>
    <xf numFmtId="0" fontId="35" fillId="0" borderId="0" xfId="17" quotePrefix="1" applyFont="1" applyBorder="1" applyAlignment="1" applyProtection="1">
      <alignment horizontal="left" vertical="center"/>
    </xf>
    <xf numFmtId="0" fontId="24" fillId="2" borderId="12" xfId="9" applyFont="1" applyBorder="1" applyAlignment="1">
      <alignment horizontal="center"/>
    </xf>
    <xf numFmtId="0" fontId="26" fillId="0" borderId="20" xfId="8" applyFont="1" applyFill="1" applyBorder="1" applyAlignment="1">
      <alignment horizontal="left" vertical="center"/>
    </xf>
    <xf numFmtId="0" fontId="26" fillId="0" borderId="0" xfId="8" applyFont="1" applyBorder="1" applyAlignment="1">
      <alignment horizontal="left" vertical="center"/>
    </xf>
    <xf numFmtId="0" fontId="22" fillId="2" borderId="12" xfId="9" applyFont="1" applyBorder="1" applyAlignment="1">
      <alignment horizontal="center" vertical="center"/>
    </xf>
    <xf numFmtId="0" fontId="35" fillId="0" borderId="0" xfId="17" quotePrefix="1" applyFont="1" applyBorder="1" applyAlignment="1" applyProtection="1">
      <alignment horizontal="left" vertical="center" wrapText="1"/>
    </xf>
    <xf numFmtId="0" fontId="37" fillId="0" borderId="0" xfId="17" quotePrefix="1" applyFont="1" applyBorder="1" applyAlignment="1" applyProtection="1">
      <alignment horizontal="left" vertical="center"/>
    </xf>
    <xf numFmtId="0" fontId="24" fillId="2" borderId="1" xfId="4" applyFont="1" applyFill="1" applyBorder="1" applyAlignment="1">
      <alignment horizontal="right" vertical="center"/>
    </xf>
    <xf numFmtId="0" fontId="24" fillId="2" borderId="2" xfId="4" applyFont="1" applyFill="1" applyBorder="1" applyAlignment="1">
      <alignment horizontal="right" vertical="center"/>
    </xf>
    <xf numFmtId="0" fontId="24" fillId="2" borderId="3" xfId="4" applyFont="1" applyFill="1" applyBorder="1" applyAlignment="1">
      <alignment horizontal="right" vertical="center"/>
    </xf>
    <xf numFmtId="0" fontId="22" fillId="0" borderId="0" xfId="4" applyFont="1" applyBorder="1" applyAlignment="1">
      <alignment horizontal="right" vertical="center" wrapText="1"/>
    </xf>
    <xf numFmtId="0" fontId="22" fillId="0" borderId="0" xfId="4" applyFont="1" applyBorder="1" applyAlignment="1">
      <alignment horizontal="center" vertical="center" wrapText="1"/>
    </xf>
    <xf numFmtId="0" fontId="24" fillId="2" borderId="1" xfId="9" applyFont="1" applyBorder="1" applyAlignment="1">
      <alignment horizontal="center" vertical="center" wrapText="1"/>
    </xf>
    <xf numFmtId="0" fontId="24" fillId="2" borderId="3" xfId="9" applyFont="1" applyBorder="1" applyAlignment="1">
      <alignment horizontal="center" vertical="center" wrapText="1"/>
    </xf>
    <xf numFmtId="0" fontId="22" fillId="0" borderId="7" xfId="0" applyFont="1" applyBorder="1" applyAlignment="1">
      <alignment horizontal="left"/>
    </xf>
    <xf numFmtId="0" fontId="22" fillId="0" borderId="7" xfId="0" applyFont="1" applyBorder="1" applyAlignment="1">
      <alignment horizontal="left" vertical="center" wrapText="1"/>
    </xf>
    <xf numFmtId="0" fontId="65" fillId="0" borderId="0" xfId="26" applyBorder="1" applyAlignment="1" applyProtection="1">
      <alignment horizontal="center" vertical="center" wrapText="1"/>
      <protection hidden="1"/>
    </xf>
    <xf numFmtId="0" fontId="24" fillId="0" borderId="0" xfId="0" applyFont="1" applyBorder="1" applyAlignment="1">
      <alignment horizontal="right"/>
    </xf>
    <xf numFmtId="0" fontId="24" fillId="0" borderId="0" xfId="4" applyFont="1" applyBorder="1" applyAlignment="1">
      <alignment horizontal="right" vertical="center" wrapText="1"/>
    </xf>
    <xf numFmtId="0" fontId="22" fillId="0" borderId="0" xfId="0" quotePrefix="1" applyFont="1" applyBorder="1" applyAlignment="1">
      <alignment horizontal="center" vertical="center"/>
    </xf>
    <xf numFmtId="0" fontId="22" fillId="0" borderId="0" xfId="0" applyFont="1" applyBorder="1" applyAlignment="1">
      <alignment horizontal="center" vertical="center"/>
    </xf>
    <xf numFmtId="0" fontId="22" fillId="0" borderId="0" xfId="0" applyFont="1" applyBorder="1" applyAlignment="1">
      <alignment horizontal="center" vertical="center" wrapText="1"/>
    </xf>
    <xf numFmtId="3" fontId="22" fillId="0" borderId="0" xfId="0" applyNumberFormat="1" applyFont="1" applyBorder="1" applyAlignment="1">
      <alignment horizontal="center" vertical="center" wrapText="1"/>
    </xf>
    <xf numFmtId="0" fontId="24" fillId="0" borderId="15" xfId="0" applyFont="1" applyBorder="1" applyAlignment="1">
      <alignment horizontal="center" vertical="center"/>
    </xf>
    <xf numFmtId="0" fontId="24" fillId="0" borderId="30" xfId="0" applyFont="1" applyBorder="1" applyAlignment="1">
      <alignment horizontal="center" vertical="center"/>
    </xf>
    <xf numFmtId="0" fontId="25" fillId="6" borderId="15" xfId="17" applyFont="1" applyFill="1" applyBorder="1" applyAlignment="1" applyProtection="1">
      <alignment horizontal="center" vertical="center" wrapText="1"/>
    </xf>
    <xf numFmtId="0" fontId="25" fillId="0" borderId="15" xfId="11" applyFont="1" applyFill="1" applyBorder="1" applyAlignment="1" applyProtection="1">
      <alignment horizontal="center" vertical="center" wrapText="1"/>
    </xf>
    <xf numFmtId="0" fontId="25" fillId="0" borderId="33" xfId="11" applyFont="1" applyFill="1" applyBorder="1" applyAlignment="1" applyProtection="1">
      <alignment horizontal="center" vertical="center" wrapText="1"/>
    </xf>
    <xf numFmtId="0" fontId="24" fillId="0" borderId="8" xfId="0" applyFont="1" applyBorder="1" applyAlignment="1">
      <alignment horizontal="right"/>
    </xf>
    <xf numFmtId="0" fontId="26" fillId="0" borderId="34" xfId="8" applyFont="1" applyFill="1" applyBorder="1" applyAlignment="1" applyProtection="1">
      <alignment horizontal="left" vertical="center"/>
    </xf>
    <xf numFmtId="0" fontId="26" fillId="0" borderId="2" xfId="8" applyFont="1" applyFill="1" applyBorder="1" applyAlignment="1" applyProtection="1">
      <alignment horizontal="left" vertical="center"/>
    </xf>
    <xf numFmtId="0" fontId="26" fillId="0" borderId="75" xfId="8" applyFont="1" applyFill="1" applyBorder="1" applyAlignment="1" applyProtection="1">
      <alignment horizontal="left" vertical="center"/>
    </xf>
    <xf numFmtId="0" fontId="24" fillId="0" borderId="0" xfId="0" applyFont="1" applyFill="1" applyBorder="1" applyAlignment="1">
      <alignment horizontal="center"/>
    </xf>
    <xf numFmtId="0" fontId="26" fillId="0" borderId="0" xfId="8" applyFont="1" applyFill="1" applyBorder="1" applyAlignment="1">
      <alignment horizontal="left" vertical="center"/>
    </xf>
    <xf numFmtId="0" fontId="37" fillId="0" borderId="19" xfId="17" applyFont="1" applyFill="1" applyBorder="1" applyAlignment="1" applyProtection="1">
      <alignment horizontal="left" vertical="center"/>
    </xf>
    <xf numFmtId="0" fontId="37" fillId="0" borderId="20" xfId="17" applyFont="1" applyFill="1" applyBorder="1" applyAlignment="1" applyProtection="1">
      <alignment horizontal="left" vertical="center"/>
    </xf>
    <xf numFmtId="0" fontId="37" fillId="0" borderId="57" xfId="17" applyFont="1" applyFill="1" applyBorder="1" applyAlignment="1" applyProtection="1">
      <alignment horizontal="left" vertical="center"/>
    </xf>
    <xf numFmtId="0" fontId="37" fillId="0" borderId="0" xfId="17" applyFont="1" applyFill="1" applyBorder="1" applyAlignment="1" applyProtection="1">
      <alignment horizontal="left" vertical="center"/>
    </xf>
    <xf numFmtId="0" fontId="37" fillId="0" borderId="49" xfId="17" applyFont="1" applyFill="1" applyBorder="1" applyAlignment="1" applyProtection="1">
      <alignment horizontal="left" vertical="center"/>
    </xf>
    <xf numFmtId="0" fontId="37" fillId="0" borderId="35" xfId="17" applyFont="1" applyFill="1" applyBorder="1" applyAlignment="1" applyProtection="1">
      <alignment horizontal="left" vertical="center"/>
    </xf>
    <xf numFmtId="0" fontId="26" fillId="0" borderId="10" xfId="8" applyFont="1" applyFill="1" applyBorder="1" applyAlignment="1" applyProtection="1">
      <alignment horizontal="left" vertical="center"/>
    </xf>
    <xf numFmtId="0" fontId="37" fillId="0" borderId="61" xfId="17" applyFont="1" applyFill="1" applyBorder="1" applyAlignment="1" applyProtection="1">
      <alignment horizontal="left" vertical="center"/>
    </xf>
    <xf numFmtId="0" fontId="37" fillId="0" borderId="5" xfId="17" applyFont="1" applyFill="1" applyBorder="1" applyAlignment="1" applyProtection="1">
      <alignment horizontal="left" vertical="center"/>
    </xf>
    <xf numFmtId="0" fontId="37" fillId="0" borderId="78" xfId="17" applyFont="1" applyFill="1" applyBorder="1" applyAlignment="1" applyProtection="1">
      <alignment horizontal="left" vertical="center"/>
    </xf>
    <xf numFmtId="0" fontId="35" fillId="0" borderId="0" xfId="17" quotePrefix="1" applyFont="1" applyBorder="1" applyAlignment="1" applyProtection="1">
      <alignment horizontal="left"/>
    </xf>
    <xf numFmtId="0" fontId="62" fillId="0" borderId="0" xfId="6" quotePrefix="1" applyFont="1" applyBorder="1" applyProtection="1">
      <alignment vertical="center"/>
    </xf>
    <xf numFmtId="0" fontId="25" fillId="0" borderId="51" xfId="11" applyFont="1" applyFill="1" applyBorder="1" applyAlignment="1" applyProtection="1">
      <alignment horizontal="center" vertical="center" wrapText="1"/>
    </xf>
    <xf numFmtId="0" fontId="35" fillId="0" borderId="51" xfId="11" applyFont="1" applyFill="1" applyBorder="1" applyAlignment="1" applyProtection="1">
      <alignment horizontal="center" vertical="center" wrapText="1"/>
    </xf>
    <xf numFmtId="0" fontId="35" fillId="0" borderId="55" xfId="11" applyFont="1" applyFill="1" applyBorder="1" applyAlignment="1" applyProtection="1">
      <alignment horizontal="center" vertical="center" wrapText="1"/>
    </xf>
    <xf numFmtId="0" fontId="13" fillId="0" borderId="38" xfId="4" applyFont="1" applyFill="1" applyBorder="1" applyAlignment="1">
      <alignment horizontal="right" vertical="center"/>
    </xf>
    <xf numFmtId="0" fontId="13" fillId="0" borderId="39" xfId="4" applyFont="1" applyFill="1" applyBorder="1" applyAlignment="1">
      <alignment horizontal="right" vertical="center"/>
    </xf>
    <xf numFmtId="0" fontId="37" fillId="0" borderId="16" xfId="17" quotePrefix="1" applyFont="1" applyBorder="1" applyAlignment="1" applyProtection="1">
      <alignment horizontal="left"/>
    </xf>
    <xf numFmtId="0" fontId="35" fillId="0" borderId="16" xfId="17" quotePrefix="1" applyFont="1" applyBorder="1" applyAlignment="1" applyProtection="1">
      <alignment horizontal="left" vertical="center" wrapText="1"/>
    </xf>
    <xf numFmtId="0" fontId="22" fillId="0" borderId="0" xfId="4" applyFont="1" applyFill="1" applyBorder="1" applyAlignment="1">
      <alignment horizontal="right" vertical="center"/>
    </xf>
    <xf numFmtId="0" fontId="35" fillId="0" borderId="0" xfId="0" applyFont="1" applyFill="1" applyBorder="1" applyAlignment="1">
      <alignment horizontal="center" wrapText="1"/>
    </xf>
    <xf numFmtId="0" fontId="25" fillId="6" borderId="27" xfId="17" applyFont="1" applyFill="1" applyBorder="1" applyAlignment="1" applyProtection="1">
      <alignment horizontal="center" vertical="center" wrapText="1"/>
    </xf>
    <xf numFmtId="0" fontId="26" fillId="0" borderId="0" xfId="8" applyFont="1" applyFill="1" applyBorder="1" applyAlignment="1">
      <alignment horizontal="left"/>
    </xf>
    <xf numFmtId="0" fontId="24" fillId="2" borderId="1" xfId="9" applyFont="1" applyBorder="1" applyAlignment="1">
      <alignment horizontal="center" vertical="center"/>
    </xf>
    <xf numFmtId="0" fontId="24" fillId="2" borderId="3" xfId="9" applyFont="1" applyBorder="1" applyAlignment="1">
      <alignment horizontal="center" vertical="center"/>
    </xf>
    <xf numFmtId="0" fontId="23" fillId="0" borderId="0" xfId="8" applyFont="1" applyBorder="1" applyAlignment="1">
      <alignment horizontal="left"/>
    </xf>
    <xf numFmtId="0" fontId="22" fillId="2" borderId="1" xfId="0" applyFont="1" applyFill="1" applyBorder="1" applyAlignment="1">
      <alignment horizontal="center"/>
    </xf>
    <xf numFmtId="0" fontId="22" fillId="2" borderId="3" xfId="0" applyFont="1" applyFill="1" applyBorder="1" applyAlignment="1">
      <alignment horizontal="center"/>
    </xf>
    <xf numFmtId="0" fontId="23" fillId="0" borderId="16" xfId="0" applyFont="1" applyBorder="1" applyAlignment="1">
      <alignment horizontal="left" vertical="top" wrapText="1"/>
    </xf>
    <xf numFmtId="0" fontId="23" fillId="0" borderId="0" xfId="0" applyFont="1" applyAlignment="1">
      <alignment horizontal="left" vertical="top" wrapText="1"/>
    </xf>
    <xf numFmtId="0" fontId="22" fillId="0" borderId="0" xfId="0" applyFont="1" applyAlignment="1">
      <alignment horizontal="left" vertical="center" wrapText="1"/>
    </xf>
    <xf numFmtId="0" fontId="24" fillId="0" borderId="10" xfId="0" applyFont="1" applyBorder="1" applyAlignment="1">
      <alignment horizontal="center" vertical="center"/>
    </xf>
    <xf numFmtId="0" fontId="24" fillId="0" borderId="2" xfId="0" applyFont="1" applyBorder="1" applyAlignment="1">
      <alignment horizontal="center" vertical="center"/>
    </xf>
    <xf numFmtId="0" fontId="24" fillId="0" borderId="10"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5"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Alignment="1">
      <alignment horizontal="center" vertical="center" wrapText="1"/>
    </xf>
    <xf numFmtId="0" fontId="22" fillId="0" borderId="8" xfId="0" applyFont="1" applyBorder="1" applyAlignment="1">
      <alignment horizontal="center" vertical="center" wrapText="1"/>
    </xf>
    <xf numFmtId="0" fontId="22" fillId="0" borderId="0" xfId="0" applyFont="1" applyAlignment="1">
      <alignment horizontal="left" vertical="top" wrapText="1"/>
    </xf>
    <xf numFmtId="0" fontId="24" fillId="0" borderId="0" xfId="0" applyFont="1" applyAlignment="1">
      <alignment horizontal="center" vertical="center" wrapText="1"/>
    </xf>
    <xf numFmtId="0" fontId="65" fillId="0" borderId="7" xfId="29" applyBorder="1" applyAlignment="1">
      <alignment horizontal="center" vertical="center" wrapText="1"/>
    </xf>
    <xf numFmtId="0" fontId="65" fillId="0" borderId="0" xfId="29" applyBorder="1" applyAlignment="1">
      <alignment horizontal="center" vertical="center" wrapText="1"/>
    </xf>
    <xf numFmtId="0" fontId="65" fillId="0" borderId="8" xfId="29" applyBorder="1" applyAlignment="1">
      <alignment horizontal="center" vertical="center" wrapText="1"/>
    </xf>
    <xf numFmtId="0" fontId="26" fillId="11" borderId="0" xfId="0" applyFont="1" applyFill="1" applyAlignment="1">
      <alignment horizontal="center" vertical="center" wrapText="1"/>
    </xf>
    <xf numFmtId="0" fontId="26" fillId="11" borderId="8" xfId="0" applyFont="1" applyFill="1" applyBorder="1" applyAlignment="1">
      <alignment horizontal="center" vertical="center" wrapText="1"/>
    </xf>
    <xf numFmtId="0" fontId="86" fillId="11" borderId="7" xfId="29" applyFont="1" applyFill="1" applyBorder="1" applyAlignment="1">
      <alignment horizontal="center" vertical="center" wrapText="1"/>
    </xf>
    <xf numFmtId="0" fontId="86" fillId="11" borderId="0" xfId="29" applyFont="1" applyFill="1" applyBorder="1" applyAlignment="1">
      <alignment horizontal="center" vertical="center" wrapText="1"/>
    </xf>
    <xf numFmtId="0" fontId="86" fillId="11" borderId="8" xfId="29" applyFont="1" applyFill="1" applyBorder="1" applyAlignment="1">
      <alignment horizontal="center" vertical="center" wrapText="1"/>
    </xf>
    <xf numFmtId="0" fontId="86" fillId="11" borderId="7" xfId="6" applyFont="1" applyFill="1" applyBorder="1" applyAlignment="1">
      <alignment horizontal="center" vertical="center" wrapText="1"/>
    </xf>
    <xf numFmtId="0" fontId="86" fillId="11" borderId="0" xfId="6" applyFont="1" applyFill="1" applyBorder="1" applyAlignment="1">
      <alignment horizontal="center" vertical="center" wrapText="1"/>
    </xf>
    <xf numFmtId="0" fontId="58" fillId="0" borderId="0" xfId="0" applyFont="1" applyAlignment="1">
      <alignment horizontal="left" vertical="top" wrapText="1"/>
    </xf>
    <xf numFmtId="0" fontId="24" fillId="0" borderId="0" xfId="0" applyFont="1" applyAlignment="1">
      <alignment horizontal="center" vertical="top" wrapText="1"/>
    </xf>
    <xf numFmtId="0" fontId="88" fillId="0" borderId="0" xfId="0" applyFont="1" applyAlignment="1">
      <alignment horizontal="left" vertical="top" wrapText="1"/>
    </xf>
    <xf numFmtId="0" fontId="13" fillId="0" borderId="3" xfId="4" applyFont="1" applyFill="1" applyBorder="1" applyAlignment="1">
      <alignment horizontal="left" vertical="center" wrapText="1"/>
    </xf>
    <xf numFmtId="0" fontId="13" fillId="0" borderId="12" xfId="4" applyFont="1" applyFill="1" applyBorder="1" applyAlignment="1">
      <alignment horizontal="left" vertical="center" wrapText="1"/>
    </xf>
    <xf numFmtId="0" fontId="13" fillId="0" borderId="1" xfId="4" applyFont="1" applyFill="1" applyBorder="1" applyAlignment="1">
      <alignment horizontal="left" vertical="center" wrapText="1"/>
    </xf>
    <xf numFmtId="0" fontId="13" fillId="0" borderId="12" xfId="0" applyFont="1" applyBorder="1" applyAlignment="1">
      <alignment horizontal="left" vertical="center" wrapText="1"/>
    </xf>
    <xf numFmtId="0" fontId="13" fillId="0" borderId="1" xfId="0" applyFont="1" applyBorder="1" applyAlignment="1">
      <alignment horizontal="left" vertical="center" wrapText="1"/>
    </xf>
    <xf numFmtId="0" fontId="23" fillId="0" borderId="0" xfId="0" applyFont="1" applyAlignment="1">
      <alignment horizontal="left" wrapText="1"/>
    </xf>
    <xf numFmtId="0" fontId="25" fillId="0" borderId="0" xfId="4" applyFont="1" applyFill="1" applyBorder="1" applyAlignment="1">
      <alignment horizontal="center" vertical="center" wrapText="1"/>
    </xf>
    <xf numFmtId="0" fontId="25" fillId="0" borderId="10" xfId="4" applyFont="1" applyFill="1" applyBorder="1" applyAlignment="1">
      <alignment horizontal="center" vertical="center" wrapText="1"/>
    </xf>
    <xf numFmtId="0" fontId="37" fillId="0" borderId="0" xfId="17" quotePrefix="1" applyFont="1" applyBorder="1" applyAlignment="1" applyProtection="1">
      <alignment horizontal="left"/>
    </xf>
    <xf numFmtId="0" fontId="62" fillId="0" borderId="0" xfId="24" quotePrefix="1" applyFont="1" applyBorder="1" applyProtection="1">
      <alignment vertical="center"/>
    </xf>
    <xf numFmtId="0" fontId="25" fillId="0" borderId="0" xfId="4" applyFont="1" applyBorder="1" applyAlignment="1">
      <alignment horizontal="right" vertical="center"/>
    </xf>
    <xf numFmtId="0" fontId="27" fillId="0" borderId="0" xfId="0" applyFont="1" applyBorder="1" applyAlignment="1">
      <alignment horizontal="left"/>
    </xf>
    <xf numFmtId="0" fontId="22" fillId="0" borderId="0" xfId="4" applyFont="1" applyFill="1" applyBorder="1" applyAlignment="1">
      <alignment horizontal="left" vertical="center" wrapText="1"/>
    </xf>
    <xf numFmtId="0" fontId="26" fillId="0" borderId="53" xfId="8" applyFont="1" applyFill="1" applyBorder="1" applyAlignment="1" applyProtection="1">
      <alignment horizontal="left" vertical="center"/>
    </xf>
    <xf numFmtId="0" fontId="26" fillId="0" borderId="38" xfId="8" applyFont="1" applyFill="1" applyBorder="1" applyAlignment="1" applyProtection="1">
      <alignment horizontal="left" vertical="center"/>
    </xf>
    <xf numFmtId="0" fontId="55" fillId="0" borderId="51" xfId="6" applyFont="1" applyFill="1" applyBorder="1" applyAlignment="1" applyProtection="1">
      <alignment horizontal="center" vertical="center" wrapText="1"/>
    </xf>
    <xf numFmtId="0" fontId="55" fillId="0" borderId="55" xfId="6" applyFont="1" applyFill="1" applyBorder="1" applyAlignment="1" applyProtection="1">
      <alignment horizontal="center" vertical="center" wrapText="1"/>
    </xf>
    <xf numFmtId="0" fontId="24" fillId="0" borderId="0" xfId="4" applyFont="1" applyBorder="1" applyAlignment="1">
      <alignment horizontal="center" vertical="center"/>
    </xf>
    <xf numFmtId="0" fontId="24" fillId="2" borderId="12" xfId="9" applyFont="1" applyBorder="1" applyAlignment="1">
      <alignment horizontal="center" vertical="center"/>
    </xf>
    <xf numFmtId="0" fontId="22" fillId="0" borderId="0" xfId="4" applyFont="1" applyBorder="1" applyAlignment="1">
      <alignment horizontal="right" vertical="center"/>
    </xf>
    <xf numFmtId="1" fontId="13" fillId="0" borderId="10" xfId="0" applyNumberFormat="1" applyFont="1" applyBorder="1" applyAlignment="1" applyProtection="1">
      <alignment horizontal="center" vertical="center"/>
      <protection hidden="1"/>
    </xf>
    <xf numFmtId="0" fontId="25" fillId="0" borderId="0" xfId="0" applyFont="1" applyBorder="1" applyAlignment="1" applyProtection="1">
      <alignment horizontal="center" vertical="center" wrapText="1"/>
      <protection hidden="1"/>
    </xf>
    <xf numFmtId="0" fontId="25" fillId="0" borderId="0" xfId="0" applyFont="1" applyFill="1" applyBorder="1" applyAlignment="1" applyProtection="1">
      <protection hidden="1"/>
    </xf>
    <xf numFmtId="0" fontId="25" fillId="0" borderId="0" xfId="0" applyFont="1" applyFill="1" applyBorder="1" applyAlignment="1" applyProtection="1">
      <alignment horizontal="left"/>
      <protection hidden="1"/>
    </xf>
    <xf numFmtId="0" fontId="13" fillId="0" borderId="0" xfId="0" applyFont="1" applyFill="1" applyBorder="1" applyAlignment="1" applyProtection="1">
      <alignment horizontal="left"/>
      <protection hidden="1"/>
    </xf>
    <xf numFmtId="0" fontId="35" fillId="0" borderId="0" xfId="0" applyFont="1" applyBorder="1" applyAlignment="1" applyProtection="1">
      <alignment horizontal="center" vertical="center" wrapText="1"/>
      <protection hidden="1"/>
    </xf>
    <xf numFmtId="0" fontId="13" fillId="0" borderId="0" xfId="0" applyFont="1" applyFill="1" applyBorder="1" applyAlignment="1" applyProtection="1">
      <protection hidden="1"/>
    </xf>
    <xf numFmtId="0" fontId="13" fillId="0" borderId="0" xfId="0" applyFont="1" applyFill="1" applyBorder="1" applyAlignment="1" applyProtection="1">
      <alignment wrapText="1"/>
      <protection hidden="1"/>
    </xf>
    <xf numFmtId="0" fontId="13" fillId="0" borderId="0" xfId="0" applyFont="1" applyFill="1" applyBorder="1" applyAlignment="1" applyProtection="1">
      <alignment vertical="center"/>
      <protection hidden="1"/>
    </xf>
    <xf numFmtId="0" fontId="26" fillId="0" borderId="16" xfId="8" applyFont="1" applyFill="1" applyBorder="1" applyAlignment="1">
      <alignment horizontal="left" vertical="center"/>
    </xf>
    <xf numFmtId="0" fontId="13" fillId="0" borderId="0" xfId="0" applyFont="1" applyFill="1" applyBorder="1" applyAlignment="1" applyProtection="1">
      <alignment horizontal="right"/>
      <protection hidden="1"/>
    </xf>
    <xf numFmtId="0" fontId="25" fillId="0" borderId="0" xfId="0" applyFont="1" applyBorder="1" applyAlignment="1" applyProtection="1">
      <alignment horizontal="left"/>
      <protection hidden="1"/>
    </xf>
    <xf numFmtId="0" fontId="25" fillId="0" borderId="8" xfId="0" applyFont="1" applyBorder="1" applyAlignment="1" applyProtection="1">
      <alignment horizontal="left"/>
      <protection hidden="1"/>
    </xf>
    <xf numFmtId="0" fontId="22" fillId="0" borderId="9" xfId="0" applyFont="1" applyBorder="1" applyAlignment="1">
      <alignment horizontal="center" vertical="center" wrapText="1"/>
    </xf>
    <xf numFmtId="0" fontId="22" fillId="0" borderId="11" xfId="0" applyFont="1" applyBorder="1" applyAlignment="1">
      <alignment horizontal="center" vertical="center" wrapText="1"/>
    </xf>
    <xf numFmtId="0" fontId="25" fillId="0" borderId="8" xfId="0" applyFont="1" applyFill="1" applyBorder="1" applyAlignment="1" applyProtection="1">
      <alignment horizontal="left"/>
      <protection hidden="1"/>
    </xf>
    <xf numFmtId="0" fontId="13" fillId="0" borderId="8" xfId="0" applyFont="1" applyFill="1" applyBorder="1" applyAlignment="1" applyProtection="1">
      <alignment horizontal="left"/>
      <protection hidden="1"/>
    </xf>
    <xf numFmtId="0" fontId="13" fillId="0" borderId="0" xfId="0" applyFont="1" applyFill="1" applyBorder="1" applyAlignment="1" applyProtection="1">
      <alignment horizontal="left" vertical="center"/>
      <protection hidden="1"/>
    </xf>
    <xf numFmtId="0" fontId="13" fillId="0" borderId="8" xfId="0" applyFont="1" applyBorder="1" applyAlignment="1" applyProtection="1">
      <alignment horizontal="center"/>
      <protection hidden="1"/>
    </xf>
    <xf numFmtId="0" fontId="26" fillId="0" borderId="0" xfId="8" applyFont="1" applyFill="1" applyBorder="1" applyAlignment="1" applyProtection="1">
      <alignment horizontal="left" vertical="center"/>
      <protection hidden="1"/>
    </xf>
    <xf numFmtId="0" fontId="13" fillId="0" borderId="0" xfId="0" applyFont="1" applyBorder="1" applyAlignment="1" applyProtection="1">
      <alignment horizontal="left"/>
      <protection hidden="1"/>
    </xf>
    <xf numFmtId="0" fontId="22" fillId="0" borderId="0" xfId="8" applyFont="1" applyFill="1" applyBorder="1" applyAlignment="1">
      <alignment horizontal="left" vertical="center" wrapText="1" indent="2"/>
    </xf>
    <xf numFmtId="0" fontId="21" fillId="0" borderId="0" xfId="8" applyFont="1" applyFill="1" applyBorder="1" applyAlignment="1">
      <alignment horizontal="left" vertical="center" wrapText="1" indent="2"/>
    </xf>
    <xf numFmtId="0" fontId="25" fillId="0" borderId="0" xfId="0" applyFont="1" applyBorder="1" applyAlignment="1">
      <alignment horizontal="left" wrapText="1"/>
    </xf>
    <xf numFmtId="0" fontId="13" fillId="0" borderId="0" xfId="8" applyFont="1" applyFill="1" applyBorder="1" applyAlignment="1">
      <alignment horizontal="left" wrapText="1"/>
    </xf>
    <xf numFmtId="0" fontId="25" fillId="0" borderId="0" xfId="0" applyFont="1" applyBorder="1" applyAlignment="1">
      <alignment horizontal="left"/>
    </xf>
    <xf numFmtId="0" fontId="24" fillId="0" borderId="0" xfId="8" applyFont="1" applyFill="1" applyBorder="1" applyAlignment="1">
      <alignment horizontal="center" vertical="center"/>
    </xf>
    <xf numFmtId="0" fontId="24" fillId="0" borderId="0" xfId="8" applyFont="1" applyFill="1" applyBorder="1" applyAlignment="1">
      <alignment horizontal="left" wrapText="1"/>
    </xf>
    <xf numFmtId="0" fontId="22" fillId="0" borderId="0" xfId="0" applyFont="1" applyBorder="1" applyAlignment="1">
      <alignment horizontal="left" vertical="center" wrapText="1" indent="2"/>
    </xf>
    <xf numFmtId="0" fontId="24" fillId="0" borderId="9" xfId="0" applyFont="1" applyBorder="1" applyAlignment="1">
      <alignment horizontal="center" vertical="center" wrapText="1"/>
    </xf>
    <xf numFmtId="0" fontId="24" fillId="0" borderId="11" xfId="0" applyFont="1" applyBorder="1" applyAlignment="1">
      <alignment horizontal="center" vertical="center" wrapText="1"/>
    </xf>
    <xf numFmtId="0" fontId="62" fillId="0" borderId="0" xfId="26" applyNumberFormat="1" applyFont="1" applyFill="1" applyBorder="1" applyAlignment="1" applyProtection="1">
      <alignment horizontal="left" vertical="center"/>
    </xf>
    <xf numFmtId="0" fontId="32" fillId="0" borderId="0" xfId="0" applyFont="1" applyAlignment="1">
      <alignment horizontal="center" vertical="center" wrapText="1"/>
    </xf>
    <xf numFmtId="0" fontId="32" fillId="0" borderId="0"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11" xfId="0" applyFont="1" applyBorder="1" applyAlignment="1">
      <alignment horizontal="center" vertical="center" wrapText="1"/>
    </xf>
    <xf numFmtId="0" fontId="25" fillId="4" borderId="14" xfId="11" applyFont="1" applyBorder="1" applyAlignment="1" applyProtection="1">
      <alignment horizontal="center" vertical="center" wrapText="1"/>
      <protection hidden="1"/>
    </xf>
    <xf numFmtId="0" fontId="25" fillId="4" borderId="15" xfId="11" applyFont="1" applyBorder="1" applyAlignment="1" applyProtection="1">
      <alignment horizontal="center" vertical="center" wrapText="1"/>
      <protection hidden="1"/>
    </xf>
    <xf numFmtId="0" fontId="25" fillId="4" borderId="12" xfId="11" applyFont="1" applyBorder="1" applyAlignment="1">
      <alignment horizontal="center" vertical="center" wrapText="1"/>
    </xf>
    <xf numFmtId="0" fontId="49" fillId="0" borderId="0" xfId="23" applyFont="1" applyBorder="1" applyAlignment="1">
      <alignment horizontal="center" vertical="center"/>
    </xf>
    <xf numFmtId="0" fontId="48" fillId="0" borderId="0" xfId="4" applyFont="1" applyBorder="1" applyAlignment="1">
      <alignment horizontal="left" vertical="center"/>
    </xf>
    <xf numFmtId="0" fontId="39" fillId="0" borderId="0" xfId="0" applyFont="1" applyBorder="1" applyAlignment="1">
      <alignment horizontal="left"/>
    </xf>
    <xf numFmtId="0" fontId="39" fillId="0" borderId="0" xfId="4" applyFont="1" applyFill="1" applyBorder="1" applyAlignment="1">
      <alignment horizontal="left" vertical="center"/>
    </xf>
    <xf numFmtId="0" fontId="39" fillId="0" borderId="0" xfId="4" applyFont="1" applyFill="1" applyBorder="1" applyAlignment="1">
      <alignment vertical="center"/>
    </xf>
    <xf numFmtId="0" fontId="62" fillId="0" borderId="0" xfId="26" applyFont="1" applyFill="1" applyBorder="1" applyAlignment="1">
      <alignment horizontal="left" vertical="center"/>
    </xf>
    <xf numFmtId="0" fontId="13" fillId="0" borderId="0" xfId="0" applyFont="1" applyFill="1" applyBorder="1" applyAlignment="1" applyProtection="1">
      <alignment horizontal="center"/>
      <protection hidden="1"/>
    </xf>
    <xf numFmtId="0" fontId="22" fillId="0" borderId="0" xfId="0" applyFont="1" applyBorder="1" applyAlignment="1" applyProtection="1">
      <alignment horizontal="right"/>
      <protection hidden="1"/>
    </xf>
    <xf numFmtId="0" fontId="25" fillId="0" borderId="0" xfId="0" applyFont="1" applyBorder="1" applyAlignment="1">
      <alignment horizontal="center" wrapText="1"/>
    </xf>
    <xf numFmtId="0" fontId="25" fillId="0" borderId="10" xfId="0" applyFont="1" applyBorder="1" applyAlignment="1">
      <alignment horizontal="center" wrapText="1"/>
    </xf>
    <xf numFmtId="0" fontId="13" fillId="0" borderId="8" xfId="0" applyFont="1" applyFill="1" applyBorder="1" applyAlignment="1" applyProtection="1">
      <alignment horizontal="left" vertical="center"/>
      <protection hidden="1"/>
    </xf>
    <xf numFmtId="0" fontId="13" fillId="0" borderId="7" xfId="0" applyFont="1" applyFill="1" applyBorder="1" applyAlignment="1" applyProtection="1">
      <alignment horizontal="right"/>
      <protection hidden="1"/>
    </xf>
    <xf numFmtId="2" fontId="22" fillId="0" borderId="2" xfId="0" applyNumberFormat="1" applyFont="1" applyBorder="1" applyAlignment="1">
      <alignment horizontal="left"/>
    </xf>
    <xf numFmtId="0" fontId="24" fillId="0" borderId="53" xfId="8" applyFont="1" applyFill="1" applyBorder="1" applyAlignment="1" applyProtection="1">
      <alignment horizontal="left" vertical="center"/>
    </xf>
    <xf numFmtId="0" fontId="24" fillId="0" borderId="38" xfId="8" applyFont="1" applyFill="1" applyBorder="1" applyAlignment="1" applyProtection="1">
      <alignment horizontal="left" vertical="center"/>
    </xf>
    <xf numFmtId="0" fontId="24" fillId="0" borderId="39" xfId="8" applyFont="1" applyFill="1" applyBorder="1" applyAlignment="1" applyProtection="1">
      <alignment horizontal="left" vertical="center"/>
    </xf>
    <xf numFmtId="2" fontId="13" fillId="0" borderId="0" xfId="17" applyNumberFormat="1" applyFont="1" applyFill="1" applyBorder="1" applyAlignment="1" applyProtection="1">
      <alignment horizontal="right" vertical="center"/>
    </xf>
    <xf numFmtId="2" fontId="13" fillId="0" borderId="0" xfId="17" applyNumberFormat="1" applyFont="1" applyFill="1" applyBorder="1" applyAlignment="1" applyProtection="1">
      <alignment horizontal="left" vertical="center"/>
    </xf>
    <xf numFmtId="2" fontId="22" fillId="0" borderId="0" xfId="4" applyNumberFormat="1" applyFont="1" applyFill="1" applyBorder="1" applyAlignment="1" applyProtection="1">
      <alignment horizontal="left" vertical="center"/>
    </xf>
    <xf numFmtId="0" fontId="5" fillId="0" borderId="20" xfId="8" applyFont="1" applyFill="1" applyBorder="1" applyAlignment="1">
      <alignment horizontal="left" vertical="center"/>
    </xf>
    <xf numFmtId="0" fontId="25" fillId="6" borderId="26" xfId="17" applyFont="1" applyFill="1" applyBorder="1" applyAlignment="1" applyProtection="1">
      <alignment horizontal="center" vertical="center" wrapText="1"/>
    </xf>
    <xf numFmtId="0" fontId="25" fillId="6" borderId="29" xfId="17" applyFont="1" applyFill="1" applyBorder="1" applyAlignment="1" applyProtection="1">
      <alignment horizontal="center" vertical="center" wrapText="1"/>
    </xf>
    <xf numFmtId="0" fontId="22" fillId="0" borderId="20" xfId="8" applyFont="1" applyFill="1" applyBorder="1" applyAlignment="1">
      <alignment horizontal="left" vertical="center"/>
    </xf>
    <xf numFmtId="0" fontId="35" fillId="0" borderId="5" xfId="4" applyFont="1" applyFill="1" applyBorder="1" applyAlignment="1">
      <alignment horizontal="right" vertical="center" wrapText="1"/>
    </xf>
    <xf numFmtId="0" fontId="35" fillId="0" borderId="0" xfId="4" applyFont="1" applyFill="1" applyBorder="1" applyAlignment="1">
      <alignment horizontal="right" vertical="center" wrapText="1"/>
    </xf>
    <xf numFmtId="0" fontId="62" fillId="0" borderId="5" xfId="1" applyFont="1" applyBorder="1" applyAlignment="1">
      <alignment horizontal="left" vertical="center"/>
    </xf>
    <xf numFmtId="0" fontId="62" fillId="0" borderId="0" xfId="1" applyFont="1" applyBorder="1" applyAlignment="1">
      <alignment horizontal="left" vertical="center"/>
    </xf>
    <xf numFmtId="0" fontId="24" fillId="0" borderId="14" xfId="4" applyFont="1" applyFill="1" applyBorder="1" applyAlignment="1">
      <alignment horizontal="center" vertical="center" wrapText="1"/>
    </xf>
    <xf numFmtId="0" fontId="24" fillId="0" borderId="15" xfId="4" applyFont="1" applyFill="1" applyBorder="1" applyAlignment="1">
      <alignment horizontal="center" vertical="center" wrapText="1"/>
    </xf>
    <xf numFmtId="0" fontId="24" fillId="0" borderId="13" xfId="4" applyFont="1" applyFill="1" applyBorder="1" applyAlignment="1">
      <alignment horizontal="center" vertical="center" wrapText="1"/>
    </xf>
    <xf numFmtId="0" fontId="22" fillId="0" borderId="0" xfId="8" applyFont="1" applyBorder="1" applyAlignment="1">
      <alignment horizontal="center" vertical="center" wrapText="1"/>
    </xf>
    <xf numFmtId="0" fontId="22" fillId="0" borderId="10" xfId="8" applyFont="1" applyBorder="1" applyAlignment="1">
      <alignment horizontal="center" vertical="center" wrapText="1"/>
    </xf>
    <xf numFmtId="0" fontId="24" fillId="0" borderId="4" xfId="4" applyFont="1" applyFill="1" applyBorder="1" applyAlignment="1">
      <alignment horizontal="center" vertical="center" wrapText="1"/>
    </xf>
    <xf numFmtId="0" fontId="24" fillId="0" borderId="7" xfId="4" applyFont="1" applyFill="1" applyBorder="1" applyAlignment="1">
      <alignment horizontal="center" vertical="center" wrapText="1"/>
    </xf>
    <xf numFmtId="0" fontId="24" fillId="0" borderId="9" xfId="4" applyFont="1" applyFill="1" applyBorder="1" applyAlignment="1">
      <alignment horizontal="center" vertical="center" wrapText="1"/>
    </xf>
    <xf numFmtId="0" fontId="22" fillId="0" borderId="14" xfId="4" applyFont="1" applyBorder="1" applyAlignment="1">
      <alignment horizontal="center" vertical="center" wrapText="1"/>
    </xf>
    <xf numFmtId="0" fontId="22" fillId="0" borderId="15" xfId="4" applyFont="1" applyBorder="1" applyAlignment="1">
      <alignment horizontal="center" vertical="center" wrapText="1"/>
    </xf>
    <xf numFmtId="0" fontId="22" fillId="0" borderId="13" xfId="4" applyFont="1" applyBorder="1" applyAlignment="1">
      <alignment horizontal="center" vertical="center" wrapText="1"/>
    </xf>
    <xf numFmtId="0" fontId="22" fillId="0" borderId="12" xfId="4" applyFont="1" applyBorder="1" applyAlignment="1">
      <alignment horizontal="center" vertical="center"/>
    </xf>
    <xf numFmtId="0" fontId="62" fillId="0" borderId="4" xfId="6" applyFont="1" applyBorder="1" applyAlignment="1" applyProtection="1">
      <alignment horizontal="center" vertical="center" wrapText="1"/>
    </xf>
    <xf numFmtId="0" fontId="62" fillId="0" borderId="7" xfId="6" applyFont="1" applyBorder="1" applyAlignment="1" applyProtection="1">
      <alignment horizontal="center" vertical="center" wrapText="1"/>
    </xf>
    <xf numFmtId="0" fontId="62" fillId="0" borderId="9" xfId="6" applyFont="1" applyBorder="1" applyAlignment="1" applyProtection="1">
      <alignment horizontal="center" vertical="center" wrapText="1"/>
    </xf>
    <xf numFmtId="0" fontId="22" fillId="0" borderId="0" xfId="0" applyFont="1" applyAlignment="1">
      <alignment horizontal="left" vertical="center" wrapText="1" indent="3"/>
    </xf>
    <xf numFmtId="0" fontId="24" fillId="0" borderId="0" xfId="4" applyFont="1" applyFill="1" applyBorder="1" applyAlignment="1">
      <alignment horizontal="left" vertical="center" wrapText="1"/>
    </xf>
    <xf numFmtId="0" fontId="62" fillId="0" borderId="0" xfId="26" applyFont="1" applyFill="1" applyBorder="1" applyAlignment="1">
      <alignment horizontal="left" vertical="center" wrapText="1"/>
    </xf>
    <xf numFmtId="0" fontId="22" fillId="0" borderId="0" xfId="0" applyFont="1" applyAlignment="1">
      <alignment horizontal="left"/>
    </xf>
    <xf numFmtId="0" fontId="57" fillId="0" borderId="20" xfId="5" applyFont="1" applyFill="1" applyBorder="1" applyAlignment="1">
      <alignment horizontal="left" vertical="center"/>
    </xf>
    <xf numFmtId="0" fontId="50" fillId="0" borderId="0" xfId="8" applyFont="1" applyBorder="1" applyAlignment="1">
      <alignment horizontal="center" vertical="center"/>
    </xf>
    <xf numFmtId="0" fontId="50" fillId="0" borderId="8" xfId="8" applyFont="1" applyBorder="1" applyAlignment="1">
      <alignment horizontal="center" vertical="center"/>
    </xf>
    <xf numFmtId="0" fontId="50" fillId="0" borderId="7" xfId="8" applyFont="1" applyBorder="1" applyAlignment="1">
      <alignment horizontal="center" vertical="center" wrapText="1"/>
    </xf>
    <xf numFmtId="0" fontId="50" fillId="0" borderId="7" xfId="8" applyFont="1" applyBorder="1" applyAlignment="1">
      <alignment horizontal="center" vertical="center"/>
    </xf>
    <xf numFmtId="0" fontId="50" fillId="0" borderId="9" xfId="8" applyFont="1" applyBorder="1" applyAlignment="1">
      <alignment horizontal="center" vertical="center"/>
    </xf>
    <xf numFmtId="0" fontId="50" fillId="0" borderId="10" xfId="8" applyFont="1" applyBorder="1" applyAlignment="1">
      <alignment horizontal="center" vertical="center"/>
    </xf>
    <xf numFmtId="0" fontId="24" fillId="0" borderId="43" xfId="25" applyFont="1" applyBorder="1" applyAlignment="1">
      <alignment horizontal="center" wrapText="1"/>
    </xf>
    <xf numFmtId="0" fontId="24" fillId="0" borderId="45" xfId="25" applyFont="1" applyBorder="1" applyAlignment="1">
      <alignment horizontal="center" wrapText="1"/>
    </xf>
    <xf numFmtId="0" fontId="24" fillId="0" borderId="0" xfId="25" applyFont="1" applyFill="1" applyBorder="1" applyAlignment="1">
      <alignment horizontal="left" wrapText="1"/>
    </xf>
    <xf numFmtId="0" fontId="23" fillId="0" borderId="0" xfId="25" applyFont="1" applyAlignment="1">
      <alignment horizontal="center" vertical="center" wrapText="1"/>
    </xf>
    <xf numFmtId="0" fontId="24" fillId="0" borderId="16" xfId="25" applyFont="1" applyBorder="1" applyAlignment="1">
      <alignment horizontal="left" vertical="center" wrapText="1"/>
    </xf>
    <xf numFmtId="0" fontId="24" fillId="0" borderId="0" xfId="25" applyFont="1" applyBorder="1" applyAlignment="1">
      <alignment horizontal="left" vertical="center" wrapText="1"/>
    </xf>
    <xf numFmtId="0" fontId="58" fillId="0" borderId="0" xfId="0" applyFont="1" applyFill="1" applyBorder="1" applyAlignment="1">
      <alignment horizontal="center"/>
    </xf>
    <xf numFmtId="0" fontId="58" fillId="0" borderId="0" xfId="0" applyFont="1" applyFill="1" applyBorder="1" applyAlignment="1">
      <alignment horizontal="center" vertical="center"/>
    </xf>
    <xf numFmtId="0" fontId="62" fillId="0" borderId="0" xfId="23" applyFont="1" applyFill="1" applyBorder="1" applyAlignment="1">
      <alignment horizontal="left" vertical="center"/>
    </xf>
    <xf numFmtId="0" fontId="62" fillId="0" borderId="0" xfId="23" applyFont="1" applyFill="1" applyBorder="1" applyAlignment="1">
      <alignment horizontal="left" vertical="center" indent="4"/>
    </xf>
    <xf numFmtId="0" fontId="58" fillId="0" borderId="0" xfId="4" applyFont="1" applyFill="1" applyBorder="1" applyAlignment="1">
      <alignment horizontal="left" vertical="center" indent="4"/>
    </xf>
    <xf numFmtId="0" fontId="49" fillId="0" borderId="0" xfId="23" applyFont="1" applyFill="1" applyBorder="1" applyAlignment="1" applyProtection="1">
      <alignment horizontal="center" vertical="center"/>
    </xf>
    <xf numFmtId="0" fontId="22" fillId="0" borderId="0" xfId="4" applyFont="1" applyFill="1" applyBorder="1" applyAlignment="1">
      <alignment horizontal="left" vertical="center" wrapText="1" indent="3"/>
    </xf>
    <xf numFmtId="0" fontId="58" fillId="0" borderId="0" xfId="4" applyFont="1" applyFill="1" applyBorder="1" applyAlignment="1">
      <alignment horizontal="left" vertical="center" wrapText="1"/>
    </xf>
    <xf numFmtId="0" fontId="24" fillId="0" borderId="6" xfId="4" applyFont="1" applyBorder="1" applyAlignment="1">
      <alignment horizontal="center" vertical="center" wrapText="1"/>
    </xf>
    <xf numFmtId="0" fontId="24" fillId="0" borderId="8" xfId="4" applyFont="1" applyBorder="1" applyAlignment="1">
      <alignment horizontal="center" vertical="center" wrapText="1"/>
    </xf>
    <xf numFmtId="0" fontId="24" fillId="0" borderId="11" xfId="4" applyFont="1" applyBorder="1" applyAlignment="1">
      <alignment horizontal="center" vertical="center" wrapText="1"/>
    </xf>
    <xf numFmtId="0" fontId="24" fillId="0" borderId="14" xfId="4" applyFont="1" applyBorder="1" applyAlignment="1">
      <alignment horizontal="center" vertical="center" wrapText="1"/>
    </xf>
    <xf numFmtId="0" fontId="24" fillId="0" borderId="15" xfId="4" applyFont="1" applyBorder="1" applyAlignment="1">
      <alignment horizontal="center" vertical="center" wrapText="1"/>
    </xf>
    <xf numFmtId="0" fontId="24" fillId="0" borderId="13" xfId="4" applyFont="1" applyBorder="1" applyAlignment="1">
      <alignment horizontal="center" vertical="center" wrapText="1"/>
    </xf>
    <xf numFmtId="0" fontId="62" fillId="0" borderId="1" xfId="6" applyFont="1" applyFill="1" applyBorder="1" applyAlignment="1" applyProtection="1">
      <alignment horizontal="center" vertical="center" wrapText="1"/>
    </xf>
    <xf numFmtId="0" fontId="24" fillId="0" borderId="6" xfId="4" applyFont="1" applyFill="1" applyBorder="1" applyAlignment="1">
      <alignment horizontal="center" vertical="center" wrapText="1"/>
    </xf>
    <xf numFmtId="0" fontId="24" fillId="0" borderId="8" xfId="4" applyFont="1" applyFill="1" applyBorder="1" applyAlignment="1">
      <alignment horizontal="center" vertical="center" wrapText="1"/>
    </xf>
    <xf numFmtId="0" fontId="24" fillId="0" borderId="11" xfId="4" applyFont="1" applyFill="1" applyBorder="1" applyAlignment="1">
      <alignment horizontal="center" vertical="center" wrapText="1"/>
    </xf>
    <xf numFmtId="0" fontId="59" fillId="0" borderId="0" xfId="0" applyFont="1" applyFill="1" applyBorder="1" applyAlignment="1">
      <alignment horizontal="left" vertical="center" indent="4"/>
    </xf>
    <xf numFmtId="0" fontId="13" fillId="0" borderId="15" xfId="17" applyFont="1" applyFill="1" applyBorder="1" applyAlignment="1">
      <alignment horizontal="left" vertical="top" wrapText="1"/>
    </xf>
    <xf numFmtId="0" fontId="13" fillId="0" borderId="13" xfId="17" applyFont="1" applyFill="1" applyBorder="1" applyAlignment="1">
      <alignment horizontal="left" vertical="top" wrapText="1"/>
    </xf>
    <xf numFmtId="0" fontId="76" fillId="0" borderId="0" xfId="0" applyFont="1" applyAlignment="1">
      <alignment horizontal="left" vertical="top" wrapText="1"/>
    </xf>
    <xf numFmtId="0" fontId="24" fillId="0" borderId="4" xfId="8" applyFont="1" applyFill="1" applyBorder="1" applyAlignment="1">
      <alignment horizontal="center" vertical="center"/>
    </xf>
    <xf numFmtId="0" fontId="24" fillId="0" borderId="5" xfId="8" applyFont="1" applyFill="1" applyBorder="1" applyAlignment="1">
      <alignment horizontal="center" vertical="center"/>
    </xf>
    <xf numFmtId="0" fontId="76" fillId="0" borderId="0" xfId="0" applyFont="1" applyBorder="1" applyAlignment="1">
      <alignment horizontal="left" vertical="top" wrapText="1"/>
    </xf>
    <xf numFmtId="0" fontId="24" fillId="0" borderId="6" xfId="8" applyFont="1" applyFill="1" applyBorder="1" applyAlignment="1">
      <alignment horizontal="center" vertical="center"/>
    </xf>
    <xf numFmtId="0" fontId="13" fillId="0" borderId="15" xfId="17" applyFont="1" applyFill="1" applyBorder="1" applyAlignment="1">
      <alignment horizontal="center" vertical="center" wrapText="1"/>
    </xf>
    <xf numFmtId="0" fontId="13" fillId="0" borderId="13" xfId="17" applyFont="1" applyFill="1" applyBorder="1" applyAlignment="1">
      <alignment horizontal="center" vertical="center" wrapText="1"/>
    </xf>
    <xf numFmtId="0" fontId="13" fillId="0" borderId="14" xfId="17" applyFont="1" applyFill="1" applyBorder="1" applyAlignment="1">
      <alignment horizontal="center" vertical="center" wrapText="1"/>
    </xf>
    <xf numFmtId="0" fontId="13" fillId="0" borderId="8" xfId="17" applyFont="1" applyFill="1" applyBorder="1" applyAlignment="1">
      <alignment horizontal="center" vertical="center" wrapText="1"/>
    </xf>
    <xf numFmtId="0" fontId="13" fillId="0" borderId="11" xfId="17" applyFont="1" applyFill="1" applyBorder="1" applyAlignment="1">
      <alignment horizontal="center" vertical="center" wrapText="1"/>
    </xf>
    <xf numFmtId="0" fontId="25" fillId="0" borderId="1" xfId="17" applyFont="1" applyFill="1" applyBorder="1" applyAlignment="1">
      <alignment horizontal="center" vertical="center" wrapText="1"/>
    </xf>
    <xf numFmtId="0" fontId="25" fillId="0" borderId="3" xfId="17" applyFont="1" applyFill="1" applyBorder="1" applyAlignment="1">
      <alignment horizontal="center" vertical="center" wrapText="1"/>
    </xf>
    <xf numFmtId="0" fontId="13" fillId="0" borderId="1" xfId="17" applyFont="1" applyFill="1" applyBorder="1" applyAlignment="1">
      <alignment horizontal="center" vertical="center"/>
    </xf>
    <xf numFmtId="0" fontId="13" fillId="0" borderId="3" xfId="17" applyFont="1" applyFill="1" applyBorder="1" applyAlignment="1">
      <alignment horizontal="center" vertical="center"/>
    </xf>
    <xf numFmtId="0" fontId="62" fillId="0" borderId="0" xfId="6" applyFont="1" applyAlignment="1">
      <alignment horizontal="left" vertical="center"/>
    </xf>
    <xf numFmtId="0" fontId="93" fillId="0" borderId="10" xfId="17" applyFont="1" applyFill="1" applyBorder="1" applyAlignment="1">
      <alignment horizontal="left"/>
    </xf>
    <xf numFmtId="0" fontId="14" fillId="0" borderId="20" xfId="17" applyFont="1" applyFill="1" applyBorder="1" applyAlignment="1">
      <alignment horizontal="left"/>
    </xf>
    <xf numFmtId="0" fontId="26" fillId="0" borderId="10" xfId="4" applyFont="1" applyBorder="1" applyAlignment="1">
      <alignment horizontal="left" vertical="center" wrapText="1"/>
    </xf>
    <xf numFmtId="0" fontId="8" fillId="0" borderId="0" xfId="0" applyFont="1" applyAlignment="1">
      <alignment horizontal="right"/>
    </xf>
    <xf numFmtId="0" fontId="14" fillId="0" borderId="20" xfId="17" applyFont="1" applyBorder="1" applyAlignment="1">
      <alignment horizontal="left"/>
    </xf>
  </cellXfs>
  <cellStyles count="30">
    <cellStyle name="60% - Accent4" xfId="28" builtinId="44"/>
    <cellStyle name="Comma" xfId="15" builtinId="3"/>
    <cellStyle name="Comma 2" xfId="19" xr:uid="{00000000-0005-0000-0000-000001000000}"/>
    <cellStyle name="Doc Code" xfId="14" xr:uid="{00000000-0005-0000-0000-000002000000}"/>
    <cellStyle name="Emission Totals" xfId="11" xr:uid="{00000000-0005-0000-0000-000003000000}"/>
    <cellStyle name="Enter Info" xfId="9" xr:uid="{00000000-0005-0000-0000-000004000000}"/>
    <cellStyle name="Explanatory Text" xfId="21" builtinId="53"/>
    <cellStyle name="Good" xfId="20" builtinId="26"/>
    <cellStyle name="Hyperlink" xfId="1" builtinId="8"/>
    <cellStyle name="Hyperlink 2" xfId="29" xr:uid="{EE1B63F0-7AB1-44E0-997C-EF961A9B6FD5}"/>
    <cellStyle name="Hyperlink 3" xfId="27" xr:uid="{00000000-0005-0000-0000-000008000000}"/>
    <cellStyle name="Hyperlink pca" xfId="26" xr:uid="{00000000-0005-0000-0000-000009000000}"/>
    <cellStyle name="Key Info" xfId="13" xr:uid="{00000000-0005-0000-0000-00000A000000}"/>
    <cellStyle name="Normal" xfId="0" builtinId="0"/>
    <cellStyle name="Normal 2" xfId="17" xr:uid="{00000000-0005-0000-0000-00000C000000}"/>
    <cellStyle name="Normal 2 2" xfId="22" xr:uid="{00000000-0005-0000-0000-00000D000000}"/>
    <cellStyle name="Normal 7" xfId="25" xr:uid="{00000000-0005-0000-0000-00000E000000}"/>
    <cellStyle name="PCA Body Text" xfId="4" xr:uid="{00000000-0005-0000-0000-00000F000000}"/>
    <cellStyle name="PCA Heading 1" xfId="5" xr:uid="{00000000-0005-0000-0000-000010000000}"/>
    <cellStyle name="PCA Heading 2" xfId="7" xr:uid="{00000000-0005-0000-0000-000011000000}"/>
    <cellStyle name="PCA Heading 3" xfId="8" xr:uid="{00000000-0005-0000-0000-000012000000}"/>
    <cellStyle name="PCA Hyperlink" xfId="6" xr:uid="{00000000-0005-0000-0000-000013000000}"/>
    <cellStyle name="PCA Hyperlink 2" xfId="23" xr:uid="{00000000-0005-0000-0000-000014000000}"/>
    <cellStyle name="PCA Hyperlink 2 2" xfId="24" xr:uid="{00000000-0005-0000-0000-000015000000}"/>
    <cellStyle name="PCA Subtitle" xfId="3" xr:uid="{00000000-0005-0000-0000-000016000000}"/>
    <cellStyle name="PCA Title" xfId="2" xr:uid="{00000000-0005-0000-0000-000017000000}"/>
    <cellStyle name="Permit Thresholds" xfId="16" xr:uid="{00000000-0005-0000-0000-000018000000}"/>
    <cellStyle name="Standard Value" xfId="18" xr:uid="{00000000-0005-0000-0000-000019000000}"/>
    <cellStyle name="Standard Values" xfId="10" xr:uid="{00000000-0005-0000-0000-00001A000000}"/>
    <cellStyle name="Thresholds" xfId="12" xr:uid="{00000000-0005-0000-0000-00001B000000}"/>
  </cellStyles>
  <dxfs count="63">
    <dxf>
      <font>
        <color theme="0"/>
      </font>
    </dxf>
    <dxf>
      <font>
        <color theme="0"/>
      </font>
    </dxf>
    <dxf>
      <font>
        <color theme="0"/>
      </font>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ont>
        <b/>
        <i/>
        <color rgb="FF008EAA"/>
      </font>
      <fill>
        <patternFill patternType="solid">
          <fgColor rgb="FFEAF8D8"/>
          <bgColor rgb="FFEAF8D8"/>
        </patternFill>
      </fill>
      <border>
        <left style="thin">
          <color auto="1"/>
        </left>
        <right style="thin">
          <color auto="1"/>
        </right>
        <top style="thin">
          <color auto="1"/>
        </top>
        <bottom style="thin">
          <color auto="1"/>
        </bottom>
        <vertical/>
        <horizontal/>
      </border>
    </dxf>
    <dxf>
      <fill>
        <patternFill>
          <bgColor rgb="FFFFFFCC"/>
        </patternFill>
      </fill>
    </dxf>
    <dxf>
      <font>
        <b/>
        <i/>
        <color rgb="FF008EAA"/>
      </font>
    </dxf>
    <dxf>
      <font>
        <b/>
        <i/>
        <color rgb="FF008EAA"/>
      </font>
    </dxf>
    <dxf>
      <font>
        <b/>
        <i/>
        <color rgb="FF008EAA"/>
      </font>
    </dxf>
    <dxf>
      <font>
        <b/>
        <i/>
        <color rgb="FF008EAA"/>
      </font>
    </dxf>
    <dxf>
      <font>
        <b/>
        <i/>
        <strike val="0"/>
        <color rgb="FF008EAA"/>
      </font>
    </dxf>
    <dxf>
      <font>
        <b/>
        <i/>
        <color rgb="FF008EAA"/>
      </font>
    </dxf>
    <dxf>
      <font>
        <color theme="0"/>
      </font>
    </dxf>
    <dxf>
      <font>
        <color rgb="FFEAF8D8"/>
      </font>
    </dxf>
    <dxf>
      <font>
        <color theme="0"/>
      </font>
    </dxf>
    <dxf>
      <font>
        <color theme="0"/>
      </font>
    </dxf>
    <dxf>
      <font>
        <color theme="0"/>
      </font>
    </dxf>
    <dxf>
      <font>
        <color rgb="FFEAF8D8"/>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EDC1"/>
      </font>
    </dxf>
    <dxf>
      <font>
        <color rgb="FFFFEDC1"/>
      </font>
    </dxf>
    <dxf>
      <fill>
        <patternFill patternType="none">
          <bgColor auto="1"/>
        </patternFill>
      </fill>
      <border>
        <vertical/>
        <horizontal/>
      </border>
    </dxf>
    <dxf>
      <font>
        <color rgb="FFFFEDC1"/>
      </font>
    </dxf>
    <dxf>
      <font>
        <strike val="0"/>
        <color rgb="FFFFEDC1"/>
      </font>
    </dxf>
    <dxf>
      <fill>
        <patternFill>
          <bgColor theme="0" tint="-0.14996795556505021"/>
        </patternFill>
      </fill>
      <border>
        <left style="thin">
          <color theme="0"/>
        </left>
        <right style="thin">
          <color theme="0"/>
        </right>
        <bottom style="thin">
          <color theme="0"/>
        </bottom>
        <vertical/>
        <horizontal/>
      </border>
    </dxf>
    <dxf>
      <font>
        <strike/>
        <color theme="0" tint="-0.24994659260841701"/>
      </font>
      <fill>
        <patternFill patternType="none">
          <bgColor auto="1"/>
        </patternFill>
      </fill>
    </dxf>
    <dxf>
      <border>
        <left/>
        <right/>
        <top style="thin">
          <color auto="1"/>
        </top>
        <bottom/>
        <vertical/>
        <horizontal/>
      </border>
    </dxf>
    <dxf>
      <font>
        <color rgb="FFFFEDC1"/>
      </font>
    </dxf>
    <dxf>
      <font>
        <color rgb="FFFFEDC1"/>
      </font>
    </dxf>
    <dxf>
      <font>
        <color rgb="FFFFEDC1"/>
      </font>
    </dxf>
    <dxf>
      <font>
        <color rgb="FFFFEDC1"/>
      </font>
    </dxf>
    <dxf>
      <font>
        <color rgb="FFFFEDC1"/>
      </font>
    </dxf>
    <dxf>
      <font>
        <strike/>
        <color theme="0" tint="-0.24994659260841701"/>
      </font>
      <fill>
        <patternFill>
          <bgColor theme="0" tint="-0.14996795556505021"/>
        </patternFill>
      </fill>
      <border>
        <left style="thin">
          <color theme="0"/>
        </left>
        <right style="thin">
          <color theme="0"/>
        </right>
        <top style="thin">
          <color theme="0"/>
        </top>
        <bottom style="thin">
          <color theme="0"/>
        </bottom>
        <vertical/>
        <horizontal/>
      </border>
    </dxf>
    <dxf>
      <font>
        <strike/>
        <color theme="0" tint="-0.24994659260841701"/>
      </font>
      <fill>
        <patternFill patternType="none">
          <bgColor auto="1"/>
        </patternFill>
      </fill>
    </dxf>
    <dxf>
      <fill>
        <patternFill>
          <bgColor theme="0" tint="-0.14996795556505021"/>
        </patternFill>
      </fill>
      <border>
        <left style="thin">
          <color theme="0"/>
        </left>
        <right style="thin">
          <color theme="0"/>
        </right>
        <bottom style="thin">
          <color theme="0"/>
        </bottom>
        <vertical/>
        <horizontal/>
      </border>
    </dxf>
    <dxf>
      <font>
        <strike/>
        <color theme="0" tint="-0.24994659260841701"/>
      </font>
      <fill>
        <patternFill patternType="none">
          <bgColor auto="1"/>
        </patternFill>
      </fill>
    </dxf>
    <dxf>
      <font>
        <strike/>
        <color theme="0" tint="-0.24994659260841701"/>
      </font>
      <fill>
        <patternFill patternType="none">
          <bgColor auto="1"/>
        </patternFill>
      </fill>
    </dxf>
    <dxf>
      <font>
        <b val="0"/>
        <i val="0"/>
        <color auto="1"/>
      </font>
    </dxf>
    <dxf>
      <font>
        <b val="0"/>
        <i val="0"/>
        <color auto="1"/>
      </font>
    </dxf>
    <dxf>
      <font>
        <b/>
        <i val="0"/>
        <color rgb="FF008EAA"/>
      </font>
    </dxf>
    <dxf>
      <font>
        <b val="0"/>
        <i val="0"/>
        <color auto="1"/>
      </font>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strike val="0"/>
        <condense val="0"/>
        <extend val="0"/>
        <outline val="0"/>
        <shadow val="0"/>
        <u val="none"/>
        <vertAlign val="baseline"/>
        <sz val="10"/>
        <color theme="1"/>
        <name val="Arial"/>
        <scheme val="none"/>
      </font>
    </dxf>
  </dxfs>
  <tableStyles count="1" defaultTableStyle="TableStyleMedium2" defaultPivotStyle="PivotStyleLight16">
    <tableStyle name="MySqlDefault" pivot="0" table="0" count="0" xr9:uid="{00000000-0011-0000-FFFF-FFFF00000000}"/>
  </tableStyles>
  <colors>
    <mruColors>
      <color rgb="FFD1EAFF"/>
      <color rgb="FF0000FF"/>
      <color rgb="FFEAF8D8"/>
      <color rgb="FFFFEDC1"/>
      <color rgb="FF008EAA"/>
      <color rgb="FFC39BE1"/>
      <color rgb="FFFFFFCC"/>
      <color rgb="FFEFF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95250</xdr:rowOff>
    </xdr:from>
    <xdr:to>
      <xdr:col>5</xdr:col>
      <xdr:colOff>9525</xdr:colOff>
      <xdr:row>1</xdr:row>
      <xdr:rowOff>133350</xdr:rowOff>
    </xdr:to>
    <xdr:pic>
      <xdr:nvPicPr>
        <xdr:cNvPr id="3" name="Picture 2" descr="Minnesota Pollution Control Agency (MPCA), 520 Lafayette Road North, St. Paul, MN 55155-4194" title="Image of MPCA logo with St. Paul office address">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 y="95250"/>
          <a:ext cx="2390775" cy="685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942975</xdr:colOff>
      <xdr:row>13</xdr:row>
      <xdr:rowOff>76200</xdr:rowOff>
    </xdr:from>
    <xdr:ext cx="65" cy="172227"/>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82025" y="2838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14</xdr:row>
      <xdr:rowOff>76200</xdr:rowOff>
    </xdr:from>
    <xdr:ext cx="65" cy="172227"/>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8582025" y="2409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15</xdr:row>
      <xdr:rowOff>76200</xdr:rowOff>
    </xdr:from>
    <xdr:ext cx="65" cy="172227"/>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8582025" y="2409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16</xdr:row>
      <xdr:rowOff>76200</xdr:rowOff>
    </xdr:from>
    <xdr:ext cx="65" cy="172227"/>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8582025" y="2609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16</xdr:row>
      <xdr:rowOff>76200</xdr:rowOff>
    </xdr:from>
    <xdr:ext cx="65" cy="172227"/>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8582025" y="2409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17</xdr:row>
      <xdr:rowOff>76200</xdr:rowOff>
    </xdr:from>
    <xdr:ext cx="65" cy="172227"/>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8582025" y="2609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17</xdr:row>
      <xdr:rowOff>76200</xdr:rowOff>
    </xdr:from>
    <xdr:ext cx="65" cy="172227"/>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8582025" y="2409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18</xdr:row>
      <xdr:rowOff>76200</xdr:rowOff>
    </xdr:from>
    <xdr:ext cx="65" cy="172227"/>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8582025" y="2609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18</xdr:row>
      <xdr:rowOff>76200</xdr:rowOff>
    </xdr:from>
    <xdr:ext cx="65" cy="172227"/>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18</xdr:row>
      <xdr:rowOff>76200</xdr:rowOff>
    </xdr:from>
    <xdr:ext cx="65" cy="172227"/>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6" name="TextBox 15">
          <a:extLst>
            <a:ext uri="{FF2B5EF4-FFF2-40B4-BE49-F238E27FC236}">
              <a16:creationId xmlns:a16="http://schemas.microsoft.com/office/drawing/2014/main" id="{00000000-0008-0000-0400-000010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7" name="TextBox 16">
          <a:extLst>
            <a:ext uri="{FF2B5EF4-FFF2-40B4-BE49-F238E27FC236}">
              <a16:creationId xmlns:a16="http://schemas.microsoft.com/office/drawing/2014/main" id="{00000000-0008-0000-0400-000011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20" name="TextBox 19">
          <a:extLst>
            <a:ext uri="{FF2B5EF4-FFF2-40B4-BE49-F238E27FC236}">
              <a16:creationId xmlns:a16="http://schemas.microsoft.com/office/drawing/2014/main" id="{00000000-0008-0000-0400-000014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21" name="TextBox 20">
          <a:extLst>
            <a:ext uri="{FF2B5EF4-FFF2-40B4-BE49-F238E27FC236}">
              <a16:creationId xmlns:a16="http://schemas.microsoft.com/office/drawing/2014/main" id="{00000000-0008-0000-0400-000015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22" name="TextBox 21">
          <a:extLst>
            <a:ext uri="{FF2B5EF4-FFF2-40B4-BE49-F238E27FC236}">
              <a16:creationId xmlns:a16="http://schemas.microsoft.com/office/drawing/2014/main" id="{00000000-0008-0000-0400-000016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23" name="TextBox 22">
          <a:extLst>
            <a:ext uri="{FF2B5EF4-FFF2-40B4-BE49-F238E27FC236}">
              <a16:creationId xmlns:a16="http://schemas.microsoft.com/office/drawing/2014/main" id="{00000000-0008-0000-0400-000017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24" name="TextBox 23">
          <a:extLst>
            <a:ext uri="{FF2B5EF4-FFF2-40B4-BE49-F238E27FC236}">
              <a16:creationId xmlns:a16="http://schemas.microsoft.com/office/drawing/2014/main" id="{00000000-0008-0000-0400-000018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25" name="TextBox 24">
          <a:extLst>
            <a:ext uri="{FF2B5EF4-FFF2-40B4-BE49-F238E27FC236}">
              <a16:creationId xmlns:a16="http://schemas.microsoft.com/office/drawing/2014/main" id="{00000000-0008-0000-0400-000019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26" name="TextBox 25">
          <a:extLst>
            <a:ext uri="{FF2B5EF4-FFF2-40B4-BE49-F238E27FC236}">
              <a16:creationId xmlns:a16="http://schemas.microsoft.com/office/drawing/2014/main" id="{00000000-0008-0000-0400-00001A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27" name="TextBox 26">
          <a:extLst>
            <a:ext uri="{FF2B5EF4-FFF2-40B4-BE49-F238E27FC236}">
              <a16:creationId xmlns:a16="http://schemas.microsoft.com/office/drawing/2014/main" id="{00000000-0008-0000-0400-00001B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28" name="TextBox 27">
          <a:extLst>
            <a:ext uri="{FF2B5EF4-FFF2-40B4-BE49-F238E27FC236}">
              <a16:creationId xmlns:a16="http://schemas.microsoft.com/office/drawing/2014/main" id="{00000000-0008-0000-0400-00001C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29" name="TextBox 28">
          <a:extLst>
            <a:ext uri="{FF2B5EF4-FFF2-40B4-BE49-F238E27FC236}">
              <a16:creationId xmlns:a16="http://schemas.microsoft.com/office/drawing/2014/main" id="{00000000-0008-0000-0400-00001D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30" name="TextBox 29">
          <a:extLst>
            <a:ext uri="{FF2B5EF4-FFF2-40B4-BE49-F238E27FC236}">
              <a16:creationId xmlns:a16="http://schemas.microsoft.com/office/drawing/2014/main" id="{00000000-0008-0000-0400-00001E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31" name="TextBox 30">
          <a:extLst>
            <a:ext uri="{FF2B5EF4-FFF2-40B4-BE49-F238E27FC236}">
              <a16:creationId xmlns:a16="http://schemas.microsoft.com/office/drawing/2014/main" id="{00000000-0008-0000-0400-00001F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32" name="TextBox 31">
          <a:extLst>
            <a:ext uri="{FF2B5EF4-FFF2-40B4-BE49-F238E27FC236}">
              <a16:creationId xmlns:a16="http://schemas.microsoft.com/office/drawing/2014/main" id="{00000000-0008-0000-0400-000020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33" name="TextBox 32">
          <a:extLst>
            <a:ext uri="{FF2B5EF4-FFF2-40B4-BE49-F238E27FC236}">
              <a16:creationId xmlns:a16="http://schemas.microsoft.com/office/drawing/2014/main" id="{00000000-0008-0000-0400-000021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34" name="TextBox 33">
          <a:extLst>
            <a:ext uri="{FF2B5EF4-FFF2-40B4-BE49-F238E27FC236}">
              <a16:creationId xmlns:a16="http://schemas.microsoft.com/office/drawing/2014/main" id="{00000000-0008-0000-0400-000022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35" name="TextBox 34">
          <a:extLst>
            <a:ext uri="{FF2B5EF4-FFF2-40B4-BE49-F238E27FC236}">
              <a16:creationId xmlns:a16="http://schemas.microsoft.com/office/drawing/2014/main" id="{00000000-0008-0000-0400-000023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36" name="TextBox 35">
          <a:extLst>
            <a:ext uri="{FF2B5EF4-FFF2-40B4-BE49-F238E27FC236}">
              <a16:creationId xmlns:a16="http://schemas.microsoft.com/office/drawing/2014/main" id="{00000000-0008-0000-0400-000024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37" name="TextBox 36">
          <a:extLst>
            <a:ext uri="{FF2B5EF4-FFF2-40B4-BE49-F238E27FC236}">
              <a16:creationId xmlns:a16="http://schemas.microsoft.com/office/drawing/2014/main" id="{00000000-0008-0000-0400-000025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38" name="TextBox 37">
          <a:extLst>
            <a:ext uri="{FF2B5EF4-FFF2-40B4-BE49-F238E27FC236}">
              <a16:creationId xmlns:a16="http://schemas.microsoft.com/office/drawing/2014/main" id="{00000000-0008-0000-0400-000026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39" name="TextBox 38">
          <a:extLst>
            <a:ext uri="{FF2B5EF4-FFF2-40B4-BE49-F238E27FC236}">
              <a16:creationId xmlns:a16="http://schemas.microsoft.com/office/drawing/2014/main" id="{00000000-0008-0000-0400-000027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40" name="TextBox 39">
          <a:extLst>
            <a:ext uri="{FF2B5EF4-FFF2-40B4-BE49-F238E27FC236}">
              <a16:creationId xmlns:a16="http://schemas.microsoft.com/office/drawing/2014/main" id="{00000000-0008-0000-0400-000028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41" name="TextBox 40">
          <a:extLst>
            <a:ext uri="{FF2B5EF4-FFF2-40B4-BE49-F238E27FC236}">
              <a16:creationId xmlns:a16="http://schemas.microsoft.com/office/drawing/2014/main" id="{00000000-0008-0000-0400-000029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42" name="TextBox 41">
          <a:extLst>
            <a:ext uri="{FF2B5EF4-FFF2-40B4-BE49-F238E27FC236}">
              <a16:creationId xmlns:a16="http://schemas.microsoft.com/office/drawing/2014/main" id="{00000000-0008-0000-0400-00002A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43" name="TextBox 42">
          <a:extLst>
            <a:ext uri="{FF2B5EF4-FFF2-40B4-BE49-F238E27FC236}">
              <a16:creationId xmlns:a16="http://schemas.microsoft.com/office/drawing/2014/main" id="{00000000-0008-0000-0400-00002B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44" name="TextBox 43">
          <a:extLst>
            <a:ext uri="{FF2B5EF4-FFF2-40B4-BE49-F238E27FC236}">
              <a16:creationId xmlns:a16="http://schemas.microsoft.com/office/drawing/2014/main" id="{00000000-0008-0000-0400-00002C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45" name="TextBox 44">
          <a:extLst>
            <a:ext uri="{FF2B5EF4-FFF2-40B4-BE49-F238E27FC236}">
              <a16:creationId xmlns:a16="http://schemas.microsoft.com/office/drawing/2014/main" id="{00000000-0008-0000-0400-00002D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46" name="TextBox 45">
          <a:extLst>
            <a:ext uri="{FF2B5EF4-FFF2-40B4-BE49-F238E27FC236}">
              <a16:creationId xmlns:a16="http://schemas.microsoft.com/office/drawing/2014/main" id="{00000000-0008-0000-0400-00002E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47" name="TextBox 46">
          <a:extLst>
            <a:ext uri="{FF2B5EF4-FFF2-40B4-BE49-F238E27FC236}">
              <a16:creationId xmlns:a16="http://schemas.microsoft.com/office/drawing/2014/main" id="{00000000-0008-0000-0400-00002F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48" name="TextBox 47">
          <a:extLst>
            <a:ext uri="{FF2B5EF4-FFF2-40B4-BE49-F238E27FC236}">
              <a16:creationId xmlns:a16="http://schemas.microsoft.com/office/drawing/2014/main" id="{00000000-0008-0000-0400-000030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49" name="TextBox 48">
          <a:extLst>
            <a:ext uri="{FF2B5EF4-FFF2-40B4-BE49-F238E27FC236}">
              <a16:creationId xmlns:a16="http://schemas.microsoft.com/office/drawing/2014/main" id="{00000000-0008-0000-0400-000031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19</xdr:row>
      <xdr:rowOff>76200</xdr:rowOff>
    </xdr:from>
    <xdr:ext cx="65" cy="172227"/>
    <xdr:sp macro="" textlink="">
      <xdr:nvSpPr>
        <xdr:cNvPr id="50" name="TextBox 49">
          <a:extLst>
            <a:ext uri="{FF2B5EF4-FFF2-40B4-BE49-F238E27FC236}">
              <a16:creationId xmlns:a16="http://schemas.microsoft.com/office/drawing/2014/main" id="{00000000-0008-0000-0400-000032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19</xdr:row>
      <xdr:rowOff>76200</xdr:rowOff>
    </xdr:from>
    <xdr:ext cx="65" cy="172227"/>
    <xdr:sp macro="" textlink="">
      <xdr:nvSpPr>
        <xdr:cNvPr id="51" name="TextBox 50">
          <a:extLst>
            <a:ext uri="{FF2B5EF4-FFF2-40B4-BE49-F238E27FC236}">
              <a16:creationId xmlns:a16="http://schemas.microsoft.com/office/drawing/2014/main" id="{00000000-0008-0000-0400-000033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19</xdr:row>
      <xdr:rowOff>76200</xdr:rowOff>
    </xdr:from>
    <xdr:ext cx="65" cy="172227"/>
    <xdr:sp macro="" textlink="">
      <xdr:nvSpPr>
        <xdr:cNvPr id="52" name="TextBox 51">
          <a:extLst>
            <a:ext uri="{FF2B5EF4-FFF2-40B4-BE49-F238E27FC236}">
              <a16:creationId xmlns:a16="http://schemas.microsoft.com/office/drawing/2014/main" id="{00000000-0008-0000-0400-000034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19</xdr:row>
      <xdr:rowOff>76200</xdr:rowOff>
    </xdr:from>
    <xdr:ext cx="65" cy="172227"/>
    <xdr:sp macro="" textlink="">
      <xdr:nvSpPr>
        <xdr:cNvPr id="53" name="TextBox 52">
          <a:extLst>
            <a:ext uri="{FF2B5EF4-FFF2-40B4-BE49-F238E27FC236}">
              <a16:creationId xmlns:a16="http://schemas.microsoft.com/office/drawing/2014/main" id="{00000000-0008-0000-0400-000035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19</xdr:row>
      <xdr:rowOff>76200</xdr:rowOff>
    </xdr:from>
    <xdr:ext cx="65" cy="172227"/>
    <xdr:sp macro="" textlink="">
      <xdr:nvSpPr>
        <xdr:cNvPr id="54" name="TextBox 53">
          <a:extLst>
            <a:ext uri="{FF2B5EF4-FFF2-40B4-BE49-F238E27FC236}">
              <a16:creationId xmlns:a16="http://schemas.microsoft.com/office/drawing/2014/main" id="{00000000-0008-0000-0400-000036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20</xdr:row>
      <xdr:rowOff>76200</xdr:rowOff>
    </xdr:from>
    <xdr:ext cx="65" cy="172227"/>
    <xdr:sp macro="" textlink="">
      <xdr:nvSpPr>
        <xdr:cNvPr id="55" name="TextBox 54">
          <a:extLst>
            <a:ext uri="{FF2B5EF4-FFF2-40B4-BE49-F238E27FC236}">
              <a16:creationId xmlns:a16="http://schemas.microsoft.com/office/drawing/2014/main" id="{00000000-0008-0000-0400-000037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20</xdr:row>
      <xdr:rowOff>76200</xdr:rowOff>
    </xdr:from>
    <xdr:ext cx="65" cy="172227"/>
    <xdr:sp macro="" textlink="">
      <xdr:nvSpPr>
        <xdr:cNvPr id="56" name="TextBox 55">
          <a:extLst>
            <a:ext uri="{FF2B5EF4-FFF2-40B4-BE49-F238E27FC236}">
              <a16:creationId xmlns:a16="http://schemas.microsoft.com/office/drawing/2014/main" id="{00000000-0008-0000-0400-000038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20</xdr:row>
      <xdr:rowOff>76200</xdr:rowOff>
    </xdr:from>
    <xdr:ext cx="65" cy="172227"/>
    <xdr:sp macro="" textlink="">
      <xdr:nvSpPr>
        <xdr:cNvPr id="57" name="TextBox 56">
          <a:extLst>
            <a:ext uri="{FF2B5EF4-FFF2-40B4-BE49-F238E27FC236}">
              <a16:creationId xmlns:a16="http://schemas.microsoft.com/office/drawing/2014/main" id="{00000000-0008-0000-0400-000039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20</xdr:row>
      <xdr:rowOff>76200</xdr:rowOff>
    </xdr:from>
    <xdr:ext cx="65" cy="172227"/>
    <xdr:sp macro="" textlink="">
      <xdr:nvSpPr>
        <xdr:cNvPr id="58" name="TextBox 57">
          <a:extLst>
            <a:ext uri="{FF2B5EF4-FFF2-40B4-BE49-F238E27FC236}">
              <a16:creationId xmlns:a16="http://schemas.microsoft.com/office/drawing/2014/main" id="{00000000-0008-0000-0400-00003A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20</xdr:row>
      <xdr:rowOff>76200</xdr:rowOff>
    </xdr:from>
    <xdr:ext cx="65" cy="172227"/>
    <xdr:sp macro="" textlink="">
      <xdr:nvSpPr>
        <xdr:cNvPr id="59" name="TextBox 58">
          <a:extLst>
            <a:ext uri="{FF2B5EF4-FFF2-40B4-BE49-F238E27FC236}">
              <a16:creationId xmlns:a16="http://schemas.microsoft.com/office/drawing/2014/main" id="{00000000-0008-0000-0400-00003B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60" name="TextBox 59">
          <a:extLst>
            <a:ext uri="{FF2B5EF4-FFF2-40B4-BE49-F238E27FC236}">
              <a16:creationId xmlns:a16="http://schemas.microsoft.com/office/drawing/2014/main" id="{00000000-0008-0000-0400-00003C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61" name="TextBox 60">
          <a:extLst>
            <a:ext uri="{FF2B5EF4-FFF2-40B4-BE49-F238E27FC236}">
              <a16:creationId xmlns:a16="http://schemas.microsoft.com/office/drawing/2014/main" id="{00000000-0008-0000-0400-00003D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62" name="TextBox 61">
          <a:extLst>
            <a:ext uri="{FF2B5EF4-FFF2-40B4-BE49-F238E27FC236}">
              <a16:creationId xmlns:a16="http://schemas.microsoft.com/office/drawing/2014/main" id="{00000000-0008-0000-0400-00003E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63" name="TextBox 62">
          <a:extLst>
            <a:ext uri="{FF2B5EF4-FFF2-40B4-BE49-F238E27FC236}">
              <a16:creationId xmlns:a16="http://schemas.microsoft.com/office/drawing/2014/main" id="{00000000-0008-0000-0400-00003F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64" name="TextBox 63">
          <a:extLst>
            <a:ext uri="{FF2B5EF4-FFF2-40B4-BE49-F238E27FC236}">
              <a16:creationId xmlns:a16="http://schemas.microsoft.com/office/drawing/2014/main" id="{00000000-0008-0000-0400-000040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65" name="TextBox 64">
          <a:extLst>
            <a:ext uri="{FF2B5EF4-FFF2-40B4-BE49-F238E27FC236}">
              <a16:creationId xmlns:a16="http://schemas.microsoft.com/office/drawing/2014/main" id="{00000000-0008-0000-0400-000041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66" name="TextBox 65">
          <a:extLst>
            <a:ext uri="{FF2B5EF4-FFF2-40B4-BE49-F238E27FC236}">
              <a16:creationId xmlns:a16="http://schemas.microsoft.com/office/drawing/2014/main" id="{00000000-0008-0000-0400-000042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67" name="TextBox 66">
          <a:extLst>
            <a:ext uri="{FF2B5EF4-FFF2-40B4-BE49-F238E27FC236}">
              <a16:creationId xmlns:a16="http://schemas.microsoft.com/office/drawing/2014/main" id="{00000000-0008-0000-0400-000043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68" name="TextBox 67">
          <a:extLst>
            <a:ext uri="{FF2B5EF4-FFF2-40B4-BE49-F238E27FC236}">
              <a16:creationId xmlns:a16="http://schemas.microsoft.com/office/drawing/2014/main" id="{00000000-0008-0000-0400-000044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69" name="TextBox 68">
          <a:extLst>
            <a:ext uri="{FF2B5EF4-FFF2-40B4-BE49-F238E27FC236}">
              <a16:creationId xmlns:a16="http://schemas.microsoft.com/office/drawing/2014/main" id="{00000000-0008-0000-0400-000045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70" name="TextBox 69">
          <a:extLst>
            <a:ext uri="{FF2B5EF4-FFF2-40B4-BE49-F238E27FC236}">
              <a16:creationId xmlns:a16="http://schemas.microsoft.com/office/drawing/2014/main" id="{00000000-0008-0000-0400-000046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71" name="TextBox 70">
          <a:extLst>
            <a:ext uri="{FF2B5EF4-FFF2-40B4-BE49-F238E27FC236}">
              <a16:creationId xmlns:a16="http://schemas.microsoft.com/office/drawing/2014/main" id="{00000000-0008-0000-0400-000047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72" name="TextBox 71">
          <a:extLst>
            <a:ext uri="{FF2B5EF4-FFF2-40B4-BE49-F238E27FC236}">
              <a16:creationId xmlns:a16="http://schemas.microsoft.com/office/drawing/2014/main" id="{00000000-0008-0000-0400-000048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73" name="TextBox 72">
          <a:extLst>
            <a:ext uri="{FF2B5EF4-FFF2-40B4-BE49-F238E27FC236}">
              <a16:creationId xmlns:a16="http://schemas.microsoft.com/office/drawing/2014/main" id="{00000000-0008-0000-0400-000049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74" name="TextBox 73">
          <a:extLst>
            <a:ext uri="{FF2B5EF4-FFF2-40B4-BE49-F238E27FC236}">
              <a16:creationId xmlns:a16="http://schemas.microsoft.com/office/drawing/2014/main" id="{00000000-0008-0000-0400-00004A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75" name="TextBox 74">
          <a:extLst>
            <a:ext uri="{FF2B5EF4-FFF2-40B4-BE49-F238E27FC236}">
              <a16:creationId xmlns:a16="http://schemas.microsoft.com/office/drawing/2014/main" id="{00000000-0008-0000-0400-00004B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76" name="TextBox 75">
          <a:extLst>
            <a:ext uri="{FF2B5EF4-FFF2-40B4-BE49-F238E27FC236}">
              <a16:creationId xmlns:a16="http://schemas.microsoft.com/office/drawing/2014/main" id="{00000000-0008-0000-0400-00004C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77" name="TextBox 76">
          <a:extLst>
            <a:ext uri="{FF2B5EF4-FFF2-40B4-BE49-F238E27FC236}">
              <a16:creationId xmlns:a16="http://schemas.microsoft.com/office/drawing/2014/main" id="{00000000-0008-0000-0400-00004D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78" name="TextBox 77">
          <a:extLst>
            <a:ext uri="{FF2B5EF4-FFF2-40B4-BE49-F238E27FC236}">
              <a16:creationId xmlns:a16="http://schemas.microsoft.com/office/drawing/2014/main" id="{00000000-0008-0000-0400-00004E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79" name="TextBox 78">
          <a:extLst>
            <a:ext uri="{FF2B5EF4-FFF2-40B4-BE49-F238E27FC236}">
              <a16:creationId xmlns:a16="http://schemas.microsoft.com/office/drawing/2014/main" id="{00000000-0008-0000-0400-00004F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80" name="TextBox 79">
          <a:extLst>
            <a:ext uri="{FF2B5EF4-FFF2-40B4-BE49-F238E27FC236}">
              <a16:creationId xmlns:a16="http://schemas.microsoft.com/office/drawing/2014/main" id="{00000000-0008-0000-0400-000050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81" name="TextBox 80">
          <a:extLst>
            <a:ext uri="{FF2B5EF4-FFF2-40B4-BE49-F238E27FC236}">
              <a16:creationId xmlns:a16="http://schemas.microsoft.com/office/drawing/2014/main" id="{00000000-0008-0000-0400-000051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82" name="TextBox 81">
          <a:extLst>
            <a:ext uri="{FF2B5EF4-FFF2-40B4-BE49-F238E27FC236}">
              <a16:creationId xmlns:a16="http://schemas.microsoft.com/office/drawing/2014/main" id="{00000000-0008-0000-0400-000052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83" name="TextBox 82">
          <a:extLst>
            <a:ext uri="{FF2B5EF4-FFF2-40B4-BE49-F238E27FC236}">
              <a16:creationId xmlns:a16="http://schemas.microsoft.com/office/drawing/2014/main" id="{00000000-0008-0000-0400-000053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84" name="TextBox 83">
          <a:extLst>
            <a:ext uri="{FF2B5EF4-FFF2-40B4-BE49-F238E27FC236}">
              <a16:creationId xmlns:a16="http://schemas.microsoft.com/office/drawing/2014/main" id="{00000000-0008-0000-0400-000054000000}"/>
            </a:ext>
          </a:extLst>
        </xdr:cNvPr>
        <xdr:cNvSpPr txBox="1"/>
      </xdr:nvSpPr>
      <xdr:spPr>
        <a:xfrm>
          <a:off x="7629525" y="3248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85" name="TextBox 84">
          <a:extLst>
            <a:ext uri="{FF2B5EF4-FFF2-40B4-BE49-F238E27FC236}">
              <a16:creationId xmlns:a16="http://schemas.microsoft.com/office/drawing/2014/main" id="{00000000-0008-0000-0400-000055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86" name="TextBox 85">
          <a:extLst>
            <a:ext uri="{FF2B5EF4-FFF2-40B4-BE49-F238E27FC236}">
              <a16:creationId xmlns:a16="http://schemas.microsoft.com/office/drawing/2014/main" id="{00000000-0008-0000-0400-000056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87" name="TextBox 86">
          <a:extLst>
            <a:ext uri="{FF2B5EF4-FFF2-40B4-BE49-F238E27FC236}">
              <a16:creationId xmlns:a16="http://schemas.microsoft.com/office/drawing/2014/main" id="{00000000-0008-0000-0400-000057000000}"/>
            </a:ext>
          </a:extLst>
        </xdr:cNvPr>
        <xdr:cNvSpPr txBox="1"/>
      </xdr:nvSpPr>
      <xdr:spPr>
        <a:xfrm>
          <a:off x="7629525" y="3409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88" name="TextBox 87">
          <a:extLst>
            <a:ext uri="{FF2B5EF4-FFF2-40B4-BE49-F238E27FC236}">
              <a16:creationId xmlns:a16="http://schemas.microsoft.com/office/drawing/2014/main" id="{00000000-0008-0000-0400-000058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89" name="TextBox 88">
          <a:extLst>
            <a:ext uri="{FF2B5EF4-FFF2-40B4-BE49-F238E27FC236}">
              <a16:creationId xmlns:a16="http://schemas.microsoft.com/office/drawing/2014/main" id="{00000000-0008-0000-0400-000059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90" name="TextBox 89">
          <a:extLst>
            <a:ext uri="{FF2B5EF4-FFF2-40B4-BE49-F238E27FC236}">
              <a16:creationId xmlns:a16="http://schemas.microsoft.com/office/drawing/2014/main" id="{00000000-0008-0000-0400-00005A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91" name="TextBox 90">
          <a:extLst>
            <a:ext uri="{FF2B5EF4-FFF2-40B4-BE49-F238E27FC236}">
              <a16:creationId xmlns:a16="http://schemas.microsoft.com/office/drawing/2014/main" id="{00000000-0008-0000-0400-00005B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92" name="TextBox 91">
          <a:extLst>
            <a:ext uri="{FF2B5EF4-FFF2-40B4-BE49-F238E27FC236}">
              <a16:creationId xmlns:a16="http://schemas.microsoft.com/office/drawing/2014/main" id="{00000000-0008-0000-0400-00005C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3" name="TextBox 92">
          <a:extLst>
            <a:ext uri="{FF2B5EF4-FFF2-40B4-BE49-F238E27FC236}">
              <a16:creationId xmlns:a16="http://schemas.microsoft.com/office/drawing/2014/main" id="{00000000-0008-0000-0400-00005D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4" name="TextBox 93">
          <a:extLst>
            <a:ext uri="{FF2B5EF4-FFF2-40B4-BE49-F238E27FC236}">
              <a16:creationId xmlns:a16="http://schemas.microsoft.com/office/drawing/2014/main" id="{00000000-0008-0000-0400-00005E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5" name="TextBox 94">
          <a:extLst>
            <a:ext uri="{FF2B5EF4-FFF2-40B4-BE49-F238E27FC236}">
              <a16:creationId xmlns:a16="http://schemas.microsoft.com/office/drawing/2014/main" id="{00000000-0008-0000-0400-00005F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6" name="TextBox 95">
          <a:extLst>
            <a:ext uri="{FF2B5EF4-FFF2-40B4-BE49-F238E27FC236}">
              <a16:creationId xmlns:a16="http://schemas.microsoft.com/office/drawing/2014/main" id="{00000000-0008-0000-0400-000060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7" name="TextBox 96">
          <a:extLst>
            <a:ext uri="{FF2B5EF4-FFF2-40B4-BE49-F238E27FC236}">
              <a16:creationId xmlns:a16="http://schemas.microsoft.com/office/drawing/2014/main" id="{00000000-0008-0000-0400-000061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8" name="TextBox 97">
          <a:extLst>
            <a:ext uri="{FF2B5EF4-FFF2-40B4-BE49-F238E27FC236}">
              <a16:creationId xmlns:a16="http://schemas.microsoft.com/office/drawing/2014/main" id="{00000000-0008-0000-0400-000062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99" name="TextBox 98">
          <a:extLst>
            <a:ext uri="{FF2B5EF4-FFF2-40B4-BE49-F238E27FC236}">
              <a16:creationId xmlns:a16="http://schemas.microsoft.com/office/drawing/2014/main" id="{00000000-0008-0000-0400-000063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100" name="TextBox 99">
          <a:extLst>
            <a:ext uri="{FF2B5EF4-FFF2-40B4-BE49-F238E27FC236}">
              <a16:creationId xmlns:a16="http://schemas.microsoft.com/office/drawing/2014/main" id="{00000000-0008-0000-0400-000064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1" name="TextBox 100">
          <a:extLst>
            <a:ext uri="{FF2B5EF4-FFF2-40B4-BE49-F238E27FC236}">
              <a16:creationId xmlns:a16="http://schemas.microsoft.com/office/drawing/2014/main" id="{00000000-0008-0000-0400-000065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2" name="TextBox 101">
          <a:extLst>
            <a:ext uri="{FF2B5EF4-FFF2-40B4-BE49-F238E27FC236}">
              <a16:creationId xmlns:a16="http://schemas.microsoft.com/office/drawing/2014/main" id="{00000000-0008-0000-0400-000066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3" name="TextBox 102">
          <a:extLst>
            <a:ext uri="{FF2B5EF4-FFF2-40B4-BE49-F238E27FC236}">
              <a16:creationId xmlns:a16="http://schemas.microsoft.com/office/drawing/2014/main" id="{00000000-0008-0000-0400-000067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4" name="TextBox 103">
          <a:extLst>
            <a:ext uri="{FF2B5EF4-FFF2-40B4-BE49-F238E27FC236}">
              <a16:creationId xmlns:a16="http://schemas.microsoft.com/office/drawing/2014/main" id="{00000000-0008-0000-0400-000068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5" name="TextBox 104">
          <a:extLst>
            <a:ext uri="{FF2B5EF4-FFF2-40B4-BE49-F238E27FC236}">
              <a16:creationId xmlns:a16="http://schemas.microsoft.com/office/drawing/2014/main" id="{00000000-0008-0000-0400-000069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6" name="TextBox 105">
          <a:extLst>
            <a:ext uri="{FF2B5EF4-FFF2-40B4-BE49-F238E27FC236}">
              <a16:creationId xmlns:a16="http://schemas.microsoft.com/office/drawing/2014/main" id="{00000000-0008-0000-0400-00006A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7" name="TextBox 106">
          <a:extLst>
            <a:ext uri="{FF2B5EF4-FFF2-40B4-BE49-F238E27FC236}">
              <a16:creationId xmlns:a16="http://schemas.microsoft.com/office/drawing/2014/main" id="{00000000-0008-0000-0400-00006B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8" name="TextBox 107">
          <a:extLst>
            <a:ext uri="{FF2B5EF4-FFF2-40B4-BE49-F238E27FC236}">
              <a16:creationId xmlns:a16="http://schemas.microsoft.com/office/drawing/2014/main" id="{00000000-0008-0000-0400-00006C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09" name="TextBox 108">
          <a:extLst>
            <a:ext uri="{FF2B5EF4-FFF2-40B4-BE49-F238E27FC236}">
              <a16:creationId xmlns:a16="http://schemas.microsoft.com/office/drawing/2014/main" id="{00000000-0008-0000-0400-00006D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10" name="TextBox 109">
          <a:extLst>
            <a:ext uri="{FF2B5EF4-FFF2-40B4-BE49-F238E27FC236}">
              <a16:creationId xmlns:a16="http://schemas.microsoft.com/office/drawing/2014/main" id="{00000000-0008-0000-0400-00006E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11" name="TextBox 110">
          <a:extLst>
            <a:ext uri="{FF2B5EF4-FFF2-40B4-BE49-F238E27FC236}">
              <a16:creationId xmlns:a16="http://schemas.microsoft.com/office/drawing/2014/main" id="{00000000-0008-0000-0400-00006F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12" name="TextBox 111">
          <a:extLst>
            <a:ext uri="{FF2B5EF4-FFF2-40B4-BE49-F238E27FC236}">
              <a16:creationId xmlns:a16="http://schemas.microsoft.com/office/drawing/2014/main" id="{00000000-0008-0000-0400-000070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113" name="TextBox 112">
          <a:extLst>
            <a:ext uri="{FF2B5EF4-FFF2-40B4-BE49-F238E27FC236}">
              <a16:creationId xmlns:a16="http://schemas.microsoft.com/office/drawing/2014/main" id="{00000000-0008-0000-0400-000071000000}"/>
            </a:ext>
          </a:extLst>
        </xdr:cNvPr>
        <xdr:cNvSpPr txBox="1"/>
      </xdr:nvSpPr>
      <xdr:spPr>
        <a:xfrm>
          <a:off x="7629525" y="5895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4" name="TextBox 113">
          <a:extLst>
            <a:ext uri="{FF2B5EF4-FFF2-40B4-BE49-F238E27FC236}">
              <a16:creationId xmlns:a16="http://schemas.microsoft.com/office/drawing/2014/main" id="{00000000-0008-0000-0400-000072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5" name="TextBox 114">
          <a:extLst>
            <a:ext uri="{FF2B5EF4-FFF2-40B4-BE49-F238E27FC236}">
              <a16:creationId xmlns:a16="http://schemas.microsoft.com/office/drawing/2014/main" id="{00000000-0008-0000-0400-000073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6" name="TextBox 115">
          <a:extLst>
            <a:ext uri="{FF2B5EF4-FFF2-40B4-BE49-F238E27FC236}">
              <a16:creationId xmlns:a16="http://schemas.microsoft.com/office/drawing/2014/main" id="{00000000-0008-0000-0400-000074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7" name="TextBox 116">
          <a:extLst>
            <a:ext uri="{FF2B5EF4-FFF2-40B4-BE49-F238E27FC236}">
              <a16:creationId xmlns:a16="http://schemas.microsoft.com/office/drawing/2014/main" id="{00000000-0008-0000-0400-000075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8" name="TextBox 117">
          <a:extLst>
            <a:ext uri="{FF2B5EF4-FFF2-40B4-BE49-F238E27FC236}">
              <a16:creationId xmlns:a16="http://schemas.microsoft.com/office/drawing/2014/main" id="{00000000-0008-0000-0400-000076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19" name="TextBox 118">
          <a:extLst>
            <a:ext uri="{FF2B5EF4-FFF2-40B4-BE49-F238E27FC236}">
              <a16:creationId xmlns:a16="http://schemas.microsoft.com/office/drawing/2014/main" id="{00000000-0008-0000-0400-000077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20" name="TextBox 119">
          <a:extLst>
            <a:ext uri="{FF2B5EF4-FFF2-40B4-BE49-F238E27FC236}">
              <a16:creationId xmlns:a16="http://schemas.microsoft.com/office/drawing/2014/main" id="{00000000-0008-0000-0400-000078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121" name="TextBox 120">
          <a:extLst>
            <a:ext uri="{FF2B5EF4-FFF2-40B4-BE49-F238E27FC236}">
              <a16:creationId xmlns:a16="http://schemas.microsoft.com/office/drawing/2014/main" id="{00000000-0008-0000-0400-000079000000}"/>
            </a:ext>
          </a:extLst>
        </xdr:cNvPr>
        <xdr:cNvSpPr txBox="1"/>
      </xdr:nvSpPr>
      <xdr:spPr>
        <a:xfrm>
          <a:off x="7629525" y="6086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122" name="TextBox 121">
          <a:extLst>
            <a:ext uri="{FF2B5EF4-FFF2-40B4-BE49-F238E27FC236}">
              <a16:creationId xmlns:a16="http://schemas.microsoft.com/office/drawing/2014/main" id="{00000000-0008-0000-0400-00007A000000}"/>
            </a:ext>
          </a:extLst>
        </xdr:cNvPr>
        <xdr:cNvSpPr txBox="1"/>
      </xdr:nvSpPr>
      <xdr:spPr>
        <a:xfrm>
          <a:off x="7629525" y="2571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22</xdr:row>
      <xdr:rowOff>76200</xdr:rowOff>
    </xdr:from>
    <xdr:ext cx="65" cy="172227"/>
    <xdr:sp macro="" textlink="">
      <xdr:nvSpPr>
        <xdr:cNvPr id="123" name="TextBox 122">
          <a:extLst>
            <a:ext uri="{FF2B5EF4-FFF2-40B4-BE49-F238E27FC236}">
              <a16:creationId xmlns:a16="http://schemas.microsoft.com/office/drawing/2014/main" id="{00000000-0008-0000-0400-00007B000000}"/>
            </a:ext>
          </a:extLst>
        </xdr:cNvPr>
        <xdr:cNvSpPr txBox="1"/>
      </xdr:nvSpPr>
      <xdr:spPr>
        <a:xfrm>
          <a:off x="7629525" y="2571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4" name="TextBox 123">
          <a:extLst>
            <a:ext uri="{FF2B5EF4-FFF2-40B4-BE49-F238E27FC236}">
              <a16:creationId xmlns:a16="http://schemas.microsoft.com/office/drawing/2014/main" id="{00000000-0008-0000-0400-00007C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5" name="TextBox 124">
          <a:extLst>
            <a:ext uri="{FF2B5EF4-FFF2-40B4-BE49-F238E27FC236}">
              <a16:creationId xmlns:a16="http://schemas.microsoft.com/office/drawing/2014/main" id="{00000000-0008-0000-0400-00007D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6" name="TextBox 125">
          <a:extLst>
            <a:ext uri="{FF2B5EF4-FFF2-40B4-BE49-F238E27FC236}">
              <a16:creationId xmlns:a16="http://schemas.microsoft.com/office/drawing/2014/main" id="{00000000-0008-0000-0400-00007E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7" name="TextBox 126">
          <a:extLst>
            <a:ext uri="{FF2B5EF4-FFF2-40B4-BE49-F238E27FC236}">
              <a16:creationId xmlns:a16="http://schemas.microsoft.com/office/drawing/2014/main" id="{00000000-0008-0000-0400-00007F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8" name="TextBox 127">
          <a:extLst>
            <a:ext uri="{FF2B5EF4-FFF2-40B4-BE49-F238E27FC236}">
              <a16:creationId xmlns:a16="http://schemas.microsoft.com/office/drawing/2014/main" id="{00000000-0008-0000-0400-000080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29" name="TextBox 128">
          <a:extLst>
            <a:ext uri="{FF2B5EF4-FFF2-40B4-BE49-F238E27FC236}">
              <a16:creationId xmlns:a16="http://schemas.microsoft.com/office/drawing/2014/main" id="{00000000-0008-0000-0400-000081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30" name="TextBox 129">
          <a:extLst>
            <a:ext uri="{FF2B5EF4-FFF2-40B4-BE49-F238E27FC236}">
              <a16:creationId xmlns:a16="http://schemas.microsoft.com/office/drawing/2014/main" id="{00000000-0008-0000-0400-000082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131" name="TextBox 130">
          <a:extLst>
            <a:ext uri="{FF2B5EF4-FFF2-40B4-BE49-F238E27FC236}">
              <a16:creationId xmlns:a16="http://schemas.microsoft.com/office/drawing/2014/main" id="{00000000-0008-0000-0400-000083000000}"/>
            </a:ext>
          </a:extLst>
        </xdr:cNvPr>
        <xdr:cNvSpPr txBox="1"/>
      </xdr:nvSpPr>
      <xdr:spPr>
        <a:xfrm>
          <a:off x="7400925" y="656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18</xdr:row>
      <xdr:rowOff>76200</xdr:rowOff>
    </xdr:from>
    <xdr:ext cx="65" cy="172227"/>
    <xdr:sp macro="" textlink="">
      <xdr:nvSpPr>
        <xdr:cNvPr id="132" name="TextBox 131">
          <a:extLst>
            <a:ext uri="{FF2B5EF4-FFF2-40B4-BE49-F238E27FC236}">
              <a16:creationId xmlns:a16="http://schemas.microsoft.com/office/drawing/2014/main" id="{00000000-0008-0000-0400-000084000000}"/>
            </a:ext>
          </a:extLst>
        </xdr:cNvPr>
        <xdr:cNvSpPr txBox="1"/>
      </xdr:nvSpPr>
      <xdr:spPr>
        <a:xfrm>
          <a:off x="77914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18</xdr:row>
      <xdr:rowOff>76200</xdr:rowOff>
    </xdr:from>
    <xdr:ext cx="65" cy="172227"/>
    <xdr:sp macro="" textlink="">
      <xdr:nvSpPr>
        <xdr:cNvPr id="133" name="TextBox 132">
          <a:extLst>
            <a:ext uri="{FF2B5EF4-FFF2-40B4-BE49-F238E27FC236}">
              <a16:creationId xmlns:a16="http://schemas.microsoft.com/office/drawing/2014/main" id="{00000000-0008-0000-0400-000085000000}"/>
            </a:ext>
          </a:extLst>
        </xdr:cNvPr>
        <xdr:cNvSpPr txBox="1"/>
      </xdr:nvSpPr>
      <xdr:spPr>
        <a:xfrm>
          <a:off x="77914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18</xdr:row>
      <xdr:rowOff>76200</xdr:rowOff>
    </xdr:from>
    <xdr:ext cx="65" cy="172227"/>
    <xdr:sp macro="" textlink="">
      <xdr:nvSpPr>
        <xdr:cNvPr id="134" name="TextBox 133">
          <a:extLst>
            <a:ext uri="{FF2B5EF4-FFF2-40B4-BE49-F238E27FC236}">
              <a16:creationId xmlns:a16="http://schemas.microsoft.com/office/drawing/2014/main" id="{00000000-0008-0000-0400-000086000000}"/>
            </a:ext>
          </a:extLst>
        </xdr:cNvPr>
        <xdr:cNvSpPr txBox="1"/>
      </xdr:nvSpPr>
      <xdr:spPr>
        <a:xfrm>
          <a:off x="77914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35" name="TextBox 134">
          <a:extLst>
            <a:ext uri="{FF2B5EF4-FFF2-40B4-BE49-F238E27FC236}">
              <a16:creationId xmlns:a16="http://schemas.microsoft.com/office/drawing/2014/main" id="{00000000-0008-0000-0400-000087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36" name="TextBox 135">
          <a:extLst>
            <a:ext uri="{FF2B5EF4-FFF2-40B4-BE49-F238E27FC236}">
              <a16:creationId xmlns:a16="http://schemas.microsoft.com/office/drawing/2014/main" id="{00000000-0008-0000-0400-000088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37" name="TextBox 136">
          <a:extLst>
            <a:ext uri="{FF2B5EF4-FFF2-40B4-BE49-F238E27FC236}">
              <a16:creationId xmlns:a16="http://schemas.microsoft.com/office/drawing/2014/main" id="{00000000-0008-0000-0400-000089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38" name="TextBox 137">
          <a:extLst>
            <a:ext uri="{FF2B5EF4-FFF2-40B4-BE49-F238E27FC236}">
              <a16:creationId xmlns:a16="http://schemas.microsoft.com/office/drawing/2014/main" id="{00000000-0008-0000-0400-00008A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39" name="TextBox 138">
          <a:extLst>
            <a:ext uri="{FF2B5EF4-FFF2-40B4-BE49-F238E27FC236}">
              <a16:creationId xmlns:a16="http://schemas.microsoft.com/office/drawing/2014/main" id="{00000000-0008-0000-0400-00008B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40" name="TextBox 139">
          <a:extLst>
            <a:ext uri="{FF2B5EF4-FFF2-40B4-BE49-F238E27FC236}">
              <a16:creationId xmlns:a16="http://schemas.microsoft.com/office/drawing/2014/main" id="{00000000-0008-0000-0400-00008C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41" name="TextBox 140">
          <a:extLst>
            <a:ext uri="{FF2B5EF4-FFF2-40B4-BE49-F238E27FC236}">
              <a16:creationId xmlns:a16="http://schemas.microsoft.com/office/drawing/2014/main" id="{00000000-0008-0000-0400-00008D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63</xdr:row>
      <xdr:rowOff>76200</xdr:rowOff>
    </xdr:from>
    <xdr:ext cx="65" cy="172227"/>
    <xdr:sp macro="" textlink="">
      <xdr:nvSpPr>
        <xdr:cNvPr id="142" name="TextBox 141">
          <a:extLst>
            <a:ext uri="{FF2B5EF4-FFF2-40B4-BE49-F238E27FC236}">
              <a16:creationId xmlns:a16="http://schemas.microsoft.com/office/drawing/2014/main" id="{00000000-0008-0000-0400-00008E000000}"/>
            </a:ext>
          </a:extLst>
        </xdr:cNvPr>
        <xdr:cNvSpPr txBox="1"/>
      </xdr:nvSpPr>
      <xdr:spPr>
        <a:xfrm>
          <a:off x="7791450" y="695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3" name="TextBox 142">
          <a:extLst>
            <a:ext uri="{FF2B5EF4-FFF2-40B4-BE49-F238E27FC236}">
              <a16:creationId xmlns:a16="http://schemas.microsoft.com/office/drawing/2014/main" id="{00000000-0008-0000-0400-00008F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4" name="TextBox 143">
          <a:extLst>
            <a:ext uri="{FF2B5EF4-FFF2-40B4-BE49-F238E27FC236}">
              <a16:creationId xmlns:a16="http://schemas.microsoft.com/office/drawing/2014/main" id="{00000000-0008-0000-0400-000090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5" name="TextBox 144">
          <a:extLst>
            <a:ext uri="{FF2B5EF4-FFF2-40B4-BE49-F238E27FC236}">
              <a16:creationId xmlns:a16="http://schemas.microsoft.com/office/drawing/2014/main" id="{00000000-0008-0000-0400-000091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6" name="TextBox 145">
          <a:extLst>
            <a:ext uri="{FF2B5EF4-FFF2-40B4-BE49-F238E27FC236}">
              <a16:creationId xmlns:a16="http://schemas.microsoft.com/office/drawing/2014/main" id="{00000000-0008-0000-0400-000092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7" name="TextBox 146">
          <a:extLst>
            <a:ext uri="{FF2B5EF4-FFF2-40B4-BE49-F238E27FC236}">
              <a16:creationId xmlns:a16="http://schemas.microsoft.com/office/drawing/2014/main" id="{00000000-0008-0000-0400-000093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8" name="TextBox 147">
          <a:extLst>
            <a:ext uri="{FF2B5EF4-FFF2-40B4-BE49-F238E27FC236}">
              <a16:creationId xmlns:a16="http://schemas.microsoft.com/office/drawing/2014/main" id="{00000000-0008-0000-0400-000094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49" name="TextBox 148">
          <a:extLst>
            <a:ext uri="{FF2B5EF4-FFF2-40B4-BE49-F238E27FC236}">
              <a16:creationId xmlns:a16="http://schemas.microsoft.com/office/drawing/2014/main" id="{00000000-0008-0000-0400-000095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63</xdr:row>
      <xdr:rowOff>76200</xdr:rowOff>
    </xdr:from>
    <xdr:ext cx="65" cy="172227"/>
    <xdr:sp macro="" textlink="">
      <xdr:nvSpPr>
        <xdr:cNvPr id="150" name="TextBox 149">
          <a:extLst>
            <a:ext uri="{FF2B5EF4-FFF2-40B4-BE49-F238E27FC236}">
              <a16:creationId xmlns:a16="http://schemas.microsoft.com/office/drawing/2014/main" id="{00000000-0008-0000-0400-000096000000}"/>
            </a:ext>
          </a:extLst>
        </xdr:cNvPr>
        <xdr:cNvSpPr txBox="1"/>
      </xdr:nvSpPr>
      <xdr:spPr>
        <a:xfrm>
          <a:off x="7791450" y="7143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20</xdr:row>
      <xdr:rowOff>76200</xdr:rowOff>
    </xdr:from>
    <xdr:ext cx="65" cy="172227"/>
    <xdr:sp macro="" textlink="">
      <xdr:nvSpPr>
        <xdr:cNvPr id="151" name="TextBox 150">
          <a:extLst>
            <a:ext uri="{FF2B5EF4-FFF2-40B4-BE49-F238E27FC236}">
              <a16:creationId xmlns:a16="http://schemas.microsoft.com/office/drawing/2014/main" id="{00000000-0008-0000-0400-000097000000}"/>
            </a:ext>
          </a:extLst>
        </xdr:cNvPr>
        <xdr:cNvSpPr txBox="1"/>
      </xdr:nvSpPr>
      <xdr:spPr>
        <a:xfrm>
          <a:off x="7791450" y="342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20</xdr:row>
      <xdr:rowOff>76200</xdr:rowOff>
    </xdr:from>
    <xdr:ext cx="65" cy="172227"/>
    <xdr:sp macro="" textlink="">
      <xdr:nvSpPr>
        <xdr:cNvPr id="152" name="TextBox 151">
          <a:extLst>
            <a:ext uri="{FF2B5EF4-FFF2-40B4-BE49-F238E27FC236}">
              <a16:creationId xmlns:a16="http://schemas.microsoft.com/office/drawing/2014/main" id="{00000000-0008-0000-0400-000098000000}"/>
            </a:ext>
          </a:extLst>
        </xdr:cNvPr>
        <xdr:cNvSpPr txBox="1"/>
      </xdr:nvSpPr>
      <xdr:spPr>
        <a:xfrm>
          <a:off x="7791450" y="342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20</xdr:row>
      <xdr:rowOff>76200</xdr:rowOff>
    </xdr:from>
    <xdr:ext cx="65" cy="172227"/>
    <xdr:sp macro="" textlink="">
      <xdr:nvSpPr>
        <xdr:cNvPr id="153" name="TextBox 152">
          <a:extLst>
            <a:ext uri="{FF2B5EF4-FFF2-40B4-BE49-F238E27FC236}">
              <a16:creationId xmlns:a16="http://schemas.microsoft.com/office/drawing/2014/main" id="{00000000-0008-0000-0400-000099000000}"/>
            </a:ext>
          </a:extLst>
        </xdr:cNvPr>
        <xdr:cNvSpPr txBox="1"/>
      </xdr:nvSpPr>
      <xdr:spPr>
        <a:xfrm>
          <a:off x="7791450" y="342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20</xdr:row>
      <xdr:rowOff>76200</xdr:rowOff>
    </xdr:from>
    <xdr:ext cx="65" cy="172227"/>
    <xdr:sp macro="" textlink="">
      <xdr:nvSpPr>
        <xdr:cNvPr id="154" name="TextBox 153">
          <a:extLst>
            <a:ext uri="{FF2B5EF4-FFF2-40B4-BE49-F238E27FC236}">
              <a16:creationId xmlns:a16="http://schemas.microsoft.com/office/drawing/2014/main" id="{00000000-0008-0000-0400-00009A000000}"/>
            </a:ext>
          </a:extLst>
        </xdr:cNvPr>
        <xdr:cNvSpPr txBox="1"/>
      </xdr:nvSpPr>
      <xdr:spPr>
        <a:xfrm>
          <a:off x="7791450" y="342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20</xdr:row>
      <xdr:rowOff>76200</xdr:rowOff>
    </xdr:from>
    <xdr:ext cx="65" cy="172227"/>
    <xdr:sp macro="" textlink="">
      <xdr:nvSpPr>
        <xdr:cNvPr id="155" name="TextBox 154">
          <a:extLst>
            <a:ext uri="{FF2B5EF4-FFF2-40B4-BE49-F238E27FC236}">
              <a16:creationId xmlns:a16="http://schemas.microsoft.com/office/drawing/2014/main" id="{00000000-0008-0000-0400-00009B000000}"/>
            </a:ext>
          </a:extLst>
        </xdr:cNvPr>
        <xdr:cNvSpPr txBox="1"/>
      </xdr:nvSpPr>
      <xdr:spPr>
        <a:xfrm>
          <a:off x="7791450" y="342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56" name="TextBox 155">
          <a:extLst>
            <a:ext uri="{FF2B5EF4-FFF2-40B4-BE49-F238E27FC236}">
              <a16:creationId xmlns:a16="http://schemas.microsoft.com/office/drawing/2014/main" id="{00000000-0008-0000-0400-00009C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57" name="TextBox 156">
          <a:extLst>
            <a:ext uri="{FF2B5EF4-FFF2-40B4-BE49-F238E27FC236}">
              <a16:creationId xmlns:a16="http://schemas.microsoft.com/office/drawing/2014/main" id="{00000000-0008-0000-0400-00009D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58" name="TextBox 157">
          <a:extLst>
            <a:ext uri="{FF2B5EF4-FFF2-40B4-BE49-F238E27FC236}">
              <a16:creationId xmlns:a16="http://schemas.microsoft.com/office/drawing/2014/main" id="{00000000-0008-0000-0400-00009E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59" name="TextBox 158">
          <a:extLst>
            <a:ext uri="{FF2B5EF4-FFF2-40B4-BE49-F238E27FC236}">
              <a16:creationId xmlns:a16="http://schemas.microsoft.com/office/drawing/2014/main" id="{00000000-0008-0000-0400-00009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0" name="TextBox 159">
          <a:extLst>
            <a:ext uri="{FF2B5EF4-FFF2-40B4-BE49-F238E27FC236}">
              <a16:creationId xmlns:a16="http://schemas.microsoft.com/office/drawing/2014/main" id="{00000000-0008-0000-0400-0000A0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1" name="TextBox 160">
          <a:extLst>
            <a:ext uri="{FF2B5EF4-FFF2-40B4-BE49-F238E27FC236}">
              <a16:creationId xmlns:a16="http://schemas.microsoft.com/office/drawing/2014/main" id="{00000000-0008-0000-0400-0000A1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2" name="TextBox 161">
          <a:extLst>
            <a:ext uri="{FF2B5EF4-FFF2-40B4-BE49-F238E27FC236}">
              <a16:creationId xmlns:a16="http://schemas.microsoft.com/office/drawing/2014/main" id="{00000000-0008-0000-0400-0000A2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3" name="TextBox 162">
          <a:extLst>
            <a:ext uri="{FF2B5EF4-FFF2-40B4-BE49-F238E27FC236}">
              <a16:creationId xmlns:a16="http://schemas.microsoft.com/office/drawing/2014/main" id="{00000000-0008-0000-0400-0000A3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23</xdr:row>
      <xdr:rowOff>76200</xdr:rowOff>
    </xdr:from>
    <xdr:ext cx="65" cy="172227"/>
    <xdr:sp macro="" textlink="">
      <xdr:nvSpPr>
        <xdr:cNvPr id="164" name="TextBox 163">
          <a:extLst>
            <a:ext uri="{FF2B5EF4-FFF2-40B4-BE49-F238E27FC236}">
              <a16:creationId xmlns:a16="http://schemas.microsoft.com/office/drawing/2014/main" id="{00000000-0008-0000-0400-0000A4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5" name="TextBox 164">
          <a:extLst>
            <a:ext uri="{FF2B5EF4-FFF2-40B4-BE49-F238E27FC236}">
              <a16:creationId xmlns:a16="http://schemas.microsoft.com/office/drawing/2014/main" id="{00000000-0008-0000-0400-0000A5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6" name="TextBox 165">
          <a:extLst>
            <a:ext uri="{FF2B5EF4-FFF2-40B4-BE49-F238E27FC236}">
              <a16:creationId xmlns:a16="http://schemas.microsoft.com/office/drawing/2014/main" id="{00000000-0008-0000-0400-0000A6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67" name="TextBox 166">
          <a:extLst>
            <a:ext uri="{FF2B5EF4-FFF2-40B4-BE49-F238E27FC236}">
              <a16:creationId xmlns:a16="http://schemas.microsoft.com/office/drawing/2014/main" id="{00000000-0008-0000-0400-0000A7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68" name="TextBox 167">
          <a:extLst>
            <a:ext uri="{FF2B5EF4-FFF2-40B4-BE49-F238E27FC236}">
              <a16:creationId xmlns:a16="http://schemas.microsoft.com/office/drawing/2014/main" id="{00000000-0008-0000-0400-0000A8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69" name="TextBox 168">
          <a:extLst>
            <a:ext uri="{FF2B5EF4-FFF2-40B4-BE49-F238E27FC236}">
              <a16:creationId xmlns:a16="http://schemas.microsoft.com/office/drawing/2014/main" id="{00000000-0008-0000-0400-0000A9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0" name="TextBox 169">
          <a:extLst>
            <a:ext uri="{FF2B5EF4-FFF2-40B4-BE49-F238E27FC236}">
              <a16:creationId xmlns:a16="http://schemas.microsoft.com/office/drawing/2014/main" id="{00000000-0008-0000-0400-0000AA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1" name="TextBox 170">
          <a:extLst>
            <a:ext uri="{FF2B5EF4-FFF2-40B4-BE49-F238E27FC236}">
              <a16:creationId xmlns:a16="http://schemas.microsoft.com/office/drawing/2014/main" id="{00000000-0008-0000-0400-0000AB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2" name="TextBox 171">
          <a:extLst>
            <a:ext uri="{FF2B5EF4-FFF2-40B4-BE49-F238E27FC236}">
              <a16:creationId xmlns:a16="http://schemas.microsoft.com/office/drawing/2014/main" id="{00000000-0008-0000-0400-0000AC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24</xdr:row>
      <xdr:rowOff>76200</xdr:rowOff>
    </xdr:from>
    <xdr:ext cx="65" cy="172227"/>
    <xdr:sp macro="" textlink="">
      <xdr:nvSpPr>
        <xdr:cNvPr id="173" name="TextBox 172">
          <a:extLst>
            <a:ext uri="{FF2B5EF4-FFF2-40B4-BE49-F238E27FC236}">
              <a16:creationId xmlns:a16="http://schemas.microsoft.com/office/drawing/2014/main" id="{00000000-0008-0000-0400-0000AD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4" name="TextBox 173">
          <a:extLst>
            <a:ext uri="{FF2B5EF4-FFF2-40B4-BE49-F238E27FC236}">
              <a16:creationId xmlns:a16="http://schemas.microsoft.com/office/drawing/2014/main" id="{00000000-0008-0000-0400-0000AE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5" name="TextBox 174">
          <a:extLst>
            <a:ext uri="{FF2B5EF4-FFF2-40B4-BE49-F238E27FC236}">
              <a16:creationId xmlns:a16="http://schemas.microsoft.com/office/drawing/2014/main" id="{00000000-0008-0000-0400-0000A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6" name="TextBox 175">
          <a:extLst>
            <a:ext uri="{FF2B5EF4-FFF2-40B4-BE49-F238E27FC236}">
              <a16:creationId xmlns:a16="http://schemas.microsoft.com/office/drawing/2014/main" id="{00000000-0008-0000-0400-0000B0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7" name="TextBox 176">
          <a:extLst>
            <a:ext uri="{FF2B5EF4-FFF2-40B4-BE49-F238E27FC236}">
              <a16:creationId xmlns:a16="http://schemas.microsoft.com/office/drawing/2014/main" id="{00000000-0008-0000-0400-0000B1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8" name="TextBox 177">
          <a:extLst>
            <a:ext uri="{FF2B5EF4-FFF2-40B4-BE49-F238E27FC236}">
              <a16:creationId xmlns:a16="http://schemas.microsoft.com/office/drawing/2014/main" id="{00000000-0008-0000-0400-0000B2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79" name="TextBox 178">
          <a:extLst>
            <a:ext uri="{FF2B5EF4-FFF2-40B4-BE49-F238E27FC236}">
              <a16:creationId xmlns:a16="http://schemas.microsoft.com/office/drawing/2014/main" id="{00000000-0008-0000-0400-0000B3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80" name="TextBox 179">
          <a:extLst>
            <a:ext uri="{FF2B5EF4-FFF2-40B4-BE49-F238E27FC236}">
              <a16:creationId xmlns:a16="http://schemas.microsoft.com/office/drawing/2014/main" id="{00000000-0008-0000-0400-0000B4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1" name="TextBox 180">
          <a:extLst>
            <a:ext uri="{FF2B5EF4-FFF2-40B4-BE49-F238E27FC236}">
              <a16:creationId xmlns:a16="http://schemas.microsoft.com/office/drawing/2014/main" id="{00000000-0008-0000-0400-0000B5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2" name="TextBox 181">
          <a:extLst>
            <a:ext uri="{FF2B5EF4-FFF2-40B4-BE49-F238E27FC236}">
              <a16:creationId xmlns:a16="http://schemas.microsoft.com/office/drawing/2014/main" id="{00000000-0008-0000-0400-0000B6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3" name="TextBox 182">
          <a:extLst>
            <a:ext uri="{FF2B5EF4-FFF2-40B4-BE49-F238E27FC236}">
              <a16:creationId xmlns:a16="http://schemas.microsoft.com/office/drawing/2014/main" id="{00000000-0008-0000-0400-0000B7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4" name="TextBox 183">
          <a:extLst>
            <a:ext uri="{FF2B5EF4-FFF2-40B4-BE49-F238E27FC236}">
              <a16:creationId xmlns:a16="http://schemas.microsoft.com/office/drawing/2014/main" id="{00000000-0008-0000-0400-0000B8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5" name="TextBox 184">
          <a:extLst>
            <a:ext uri="{FF2B5EF4-FFF2-40B4-BE49-F238E27FC236}">
              <a16:creationId xmlns:a16="http://schemas.microsoft.com/office/drawing/2014/main" id="{00000000-0008-0000-0400-0000B9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25</xdr:row>
      <xdr:rowOff>76200</xdr:rowOff>
    </xdr:from>
    <xdr:ext cx="65" cy="172227"/>
    <xdr:sp macro="" textlink="">
      <xdr:nvSpPr>
        <xdr:cNvPr id="186" name="TextBox 185">
          <a:extLst>
            <a:ext uri="{FF2B5EF4-FFF2-40B4-BE49-F238E27FC236}">
              <a16:creationId xmlns:a16="http://schemas.microsoft.com/office/drawing/2014/main" id="{00000000-0008-0000-0400-0000BA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7" name="TextBox 186">
          <a:extLst>
            <a:ext uri="{FF2B5EF4-FFF2-40B4-BE49-F238E27FC236}">
              <a16:creationId xmlns:a16="http://schemas.microsoft.com/office/drawing/2014/main" id="{00000000-0008-0000-0400-0000BB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8" name="TextBox 187">
          <a:extLst>
            <a:ext uri="{FF2B5EF4-FFF2-40B4-BE49-F238E27FC236}">
              <a16:creationId xmlns:a16="http://schemas.microsoft.com/office/drawing/2014/main" id="{00000000-0008-0000-0400-0000BC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89" name="TextBox 188">
          <a:extLst>
            <a:ext uri="{FF2B5EF4-FFF2-40B4-BE49-F238E27FC236}">
              <a16:creationId xmlns:a16="http://schemas.microsoft.com/office/drawing/2014/main" id="{00000000-0008-0000-0400-0000BD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90" name="TextBox 189">
          <a:extLst>
            <a:ext uri="{FF2B5EF4-FFF2-40B4-BE49-F238E27FC236}">
              <a16:creationId xmlns:a16="http://schemas.microsoft.com/office/drawing/2014/main" id="{00000000-0008-0000-0400-0000BE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91" name="TextBox 190">
          <a:extLst>
            <a:ext uri="{FF2B5EF4-FFF2-40B4-BE49-F238E27FC236}">
              <a16:creationId xmlns:a16="http://schemas.microsoft.com/office/drawing/2014/main" id="{00000000-0008-0000-0400-0000BF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92" name="TextBox 191">
          <a:extLst>
            <a:ext uri="{FF2B5EF4-FFF2-40B4-BE49-F238E27FC236}">
              <a16:creationId xmlns:a16="http://schemas.microsoft.com/office/drawing/2014/main" id="{00000000-0008-0000-0400-0000C0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93" name="TextBox 192">
          <a:extLst>
            <a:ext uri="{FF2B5EF4-FFF2-40B4-BE49-F238E27FC236}">
              <a16:creationId xmlns:a16="http://schemas.microsoft.com/office/drawing/2014/main" id="{00000000-0008-0000-0400-0000C1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194" name="TextBox 193">
          <a:extLst>
            <a:ext uri="{FF2B5EF4-FFF2-40B4-BE49-F238E27FC236}">
              <a16:creationId xmlns:a16="http://schemas.microsoft.com/office/drawing/2014/main" id="{00000000-0008-0000-0400-0000C2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195" name="TextBox 194">
          <a:extLst>
            <a:ext uri="{FF2B5EF4-FFF2-40B4-BE49-F238E27FC236}">
              <a16:creationId xmlns:a16="http://schemas.microsoft.com/office/drawing/2014/main" id="{00000000-0008-0000-0400-0000C3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196" name="TextBox 195">
          <a:extLst>
            <a:ext uri="{FF2B5EF4-FFF2-40B4-BE49-F238E27FC236}">
              <a16:creationId xmlns:a16="http://schemas.microsoft.com/office/drawing/2014/main" id="{00000000-0008-0000-0400-0000C4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197" name="TextBox 196">
          <a:extLst>
            <a:ext uri="{FF2B5EF4-FFF2-40B4-BE49-F238E27FC236}">
              <a16:creationId xmlns:a16="http://schemas.microsoft.com/office/drawing/2014/main" id="{00000000-0008-0000-0400-0000C5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198" name="TextBox 197">
          <a:extLst>
            <a:ext uri="{FF2B5EF4-FFF2-40B4-BE49-F238E27FC236}">
              <a16:creationId xmlns:a16="http://schemas.microsoft.com/office/drawing/2014/main" id="{00000000-0008-0000-0400-0000C6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26</xdr:row>
      <xdr:rowOff>76200</xdr:rowOff>
    </xdr:from>
    <xdr:ext cx="65" cy="172227"/>
    <xdr:sp macro="" textlink="">
      <xdr:nvSpPr>
        <xdr:cNvPr id="199" name="TextBox 198">
          <a:extLst>
            <a:ext uri="{FF2B5EF4-FFF2-40B4-BE49-F238E27FC236}">
              <a16:creationId xmlns:a16="http://schemas.microsoft.com/office/drawing/2014/main" id="{00000000-0008-0000-0400-0000C7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0" name="TextBox 199">
          <a:extLst>
            <a:ext uri="{FF2B5EF4-FFF2-40B4-BE49-F238E27FC236}">
              <a16:creationId xmlns:a16="http://schemas.microsoft.com/office/drawing/2014/main" id="{00000000-0008-0000-0400-0000C8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1" name="TextBox 200">
          <a:extLst>
            <a:ext uri="{FF2B5EF4-FFF2-40B4-BE49-F238E27FC236}">
              <a16:creationId xmlns:a16="http://schemas.microsoft.com/office/drawing/2014/main" id="{00000000-0008-0000-0400-0000C9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2" name="TextBox 201">
          <a:extLst>
            <a:ext uri="{FF2B5EF4-FFF2-40B4-BE49-F238E27FC236}">
              <a16:creationId xmlns:a16="http://schemas.microsoft.com/office/drawing/2014/main" id="{00000000-0008-0000-0400-0000CA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3" name="TextBox 202">
          <a:extLst>
            <a:ext uri="{FF2B5EF4-FFF2-40B4-BE49-F238E27FC236}">
              <a16:creationId xmlns:a16="http://schemas.microsoft.com/office/drawing/2014/main" id="{00000000-0008-0000-0400-0000CB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4" name="TextBox 203">
          <a:extLst>
            <a:ext uri="{FF2B5EF4-FFF2-40B4-BE49-F238E27FC236}">
              <a16:creationId xmlns:a16="http://schemas.microsoft.com/office/drawing/2014/main" id="{00000000-0008-0000-0400-0000CC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5" name="TextBox 204">
          <a:extLst>
            <a:ext uri="{FF2B5EF4-FFF2-40B4-BE49-F238E27FC236}">
              <a16:creationId xmlns:a16="http://schemas.microsoft.com/office/drawing/2014/main" id="{00000000-0008-0000-0400-0000CD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06" name="TextBox 205">
          <a:extLst>
            <a:ext uri="{FF2B5EF4-FFF2-40B4-BE49-F238E27FC236}">
              <a16:creationId xmlns:a16="http://schemas.microsoft.com/office/drawing/2014/main" id="{00000000-0008-0000-0400-0000CE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07" name="TextBox 206">
          <a:extLst>
            <a:ext uri="{FF2B5EF4-FFF2-40B4-BE49-F238E27FC236}">
              <a16:creationId xmlns:a16="http://schemas.microsoft.com/office/drawing/2014/main" id="{00000000-0008-0000-0400-0000C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08" name="TextBox 207">
          <a:extLst>
            <a:ext uri="{FF2B5EF4-FFF2-40B4-BE49-F238E27FC236}">
              <a16:creationId xmlns:a16="http://schemas.microsoft.com/office/drawing/2014/main" id="{00000000-0008-0000-0400-0000D0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09" name="TextBox 208">
          <a:extLst>
            <a:ext uri="{FF2B5EF4-FFF2-40B4-BE49-F238E27FC236}">
              <a16:creationId xmlns:a16="http://schemas.microsoft.com/office/drawing/2014/main" id="{00000000-0008-0000-0400-0000D1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0" name="TextBox 209">
          <a:extLst>
            <a:ext uri="{FF2B5EF4-FFF2-40B4-BE49-F238E27FC236}">
              <a16:creationId xmlns:a16="http://schemas.microsoft.com/office/drawing/2014/main" id="{00000000-0008-0000-0400-0000D2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1" name="TextBox 210">
          <a:extLst>
            <a:ext uri="{FF2B5EF4-FFF2-40B4-BE49-F238E27FC236}">
              <a16:creationId xmlns:a16="http://schemas.microsoft.com/office/drawing/2014/main" id="{00000000-0008-0000-0400-0000D3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27</xdr:row>
      <xdr:rowOff>76200</xdr:rowOff>
    </xdr:from>
    <xdr:ext cx="65" cy="172227"/>
    <xdr:sp macro="" textlink="">
      <xdr:nvSpPr>
        <xdr:cNvPr id="212" name="TextBox 211">
          <a:extLst>
            <a:ext uri="{FF2B5EF4-FFF2-40B4-BE49-F238E27FC236}">
              <a16:creationId xmlns:a16="http://schemas.microsoft.com/office/drawing/2014/main" id="{00000000-0008-0000-0400-0000D4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3" name="TextBox 212">
          <a:extLst>
            <a:ext uri="{FF2B5EF4-FFF2-40B4-BE49-F238E27FC236}">
              <a16:creationId xmlns:a16="http://schemas.microsoft.com/office/drawing/2014/main" id="{00000000-0008-0000-0400-0000D5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4" name="TextBox 213">
          <a:extLst>
            <a:ext uri="{FF2B5EF4-FFF2-40B4-BE49-F238E27FC236}">
              <a16:creationId xmlns:a16="http://schemas.microsoft.com/office/drawing/2014/main" id="{00000000-0008-0000-0400-0000D6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5" name="TextBox 214">
          <a:extLst>
            <a:ext uri="{FF2B5EF4-FFF2-40B4-BE49-F238E27FC236}">
              <a16:creationId xmlns:a16="http://schemas.microsoft.com/office/drawing/2014/main" id="{00000000-0008-0000-0400-0000D7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6" name="TextBox 215">
          <a:extLst>
            <a:ext uri="{FF2B5EF4-FFF2-40B4-BE49-F238E27FC236}">
              <a16:creationId xmlns:a16="http://schemas.microsoft.com/office/drawing/2014/main" id="{00000000-0008-0000-0400-0000D8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7" name="TextBox 216">
          <a:extLst>
            <a:ext uri="{FF2B5EF4-FFF2-40B4-BE49-F238E27FC236}">
              <a16:creationId xmlns:a16="http://schemas.microsoft.com/office/drawing/2014/main" id="{00000000-0008-0000-0400-0000D9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8" name="TextBox 217">
          <a:extLst>
            <a:ext uri="{FF2B5EF4-FFF2-40B4-BE49-F238E27FC236}">
              <a16:creationId xmlns:a16="http://schemas.microsoft.com/office/drawing/2014/main" id="{00000000-0008-0000-0400-0000DA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19" name="TextBox 218">
          <a:extLst>
            <a:ext uri="{FF2B5EF4-FFF2-40B4-BE49-F238E27FC236}">
              <a16:creationId xmlns:a16="http://schemas.microsoft.com/office/drawing/2014/main" id="{00000000-0008-0000-0400-0000DB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0" name="TextBox 219">
          <a:extLst>
            <a:ext uri="{FF2B5EF4-FFF2-40B4-BE49-F238E27FC236}">
              <a16:creationId xmlns:a16="http://schemas.microsoft.com/office/drawing/2014/main" id="{00000000-0008-0000-0400-0000DC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1" name="TextBox 220">
          <a:extLst>
            <a:ext uri="{FF2B5EF4-FFF2-40B4-BE49-F238E27FC236}">
              <a16:creationId xmlns:a16="http://schemas.microsoft.com/office/drawing/2014/main" id="{00000000-0008-0000-0400-0000DD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2" name="TextBox 221">
          <a:extLst>
            <a:ext uri="{FF2B5EF4-FFF2-40B4-BE49-F238E27FC236}">
              <a16:creationId xmlns:a16="http://schemas.microsoft.com/office/drawing/2014/main" id="{00000000-0008-0000-0400-0000DE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3" name="TextBox 222">
          <a:extLst>
            <a:ext uri="{FF2B5EF4-FFF2-40B4-BE49-F238E27FC236}">
              <a16:creationId xmlns:a16="http://schemas.microsoft.com/office/drawing/2014/main" id="{00000000-0008-0000-0400-0000D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4" name="TextBox 223">
          <a:extLst>
            <a:ext uri="{FF2B5EF4-FFF2-40B4-BE49-F238E27FC236}">
              <a16:creationId xmlns:a16="http://schemas.microsoft.com/office/drawing/2014/main" id="{00000000-0008-0000-0400-0000E0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28</xdr:row>
      <xdr:rowOff>76200</xdr:rowOff>
    </xdr:from>
    <xdr:ext cx="65" cy="172227"/>
    <xdr:sp macro="" textlink="">
      <xdr:nvSpPr>
        <xdr:cNvPr id="225" name="TextBox 224">
          <a:extLst>
            <a:ext uri="{FF2B5EF4-FFF2-40B4-BE49-F238E27FC236}">
              <a16:creationId xmlns:a16="http://schemas.microsoft.com/office/drawing/2014/main" id="{00000000-0008-0000-0400-0000E1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6" name="TextBox 225">
          <a:extLst>
            <a:ext uri="{FF2B5EF4-FFF2-40B4-BE49-F238E27FC236}">
              <a16:creationId xmlns:a16="http://schemas.microsoft.com/office/drawing/2014/main" id="{00000000-0008-0000-0400-0000E2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7" name="TextBox 226">
          <a:extLst>
            <a:ext uri="{FF2B5EF4-FFF2-40B4-BE49-F238E27FC236}">
              <a16:creationId xmlns:a16="http://schemas.microsoft.com/office/drawing/2014/main" id="{00000000-0008-0000-0400-0000E3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8" name="TextBox 227">
          <a:extLst>
            <a:ext uri="{FF2B5EF4-FFF2-40B4-BE49-F238E27FC236}">
              <a16:creationId xmlns:a16="http://schemas.microsoft.com/office/drawing/2014/main" id="{00000000-0008-0000-0400-0000E4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29" name="TextBox 228">
          <a:extLst>
            <a:ext uri="{FF2B5EF4-FFF2-40B4-BE49-F238E27FC236}">
              <a16:creationId xmlns:a16="http://schemas.microsoft.com/office/drawing/2014/main" id="{00000000-0008-0000-0400-0000E5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30" name="TextBox 229">
          <a:extLst>
            <a:ext uri="{FF2B5EF4-FFF2-40B4-BE49-F238E27FC236}">
              <a16:creationId xmlns:a16="http://schemas.microsoft.com/office/drawing/2014/main" id="{00000000-0008-0000-0400-0000E6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31" name="TextBox 230">
          <a:extLst>
            <a:ext uri="{FF2B5EF4-FFF2-40B4-BE49-F238E27FC236}">
              <a16:creationId xmlns:a16="http://schemas.microsoft.com/office/drawing/2014/main" id="{00000000-0008-0000-0400-0000E7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32" name="TextBox 231">
          <a:extLst>
            <a:ext uri="{FF2B5EF4-FFF2-40B4-BE49-F238E27FC236}">
              <a16:creationId xmlns:a16="http://schemas.microsoft.com/office/drawing/2014/main" id="{00000000-0008-0000-0400-0000E8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3" name="TextBox 232">
          <a:extLst>
            <a:ext uri="{FF2B5EF4-FFF2-40B4-BE49-F238E27FC236}">
              <a16:creationId xmlns:a16="http://schemas.microsoft.com/office/drawing/2014/main" id="{00000000-0008-0000-0400-0000E9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4" name="TextBox 233">
          <a:extLst>
            <a:ext uri="{FF2B5EF4-FFF2-40B4-BE49-F238E27FC236}">
              <a16:creationId xmlns:a16="http://schemas.microsoft.com/office/drawing/2014/main" id="{00000000-0008-0000-0400-0000EA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5" name="TextBox 234">
          <a:extLst>
            <a:ext uri="{FF2B5EF4-FFF2-40B4-BE49-F238E27FC236}">
              <a16:creationId xmlns:a16="http://schemas.microsoft.com/office/drawing/2014/main" id="{00000000-0008-0000-0400-0000EB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6" name="TextBox 235">
          <a:extLst>
            <a:ext uri="{FF2B5EF4-FFF2-40B4-BE49-F238E27FC236}">
              <a16:creationId xmlns:a16="http://schemas.microsoft.com/office/drawing/2014/main" id="{00000000-0008-0000-0400-0000EC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7" name="TextBox 236">
          <a:extLst>
            <a:ext uri="{FF2B5EF4-FFF2-40B4-BE49-F238E27FC236}">
              <a16:creationId xmlns:a16="http://schemas.microsoft.com/office/drawing/2014/main" id="{00000000-0008-0000-0400-0000ED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29</xdr:row>
      <xdr:rowOff>76200</xdr:rowOff>
    </xdr:from>
    <xdr:ext cx="65" cy="172227"/>
    <xdr:sp macro="" textlink="">
      <xdr:nvSpPr>
        <xdr:cNvPr id="238" name="TextBox 237">
          <a:extLst>
            <a:ext uri="{FF2B5EF4-FFF2-40B4-BE49-F238E27FC236}">
              <a16:creationId xmlns:a16="http://schemas.microsoft.com/office/drawing/2014/main" id="{00000000-0008-0000-0400-0000EE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39" name="TextBox 238">
          <a:extLst>
            <a:ext uri="{FF2B5EF4-FFF2-40B4-BE49-F238E27FC236}">
              <a16:creationId xmlns:a16="http://schemas.microsoft.com/office/drawing/2014/main" id="{00000000-0008-0000-0400-0000E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0" name="TextBox 239">
          <a:extLst>
            <a:ext uri="{FF2B5EF4-FFF2-40B4-BE49-F238E27FC236}">
              <a16:creationId xmlns:a16="http://schemas.microsoft.com/office/drawing/2014/main" id="{00000000-0008-0000-0400-0000F0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1" name="TextBox 240">
          <a:extLst>
            <a:ext uri="{FF2B5EF4-FFF2-40B4-BE49-F238E27FC236}">
              <a16:creationId xmlns:a16="http://schemas.microsoft.com/office/drawing/2014/main" id="{00000000-0008-0000-0400-0000F1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2" name="TextBox 241">
          <a:extLst>
            <a:ext uri="{FF2B5EF4-FFF2-40B4-BE49-F238E27FC236}">
              <a16:creationId xmlns:a16="http://schemas.microsoft.com/office/drawing/2014/main" id="{00000000-0008-0000-0400-0000F2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3" name="TextBox 242">
          <a:extLst>
            <a:ext uri="{FF2B5EF4-FFF2-40B4-BE49-F238E27FC236}">
              <a16:creationId xmlns:a16="http://schemas.microsoft.com/office/drawing/2014/main" id="{00000000-0008-0000-0400-0000F3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4" name="TextBox 243">
          <a:extLst>
            <a:ext uri="{FF2B5EF4-FFF2-40B4-BE49-F238E27FC236}">
              <a16:creationId xmlns:a16="http://schemas.microsoft.com/office/drawing/2014/main" id="{00000000-0008-0000-0400-0000F4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45" name="TextBox 244">
          <a:extLst>
            <a:ext uri="{FF2B5EF4-FFF2-40B4-BE49-F238E27FC236}">
              <a16:creationId xmlns:a16="http://schemas.microsoft.com/office/drawing/2014/main" id="{00000000-0008-0000-0400-0000F5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46" name="TextBox 245">
          <a:extLst>
            <a:ext uri="{FF2B5EF4-FFF2-40B4-BE49-F238E27FC236}">
              <a16:creationId xmlns:a16="http://schemas.microsoft.com/office/drawing/2014/main" id="{00000000-0008-0000-0400-0000F6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47" name="TextBox 246">
          <a:extLst>
            <a:ext uri="{FF2B5EF4-FFF2-40B4-BE49-F238E27FC236}">
              <a16:creationId xmlns:a16="http://schemas.microsoft.com/office/drawing/2014/main" id="{00000000-0008-0000-0400-0000F7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48" name="TextBox 247">
          <a:extLst>
            <a:ext uri="{FF2B5EF4-FFF2-40B4-BE49-F238E27FC236}">
              <a16:creationId xmlns:a16="http://schemas.microsoft.com/office/drawing/2014/main" id="{00000000-0008-0000-0400-0000F8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49" name="TextBox 248">
          <a:extLst>
            <a:ext uri="{FF2B5EF4-FFF2-40B4-BE49-F238E27FC236}">
              <a16:creationId xmlns:a16="http://schemas.microsoft.com/office/drawing/2014/main" id="{00000000-0008-0000-0400-0000F9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0" name="TextBox 249">
          <a:extLst>
            <a:ext uri="{FF2B5EF4-FFF2-40B4-BE49-F238E27FC236}">
              <a16:creationId xmlns:a16="http://schemas.microsoft.com/office/drawing/2014/main" id="{00000000-0008-0000-0400-0000FA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30</xdr:row>
      <xdr:rowOff>76200</xdr:rowOff>
    </xdr:from>
    <xdr:ext cx="65" cy="172227"/>
    <xdr:sp macro="" textlink="">
      <xdr:nvSpPr>
        <xdr:cNvPr id="251" name="TextBox 250">
          <a:extLst>
            <a:ext uri="{FF2B5EF4-FFF2-40B4-BE49-F238E27FC236}">
              <a16:creationId xmlns:a16="http://schemas.microsoft.com/office/drawing/2014/main" id="{00000000-0008-0000-0400-0000FB00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2" name="TextBox 251">
          <a:extLst>
            <a:ext uri="{FF2B5EF4-FFF2-40B4-BE49-F238E27FC236}">
              <a16:creationId xmlns:a16="http://schemas.microsoft.com/office/drawing/2014/main" id="{00000000-0008-0000-0400-0000FC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3" name="TextBox 252">
          <a:extLst>
            <a:ext uri="{FF2B5EF4-FFF2-40B4-BE49-F238E27FC236}">
              <a16:creationId xmlns:a16="http://schemas.microsoft.com/office/drawing/2014/main" id="{00000000-0008-0000-0400-0000FD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4" name="TextBox 253">
          <a:extLst>
            <a:ext uri="{FF2B5EF4-FFF2-40B4-BE49-F238E27FC236}">
              <a16:creationId xmlns:a16="http://schemas.microsoft.com/office/drawing/2014/main" id="{00000000-0008-0000-0400-0000FE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5" name="TextBox 254">
          <a:extLst>
            <a:ext uri="{FF2B5EF4-FFF2-40B4-BE49-F238E27FC236}">
              <a16:creationId xmlns:a16="http://schemas.microsoft.com/office/drawing/2014/main" id="{00000000-0008-0000-0400-0000FF00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6" name="TextBox 255">
          <a:extLst>
            <a:ext uri="{FF2B5EF4-FFF2-40B4-BE49-F238E27FC236}">
              <a16:creationId xmlns:a16="http://schemas.microsoft.com/office/drawing/2014/main" id="{00000000-0008-0000-0400-000000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7" name="TextBox 256">
          <a:extLst>
            <a:ext uri="{FF2B5EF4-FFF2-40B4-BE49-F238E27FC236}">
              <a16:creationId xmlns:a16="http://schemas.microsoft.com/office/drawing/2014/main" id="{00000000-0008-0000-0400-000001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58" name="TextBox 257">
          <a:extLst>
            <a:ext uri="{FF2B5EF4-FFF2-40B4-BE49-F238E27FC236}">
              <a16:creationId xmlns:a16="http://schemas.microsoft.com/office/drawing/2014/main" id="{00000000-0008-0000-0400-00000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59" name="TextBox 258">
          <a:extLst>
            <a:ext uri="{FF2B5EF4-FFF2-40B4-BE49-F238E27FC236}">
              <a16:creationId xmlns:a16="http://schemas.microsoft.com/office/drawing/2014/main" id="{00000000-0008-0000-0400-00000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0" name="TextBox 259">
          <a:extLst>
            <a:ext uri="{FF2B5EF4-FFF2-40B4-BE49-F238E27FC236}">
              <a16:creationId xmlns:a16="http://schemas.microsoft.com/office/drawing/2014/main" id="{00000000-0008-0000-0400-00000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1" name="TextBox 260">
          <a:extLst>
            <a:ext uri="{FF2B5EF4-FFF2-40B4-BE49-F238E27FC236}">
              <a16:creationId xmlns:a16="http://schemas.microsoft.com/office/drawing/2014/main" id="{00000000-0008-0000-0400-00000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2" name="TextBox 261">
          <a:extLst>
            <a:ext uri="{FF2B5EF4-FFF2-40B4-BE49-F238E27FC236}">
              <a16:creationId xmlns:a16="http://schemas.microsoft.com/office/drawing/2014/main" id="{00000000-0008-0000-0400-00000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3" name="TextBox 262">
          <a:extLst>
            <a:ext uri="{FF2B5EF4-FFF2-40B4-BE49-F238E27FC236}">
              <a16:creationId xmlns:a16="http://schemas.microsoft.com/office/drawing/2014/main" id="{00000000-0008-0000-0400-00000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31</xdr:row>
      <xdr:rowOff>76200</xdr:rowOff>
    </xdr:from>
    <xdr:ext cx="65" cy="172227"/>
    <xdr:sp macro="" textlink="">
      <xdr:nvSpPr>
        <xdr:cNvPr id="264" name="TextBox 263">
          <a:extLst>
            <a:ext uri="{FF2B5EF4-FFF2-40B4-BE49-F238E27FC236}">
              <a16:creationId xmlns:a16="http://schemas.microsoft.com/office/drawing/2014/main" id="{00000000-0008-0000-0400-00000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5" name="TextBox 264">
          <a:extLst>
            <a:ext uri="{FF2B5EF4-FFF2-40B4-BE49-F238E27FC236}">
              <a16:creationId xmlns:a16="http://schemas.microsoft.com/office/drawing/2014/main" id="{00000000-0008-0000-0400-00000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6" name="TextBox 265">
          <a:extLst>
            <a:ext uri="{FF2B5EF4-FFF2-40B4-BE49-F238E27FC236}">
              <a16:creationId xmlns:a16="http://schemas.microsoft.com/office/drawing/2014/main" id="{00000000-0008-0000-0400-00000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7" name="TextBox 266">
          <a:extLst>
            <a:ext uri="{FF2B5EF4-FFF2-40B4-BE49-F238E27FC236}">
              <a16:creationId xmlns:a16="http://schemas.microsoft.com/office/drawing/2014/main" id="{00000000-0008-0000-0400-00000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8" name="TextBox 267">
          <a:extLst>
            <a:ext uri="{FF2B5EF4-FFF2-40B4-BE49-F238E27FC236}">
              <a16:creationId xmlns:a16="http://schemas.microsoft.com/office/drawing/2014/main" id="{00000000-0008-0000-0400-00000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69" name="TextBox 268">
          <a:extLst>
            <a:ext uri="{FF2B5EF4-FFF2-40B4-BE49-F238E27FC236}">
              <a16:creationId xmlns:a16="http://schemas.microsoft.com/office/drawing/2014/main" id="{00000000-0008-0000-0400-00000D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70" name="TextBox 269">
          <a:extLst>
            <a:ext uri="{FF2B5EF4-FFF2-40B4-BE49-F238E27FC236}">
              <a16:creationId xmlns:a16="http://schemas.microsoft.com/office/drawing/2014/main" id="{00000000-0008-0000-0400-00000E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71" name="TextBox 270">
          <a:extLst>
            <a:ext uri="{FF2B5EF4-FFF2-40B4-BE49-F238E27FC236}">
              <a16:creationId xmlns:a16="http://schemas.microsoft.com/office/drawing/2014/main" id="{00000000-0008-0000-0400-00000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2" name="TextBox 271">
          <a:extLst>
            <a:ext uri="{FF2B5EF4-FFF2-40B4-BE49-F238E27FC236}">
              <a16:creationId xmlns:a16="http://schemas.microsoft.com/office/drawing/2014/main" id="{00000000-0008-0000-0400-00001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3" name="TextBox 272">
          <a:extLst>
            <a:ext uri="{FF2B5EF4-FFF2-40B4-BE49-F238E27FC236}">
              <a16:creationId xmlns:a16="http://schemas.microsoft.com/office/drawing/2014/main" id="{00000000-0008-0000-0400-00001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4" name="TextBox 273">
          <a:extLst>
            <a:ext uri="{FF2B5EF4-FFF2-40B4-BE49-F238E27FC236}">
              <a16:creationId xmlns:a16="http://schemas.microsoft.com/office/drawing/2014/main" id="{00000000-0008-0000-0400-00001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5" name="TextBox 274">
          <a:extLst>
            <a:ext uri="{FF2B5EF4-FFF2-40B4-BE49-F238E27FC236}">
              <a16:creationId xmlns:a16="http://schemas.microsoft.com/office/drawing/2014/main" id="{00000000-0008-0000-0400-00001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6" name="TextBox 275">
          <a:extLst>
            <a:ext uri="{FF2B5EF4-FFF2-40B4-BE49-F238E27FC236}">
              <a16:creationId xmlns:a16="http://schemas.microsoft.com/office/drawing/2014/main" id="{00000000-0008-0000-0400-00001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32</xdr:row>
      <xdr:rowOff>76200</xdr:rowOff>
    </xdr:from>
    <xdr:ext cx="65" cy="172227"/>
    <xdr:sp macro="" textlink="">
      <xdr:nvSpPr>
        <xdr:cNvPr id="277" name="TextBox 276">
          <a:extLst>
            <a:ext uri="{FF2B5EF4-FFF2-40B4-BE49-F238E27FC236}">
              <a16:creationId xmlns:a16="http://schemas.microsoft.com/office/drawing/2014/main" id="{00000000-0008-0000-0400-000015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8" name="TextBox 277">
          <a:extLst>
            <a:ext uri="{FF2B5EF4-FFF2-40B4-BE49-F238E27FC236}">
              <a16:creationId xmlns:a16="http://schemas.microsoft.com/office/drawing/2014/main" id="{00000000-0008-0000-0400-00001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79" name="TextBox 278">
          <a:extLst>
            <a:ext uri="{FF2B5EF4-FFF2-40B4-BE49-F238E27FC236}">
              <a16:creationId xmlns:a16="http://schemas.microsoft.com/office/drawing/2014/main" id="{00000000-0008-0000-0400-00001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80" name="TextBox 279">
          <a:extLst>
            <a:ext uri="{FF2B5EF4-FFF2-40B4-BE49-F238E27FC236}">
              <a16:creationId xmlns:a16="http://schemas.microsoft.com/office/drawing/2014/main" id="{00000000-0008-0000-0400-00001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81" name="TextBox 280">
          <a:extLst>
            <a:ext uri="{FF2B5EF4-FFF2-40B4-BE49-F238E27FC236}">
              <a16:creationId xmlns:a16="http://schemas.microsoft.com/office/drawing/2014/main" id="{00000000-0008-0000-0400-00001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82" name="TextBox 281">
          <a:extLst>
            <a:ext uri="{FF2B5EF4-FFF2-40B4-BE49-F238E27FC236}">
              <a16:creationId xmlns:a16="http://schemas.microsoft.com/office/drawing/2014/main" id="{00000000-0008-0000-0400-00001A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83" name="TextBox 282">
          <a:extLst>
            <a:ext uri="{FF2B5EF4-FFF2-40B4-BE49-F238E27FC236}">
              <a16:creationId xmlns:a16="http://schemas.microsoft.com/office/drawing/2014/main" id="{00000000-0008-0000-0400-00001B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84" name="TextBox 283">
          <a:extLst>
            <a:ext uri="{FF2B5EF4-FFF2-40B4-BE49-F238E27FC236}">
              <a16:creationId xmlns:a16="http://schemas.microsoft.com/office/drawing/2014/main" id="{00000000-0008-0000-0400-00001C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85" name="TextBox 284">
          <a:extLst>
            <a:ext uri="{FF2B5EF4-FFF2-40B4-BE49-F238E27FC236}">
              <a16:creationId xmlns:a16="http://schemas.microsoft.com/office/drawing/2014/main" id="{00000000-0008-0000-0400-00001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86" name="TextBox 285">
          <a:extLst>
            <a:ext uri="{FF2B5EF4-FFF2-40B4-BE49-F238E27FC236}">
              <a16:creationId xmlns:a16="http://schemas.microsoft.com/office/drawing/2014/main" id="{00000000-0008-0000-0400-00001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87" name="TextBox 286">
          <a:extLst>
            <a:ext uri="{FF2B5EF4-FFF2-40B4-BE49-F238E27FC236}">
              <a16:creationId xmlns:a16="http://schemas.microsoft.com/office/drawing/2014/main" id="{00000000-0008-0000-0400-00001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88" name="TextBox 287">
          <a:extLst>
            <a:ext uri="{FF2B5EF4-FFF2-40B4-BE49-F238E27FC236}">
              <a16:creationId xmlns:a16="http://schemas.microsoft.com/office/drawing/2014/main" id="{00000000-0008-0000-0400-00002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89" name="TextBox 288">
          <a:extLst>
            <a:ext uri="{FF2B5EF4-FFF2-40B4-BE49-F238E27FC236}">
              <a16:creationId xmlns:a16="http://schemas.microsoft.com/office/drawing/2014/main" id="{00000000-0008-0000-0400-00002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33</xdr:row>
      <xdr:rowOff>76200</xdr:rowOff>
    </xdr:from>
    <xdr:ext cx="65" cy="172227"/>
    <xdr:sp macro="" textlink="">
      <xdr:nvSpPr>
        <xdr:cNvPr id="290" name="TextBox 289">
          <a:extLst>
            <a:ext uri="{FF2B5EF4-FFF2-40B4-BE49-F238E27FC236}">
              <a16:creationId xmlns:a16="http://schemas.microsoft.com/office/drawing/2014/main" id="{00000000-0008-0000-0400-00002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1" name="TextBox 290">
          <a:extLst>
            <a:ext uri="{FF2B5EF4-FFF2-40B4-BE49-F238E27FC236}">
              <a16:creationId xmlns:a16="http://schemas.microsoft.com/office/drawing/2014/main" id="{00000000-0008-0000-0400-00002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2" name="TextBox 291">
          <a:extLst>
            <a:ext uri="{FF2B5EF4-FFF2-40B4-BE49-F238E27FC236}">
              <a16:creationId xmlns:a16="http://schemas.microsoft.com/office/drawing/2014/main" id="{00000000-0008-0000-0400-00002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3" name="TextBox 292">
          <a:extLst>
            <a:ext uri="{FF2B5EF4-FFF2-40B4-BE49-F238E27FC236}">
              <a16:creationId xmlns:a16="http://schemas.microsoft.com/office/drawing/2014/main" id="{00000000-0008-0000-0400-00002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4" name="TextBox 293">
          <a:extLst>
            <a:ext uri="{FF2B5EF4-FFF2-40B4-BE49-F238E27FC236}">
              <a16:creationId xmlns:a16="http://schemas.microsoft.com/office/drawing/2014/main" id="{00000000-0008-0000-0400-00002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5" name="TextBox 294">
          <a:extLst>
            <a:ext uri="{FF2B5EF4-FFF2-40B4-BE49-F238E27FC236}">
              <a16:creationId xmlns:a16="http://schemas.microsoft.com/office/drawing/2014/main" id="{00000000-0008-0000-0400-000027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6" name="TextBox 295">
          <a:extLst>
            <a:ext uri="{FF2B5EF4-FFF2-40B4-BE49-F238E27FC236}">
              <a16:creationId xmlns:a16="http://schemas.microsoft.com/office/drawing/2014/main" id="{00000000-0008-0000-0400-00002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297" name="TextBox 296">
          <a:extLst>
            <a:ext uri="{FF2B5EF4-FFF2-40B4-BE49-F238E27FC236}">
              <a16:creationId xmlns:a16="http://schemas.microsoft.com/office/drawing/2014/main" id="{00000000-0008-0000-0400-000029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298" name="TextBox 297">
          <a:extLst>
            <a:ext uri="{FF2B5EF4-FFF2-40B4-BE49-F238E27FC236}">
              <a16:creationId xmlns:a16="http://schemas.microsoft.com/office/drawing/2014/main" id="{00000000-0008-0000-0400-00002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299" name="TextBox 298">
          <a:extLst>
            <a:ext uri="{FF2B5EF4-FFF2-40B4-BE49-F238E27FC236}">
              <a16:creationId xmlns:a16="http://schemas.microsoft.com/office/drawing/2014/main" id="{00000000-0008-0000-0400-00002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0" name="TextBox 299">
          <a:extLst>
            <a:ext uri="{FF2B5EF4-FFF2-40B4-BE49-F238E27FC236}">
              <a16:creationId xmlns:a16="http://schemas.microsoft.com/office/drawing/2014/main" id="{00000000-0008-0000-0400-00002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1" name="TextBox 300">
          <a:extLst>
            <a:ext uri="{FF2B5EF4-FFF2-40B4-BE49-F238E27FC236}">
              <a16:creationId xmlns:a16="http://schemas.microsoft.com/office/drawing/2014/main" id="{00000000-0008-0000-0400-00002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2" name="TextBox 301">
          <a:extLst>
            <a:ext uri="{FF2B5EF4-FFF2-40B4-BE49-F238E27FC236}">
              <a16:creationId xmlns:a16="http://schemas.microsoft.com/office/drawing/2014/main" id="{00000000-0008-0000-0400-00002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34</xdr:row>
      <xdr:rowOff>76200</xdr:rowOff>
    </xdr:from>
    <xdr:ext cx="65" cy="172227"/>
    <xdr:sp macro="" textlink="">
      <xdr:nvSpPr>
        <xdr:cNvPr id="303" name="TextBox 302">
          <a:extLst>
            <a:ext uri="{FF2B5EF4-FFF2-40B4-BE49-F238E27FC236}">
              <a16:creationId xmlns:a16="http://schemas.microsoft.com/office/drawing/2014/main" id="{00000000-0008-0000-0400-00002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4" name="TextBox 303">
          <a:extLst>
            <a:ext uri="{FF2B5EF4-FFF2-40B4-BE49-F238E27FC236}">
              <a16:creationId xmlns:a16="http://schemas.microsoft.com/office/drawing/2014/main" id="{00000000-0008-0000-0400-00003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5" name="TextBox 304">
          <a:extLst>
            <a:ext uri="{FF2B5EF4-FFF2-40B4-BE49-F238E27FC236}">
              <a16:creationId xmlns:a16="http://schemas.microsoft.com/office/drawing/2014/main" id="{00000000-0008-0000-0400-00003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6" name="TextBox 305">
          <a:extLst>
            <a:ext uri="{FF2B5EF4-FFF2-40B4-BE49-F238E27FC236}">
              <a16:creationId xmlns:a16="http://schemas.microsoft.com/office/drawing/2014/main" id="{00000000-0008-0000-0400-00003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7" name="TextBox 306">
          <a:extLst>
            <a:ext uri="{FF2B5EF4-FFF2-40B4-BE49-F238E27FC236}">
              <a16:creationId xmlns:a16="http://schemas.microsoft.com/office/drawing/2014/main" id="{00000000-0008-0000-0400-00003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8" name="TextBox 307">
          <a:extLst>
            <a:ext uri="{FF2B5EF4-FFF2-40B4-BE49-F238E27FC236}">
              <a16:creationId xmlns:a16="http://schemas.microsoft.com/office/drawing/2014/main" id="{00000000-0008-0000-0400-000034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09" name="TextBox 308">
          <a:extLst>
            <a:ext uri="{FF2B5EF4-FFF2-40B4-BE49-F238E27FC236}">
              <a16:creationId xmlns:a16="http://schemas.microsoft.com/office/drawing/2014/main" id="{00000000-0008-0000-0400-000035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10" name="TextBox 309">
          <a:extLst>
            <a:ext uri="{FF2B5EF4-FFF2-40B4-BE49-F238E27FC236}">
              <a16:creationId xmlns:a16="http://schemas.microsoft.com/office/drawing/2014/main" id="{00000000-0008-0000-0400-000036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1" name="TextBox 310">
          <a:extLst>
            <a:ext uri="{FF2B5EF4-FFF2-40B4-BE49-F238E27FC236}">
              <a16:creationId xmlns:a16="http://schemas.microsoft.com/office/drawing/2014/main" id="{00000000-0008-0000-0400-00003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2" name="TextBox 311">
          <a:extLst>
            <a:ext uri="{FF2B5EF4-FFF2-40B4-BE49-F238E27FC236}">
              <a16:creationId xmlns:a16="http://schemas.microsoft.com/office/drawing/2014/main" id="{00000000-0008-0000-0400-00003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3" name="TextBox 312">
          <a:extLst>
            <a:ext uri="{FF2B5EF4-FFF2-40B4-BE49-F238E27FC236}">
              <a16:creationId xmlns:a16="http://schemas.microsoft.com/office/drawing/2014/main" id="{00000000-0008-0000-0400-00003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4" name="TextBox 313">
          <a:extLst>
            <a:ext uri="{FF2B5EF4-FFF2-40B4-BE49-F238E27FC236}">
              <a16:creationId xmlns:a16="http://schemas.microsoft.com/office/drawing/2014/main" id="{00000000-0008-0000-0400-00003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5" name="TextBox 314">
          <a:extLst>
            <a:ext uri="{FF2B5EF4-FFF2-40B4-BE49-F238E27FC236}">
              <a16:creationId xmlns:a16="http://schemas.microsoft.com/office/drawing/2014/main" id="{00000000-0008-0000-0400-00003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35</xdr:row>
      <xdr:rowOff>76200</xdr:rowOff>
    </xdr:from>
    <xdr:ext cx="65" cy="172227"/>
    <xdr:sp macro="" textlink="">
      <xdr:nvSpPr>
        <xdr:cNvPr id="316" name="TextBox 315">
          <a:extLst>
            <a:ext uri="{FF2B5EF4-FFF2-40B4-BE49-F238E27FC236}">
              <a16:creationId xmlns:a16="http://schemas.microsoft.com/office/drawing/2014/main" id="{00000000-0008-0000-0400-00003C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7" name="TextBox 316">
          <a:extLst>
            <a:ext uri="{FF2B5EF4-FFF2-40B4-BE49-F238E27FC236}">
              <a16:creationId xmlns:a16="http://schemas.microsoft.com/office/drawing/2014/main" id="{00000000-0008-0000-0400-00003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8" name="TextBox 317">
          <a:extLst>
            <a:ext uri="{FF2B5EF4-FFF2-40B4-BE49-F238E27FC236}">
              <a16:creationId xmlns:a16="http://schemas.microsoft.com/office/drawing/2014/main" id="{00000000-0008-0000-0400-00003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19" name="TextBox 318">
          <a:extLst>
            <a:ext uri="{FF2B5EF4-FFF2-40B4-BE49-F238E27FC236}">
              <a16:creationId xmlns:a16="http://schemas.microsoft.com/office/drawing/2014/main" id="{00000000-0008-0000-0400-00003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20" name="TextBox 319">
          <a:extLst>
            <a:ext uri="{FF2B5EF4-FFF2-40B4-BE49-F238E27FC236}">
              <a16:creationId xmlns:a16="http://schemas.microsoft.com/office/drawing/2014/main" id="{00000000-0008-0000-0400-00004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21" name="TextBox 320">
          <a:extLst>
            <a:ext uri="{FF2B5EF4-FFF2-40B4-BE49-F238E27FC236}">
              <a16:creationId xmlns:a16="http://schemas.microsoft.com/office/drawing/2014/main" id="{00000000-0008-0000-0400-000041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22" name="TextBox 321">
          <a:extLst>
            <a:ext uri="{FF2B5EF4-FFF2-40B4-BE49-F238E27FC236}">
              <a16:creationId xmlns:a16="http://schemas.microsoft.com/office/drawing/2014/main" id="{00000000-0008-0000-0400-00004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23" name="TextBox 322">
          <a:extLst>
            <a:ext uri="{FF2B5EF4-FFF2-40B4-BE49-F238E27FC236}">
              <a16:creationId xmlns:a16="http://schemas.microsoft.com/office/drawing/2014/main" id="{00000000-0008-0000-0400-000043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24" name="TextBox 323">
          <a:extLst>
            <a:ext uri="{FF2B5EF4-FFF2-40B4-BE49-F238E27FC236}">
              <a16:creationId xmlns:a16="http://schemas.microsoft.com/office/drawing/2014/main" id="{00000000-0008-0000-0400-00004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25" name="TextBox 324">
          <a:extLst>
            <a:ext uri="{FF2B5EF4-FFF2-40B4-BE49-F238E27FC236}">
              <a16:creationId xmlns:a16="http://schemas.microsoft.com/office/drawing/2014/main" id="{00000000-0008-0000-0400-00004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26" name="TextBox 325">
          <a:extLst>
            <a:ext uri="{FF2B5EF4-FFF2-40B4-BE49-F238E27FC236}">
              <a16:creationId xmlns:a16="http://schemas.microsoft.com/office/drawing/2014/main" id="{00000000-0008-0000-0400-00004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27" name="TextBox 326">
          <a:extLst>
            <a:ext uri="{FF2B5EF4-FFF2-40B4-BE49-F238E27FC236}">
              <a16:creationId xmlns:a16="http://schemas.microsoft.com/office/drawing/2014/main" id="{00000000-0008-0000-0400-00004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28" name="TextBox 327">
          <a:extLst>
            <a:ext uri="{FF2B5EF4-FFF2-40B4-BE49-F238E27FC236}">
              <a16:creationId xmlns:a16="http://schemas.microsoft.com/office/drawing/2014/main" id="{00000000-0008-0000-0400-00004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36</xdr:row>
      <xdr:rowOff>76200</xdr:rowOff>
    </xdr:from>
    <xdr:ext cx="65" cy="172227"/>
    <xdr:sp macro="" textlink="">
      <xdr:nvSpPr>
        <xdr:cNvPr id="329" name="TextBox 328">
          <a:extLst>
            <a:ext uri="{FF2B5EF4-FFF2-40B4-BE49-F238E27FC236}">
              <a16:creationId xmlns:a16="http://schemas.microsoft.com/office/drawing/2014/main" id="{00000000-0008-0000-0400-000049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0" name="TextBox 329">
          <a:extLst>
            <a:ext uri="{FF2B5EF4-FFF2-40B4-BE49-F238E27FC236}">
              <a16:creationId xmlns:a16="http://schemas.microsoft.com/office/drawing/2014/main" id="{00000000-0008-0000-0400-00004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1" name="TextBox 330">
          <a:extLst>
            <a:ext uri="{FF2B5EF4-FFF2-40B4-BE49-F238E27FC236}">
              <a16:creationId xmlns:a16="http://schemas.microsoft.com/office/drawing/2014/main" id="{00000000-0008-0000-0400-00004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2" name="TextBox 331">
          <a:extLst>
            <a:ext uri="{FF2B5EF4-FFF2-40B4-BE49-F238E27FC236}">
              <a16:creationId xmlns:a16="http://schemas.microsoft.com/office/drawing/2014/main" id="{00000000-0008-0000-0400-00004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3" name="TextBox 332">
          <a:extLst>
            <a:ext uri="{FF2B5EF4-FFF2-40B4-BE49-F238E27FC236}">
              <a16:creationId xmlns:a16="http://schemas.microsoft.com/office/drawing/2014/main" id="{00000000-0008-0000-0400-00004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4" name="TextBox 333">
          <a:extLst>
            <a:ext uri="{FF2B5EF4-FFF2-40B4-BE49-F238E27FC236}">
              <a16:creationId xmlns:a16="http://schemas.microsoft.com/office/drawing/2014/main" id="{00000000-0008-0000-0400-00004E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5" name="TextBox 334">
          <a:extLst>
            <a:ext uri="{FF2B5EF4-FFF2-40B4-BE49-F238E27FC236}">
              <a16:creationId xmlns:a16="http://schemas.microsoft.com/office/drawing/2014/main" id="{00000000-0008-0000-0400-00004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36" name="TextBox 335">
          <a:extLst>
            <a:ext uri="{FF2B5EF4-FFF2-40B4-BE49-F238E27FC236}">
              <a16:creationId xmlns:a16="http://schemas.microsoft.com/office/drawing/2014/main" id="{00000000-0008-0000-0400-000050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37" name="TextBox 336">
          <a:extLst>
            <a:ext uri="{FF2B5EF4-FFF2-40B4-BE49-F238E27FC236}">
              <a16:creationId xmlns:a16="http://schemas.microsoft.com/office/drawing/2014/main" id="{00000000-0008-0000-0400-00005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38" name="TextBox 337">
          <a:extLst>
            <a:ext uri="{FF2B5EF4-FFF2-40B4-BE49-F238E27FC236}">
              <a16:creationId xmlns:a16="http://schemas.microsoft.com/office/drawing/2014/main" id="{00000000-0008-0000-0400-00005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39" name="TextBox 338">
          <a:extLst>
            <a:ext uri="{FF2B5EF4-FFF2-40B4-BE49-F238E27FC236}">
              <a16:creationId xmlns:a16="http://schemas.microsoft.com/office/drawing/2014/main" id="{00000000-0008-0000-0400-00005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0" name="TextBox 339">
          <a:extLst>
            <a:ext uri="{FF2B5EF4-FFF2-40B4-BE49-F238E27FC236}">
              <a16:creationId xmlns:a16="http://schemas.microsoft.com/office/drawing/2014/main" id="{00000000-0008-0000-0400-00005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1" name="TextBox 340">
          <a:extLst>
            <a:ext uri="{FF2B5EF4-FFF2-40B4-BE49-F238E27FC236}">
              <a16:creationId xmlns:a16="http://schemas.microsoft.com/office/drawing/2014/main" id="{00000000-0008-0000-0400-00005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37</xdr:row>
      <xdr:rowOff>76200</xdr:rowOff>
    </xdr:from>
    <xdr:ext cx="65" cy="172227"/>
    <xdr:sp macro="" textlink="">
      <xdr:nvSpPr>
        <xdr:cNvPr id="342" name="TextBox 341">
          <a:extLst>
            <a:ext uri="{FF2B5EF4-FFF2-40B4-BE49-F238E27FC236}">
              <a16:creationId xmlns:a16="http://schemas.microsoft.com/office/drawing/2014/main" id="{00000000-0008-0000-0400-000056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3" name="TextBox 342">
          <a:extLst>
            <a:ext uri="{FF2B5EF4-FFF2-40B4-BE49-F238E27FC236}">
              <a16:creationId xmlns:a16="http://schemas.microsoft.com/office/drawing/2014/main" id="{00000000-0008-0000-0400-00005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4" name="TextBox 343">
          <a:extLst>
            <a:ext uri="{FF2B5EF4-FFF2-40B4-BE49-F238E27FC236}">
              <a16:creationId xmlns:a16="http://schemas.microsoft.com/office/drawing/2014/main" id="{00000000-0008-0000-0400-00005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5" name="TextBox 344">
          <a:extLst>
            <a:ext uri="{FF2B5EF4-FFF2-40B4-BE49-F238E27FC236}">
              <a16:creationId xmlns:a16="http://schemas.microsoft.com/office/drawing/2014/main" id="{00000000-0008-0000-0400-00005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6" name="TextBox 345">
          <a:extLst>
            <a:ext uri="{FF2B5EF4-FFF2-40B4-BE49-F238E27FC236}">
              <a16:creationId xmlns:a16="http://schemas.microsoft.com/office/drawing/2014/main" id="{00000000-0008-0000-0400-00005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7" name="TextBox 346">
          <a:extLst>
            <a:ext uri="{FF2B5EF4-FFF2-40B4-BE49-F238E27FC236}">
              <a16:creationId xmlns:a16="http://schemas.microsoft.com/office/drawing/2014/main" id="{00000000-0008-0000-0400-00005B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8" name="TextBox 347">
          <a:extLst>
            <a:ext uri="{FF2B5EF4-FFF2-40B4-BE49-F238E27FC236}">
              <a16:creationId xmlns:a16="http://schemas.microsoft.com/office/drawing/2014/main" id="{00000000-0008-0000-0400-00005C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49" name="TextBox 348">
          <a:extLst>
            <a:ext uri="{FF2B5EF4-FFF2-40B4-BE49-F238E27FC236}">
              <a16:creationId xmlns:a16="http://schemas.microsoft.com/office/drawing/2014/main" id="{00000000-0008-0000-0400-00005D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0" name="TextBox 349">
          <a:extLst>
            <a:ext uri="{FF2B5EF4-FFF2-40B4-BE49-F238E27FC236}">
              <a16:creationId xmlns:a16="http://schemas.microsoft.com/office/drawing/2014/main" id="{00000000-0008-0000-0400-00005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1" name="TextBox 350">
          <a:extLst>
            <a:ext uri="{FF2B5EF4-FFF2-40B4-BE49-F238E27FC236}">
              <a16:creationId xmlns:a16="http://schemas.microsoft.com/office/drawing/2014/main" id="{00000000-0008-0000-0400-00005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2" name="TextBox 351">
          <a:extLst>
            <a:ext uri="{FF2B5EF4-FFF2-40B4-BE49-F238E27FC236}">
              <a16:creationId xmlns:a16="http://schemas.microsoft.com/office/drawing/2014/main" id="{00000000-0008-0000-0400-00006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3" name="TextBox 352">
          <a:extLst>
            <a:ext uri="{FF2B5EF4-FFF2-40B4-BE49-F238E27FC236}">
              <a16:creationId xmlns:a16="http://schemas.microsoft.com/office/drawing/2014/main" id="{00000000-0008-0000-0400-00006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4" name="TextBox 353">
          <a:extLst>
            <a:ext uri="{FF2B5EF4-FFF2-40B4-BE49-F238E27FC236}">
              <a16:creationId xmlns:a16="http://schemas.microsoft.com/office/drawing/2014/main" id="{00000000-0008-0000-0400-00006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38</xdr:row>
      <xdr:rowOff>76200</xdr:rowOff>
    </xdr:from>
    <xdr:ext cx="65" cy="172227"/>
    <xdr:sp macro="" textlink="">
      <xdr:nvSpPr>
        <xdr:cNvPr id="355" name="TextBox 354">
          <a:extLst>
            <a:ext uri="{FF2B5EF4-FFF2-40B4-BE49-F238E27FC236}">
              <a16:creationId xmlns:a16="http://schemas.microsoft.com/office/drawing/2014/main" id="{00000000-0008-0000-0400-000063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6" name="TextBox 355">
          <a:extLst>
            <a:ext uri="{FF2B5EF4-FFF2-40B4-BE49-F238E27FC236}">
              <a16:creationId xmlns:a16="http://schemas.microsoft.com/office/drawing/2014/main" id="{00000000-0008-0000-0400-00006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7" name="TextBox 356">
          <a:extLst>
            <a:ext uri="{FF2B5EF4-FFF2-40B4-BE49-F238E27FC236}">
              <a16:creationId xmlns:a16="http://schemas.microsoft.com/office/drawing/2014/main" id="{00000000-0008-0000-0400-00006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8" name="TextBox 357">
          <a:extLst>
            <a:ext uri="{FF2B5EF4-FFF2-40B4-BE49-F238E27FC236}">
              <a16:creationId xmlns:a16="http://schemas.microsoft.com/office/drawing/2014/main" id="{00000000-0008-0000-0400-00006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59" name="TextBox 358">
          <a:extLst>
            <a:ext uri="{FF2B5EF4-FFF2-40B4-BE49-F238E27FC236}">
              <a16:creationId xmlns:a16="http://schemas.microsoft.com/office/drawing/2014/main" id="{00000000-0008-0000-0400-00006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60" name="TextBox 359">
          <a:extLst>
            <a:ext uri="{FF2B5EF4-FFF2-40B4-BE49-F238E27FC236}">
              <a16:creationId xmlns:a16="http://schemas.microsoft.com/office/drawing/2014/main" id="{00000000-0008-0000-0400-00006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61" name="TextBox 360">
          <a:extLst>
            <a:ext uri="{FF2B5EF4-FFF2-40B4-BE49-F238E27FC236}">
              <a16:creationId xmlns:a16="http://schemas.microsoft.com/office/drawing/2014/main" id="{00000000-0008-0000-0400-000069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62" name="TextBox 361">
          <a:extLst>
            <a:ext uri="{FF2B5EF4-FFF2-40B4-BE49-F238E27FC236}">
              <a16:creationId xmlns:a16="http://schemas.microsoft.com/office/drawing/2014/main" id="{00000000-0008-0000-0400-00006A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3" name="TextBox 362">
          <a:extLst>
            <a:ext uri="{FF2B5EF4-FFF2-40B4-BE49-F238E27FC236}">
              <a16:creationId xmlns:a16="http://schemas.microsoft.com/office/drawing/2014/main" id="{00000000-0008-0000-0400-00006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4" name="TextBox 363">
          <a:extLst>
            <a:ext uri="{FF2B5EF4-FFF2-40B4-BE49-F238E27FC236}">
              <a16:creationId xmlns:a16="http://schemas.microsoft.com/office/drawing/2014/main" id="{00000000-0008-0000-0400-00006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5" name="TextBox 364">
          <a:extLst>
            <a:ext uri="{FF2B5EF4-FFF2-40B4-BE49-F238E27FC236}">
              <a16:creationId xmlns:a16="http://schemas.microsoft.com/office/drawing/2014/main" id="{00000000-0008-0000-0400-00006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6" name="TextBox 365">
          <a:extLst>
            <a:ext uri="{FF2B5EF4-FFF2-40B4-BE49-F238E27FC236}">
              <a16:creationId xmlns:a16="http://schemas.microsoft.com/office/drawing/2014/main" id="{00000000-0008-0000-0400-00006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7" name="TextBox 366">
          <a:extLst>
            <a:ext uri="{FF2B5EF4-FFF2-40B4-BE49-F238E27FC236}">
              <a16:creationId xmlns:a16="http://schemas.microsoft.com/office/drawing/2014/main" id="{00000000-0008-0000-0400-00006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39</xdr:row>
      <xdr:rowOff>76200</xdr:rowOff>
    </xdr:from>
    <xdr:ext cx="65" cy="172227"/>
    <xdr:sp macro="" textlink="">
      <xdr:nvSpPr>
        <xdr:cNvPr id="368" name="TextBox 367">
          <a:extLst>
            <a:ext uri="{FF2B5EF4-FFF2-40B4-BE49-F238E27FC236}">
              <a16:creationId xmlns:a16="http://schemas.microsoft.com/office/drawing/2014/main" id="{00000000-0008-0000-0400-000070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69" name="TextBox 368">
          <a:extLst>
            <a:ext uri="{FF2B5EF4-FFF2-40B4-BE49-F238E27FC236}">
              <a16:creationId xmlns:a16="http://schemas.microsoft.com/office/drawing/2014/main" id="{00000000-0008-0000-0400-00007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0" name="TextBox 369">
          <a:extLst>
            <a:ext uri="{FF2B5EF4-FFF2-40B4-BE49-F238E27FC236}">
              <a16:creationId xmlns:a16="http://schemas.microsoft.com/office/drawing/2014/main" id="{00000000-0008-0000-0400-00007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1" name="TextBox 370">
          <a:extLst>
            <a:ext uri="{FF2B5EF4-FFF2-40B4-BE49-F238E27FC236}">
              <a16:creationId xmlns:a16="http://schemas.microsoft.com/office/drawing/2014/main" id="{00000000-0008-0000-0400-00007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2" name="TextBox 371">
          <a:extLst>
            <a:ext uri="{FF2B5EF4-FFF2-40B4-BE49-F238E27FC236}">
              <a16:creationId xmlns:a16="http://schemas.microsoft.com/office/drawing/2014/main" id="{00000000-0008-0000-0400-00007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3" name="TextBox 372">
          <a:extLst>
            <a:ext uri="{FF2B5EF4-FFF2-40B4-BE49-F238E27FC236}">
              <a16:creationId xmlns:a16="http://schemas.microsoft.com/office/drawing/2014/main" id="{00000000-0008-0000-0400-000075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4" name="TextBox 373">
          <a:extLst>
            <a:ext uri="{FF2B5EF4-FFF2-40B4-BE49-F238E27FC236}">
              <a16:creationId xmlns:a16="http://schemas.microsoft.com/office/drawing/2014/main" id="{00000000-0008-0000-0400-000076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75" name="TextBox 374">
          <a:extLst>
            <a:ext uri="{FF2B5EF4-FFF2-40B4-BE49-F238E27FC236}">
              <a16:creationId xmlns:a16="http://schemas.microsoft.com/office/drawing/2014/main" id="{00000000-0008-0000-0400-000077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76" name="TextBox 375">
          <a:extLst>
            <a:ext uri="{FF2B5EF4-FFF2-40B4-BE49-F238E27FC236}">
              <a16:creationId xmlns:a16="http://schemas.microsoft.com/office/drawing/2014/main" id="{00000000-0008-0000-0400-00007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77" name="TextBox 376">
          <a:extLst>
            <a:ext uri="{FF2B5EF4-FFF2-40B4-BE49-F238E27FC236}">
              <a16:creationId xmlns:a16="http://schemas.microsoft.com/office/drawing/2014/main" id="{00000000-0008-0000-0400-00007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78" name="TextBox 377">
          <a:extLst>
            <a:ext uri="{FF2B5EF4-FFF2-40B4-BE49-F238E27FC236}">
              <a16:creationId xmlns:a16="http://schemas.microsoft.com/office/drawing/2014/main" id="{00000000-0008-0000-0400-00007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79" name="TextBox 378">
          <a:extLst>
            <a:ext uri="{FF2B5EF4-FFF2-40B4-BE49-F238E27FC236}">
              <a16:creationId xmlns:a16="http://schemas.microsoft.com/office/drawing/2014/main" id="{00000000-0008-0000-0400-00007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0" name="TextBox 379">
          <a:extLst>
            <a:ext uri="{FF2B5EF4-FFF2-40B4-BE49-F238E27FC236}">
              <a16:creationId xmlns:a16="http://schemas.microsoft.com/office/drawing/2014/main" id="{00000000-0008-0000-0400-00007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40</xdr:row>
      <xdr:rowOff>76200</xdr:rowOff>
    </xdr:from>
    <xdr:ext cx="65" cy="172227"/>
    <xdr:sp macro="" textlink="">
      <xdr:nvSpPr>
        <xdr:cNvPr id="381" name="TextBox 380">
          <a:extLst>
            <a:ext uri="{FF2B5EF4-FFF2-40B4-BE49-F238E27FC236}">
              <a16:creationId xmlns:a16="http://schemas.microsoft.com/office/drawing/2014/main" id="{00000000-0008-0000-0400-00007D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2" name="TextBox 381">
          <a:extLst>
            <a:ext uri="{FF2B5EF4-FFF2-40B4-BE49-F238E27FC236}">
              <a16:creationId xmlns:a16="http://schemas.microsoft.com/office/drawing/2014/main" id="{00000000-0008-0000-0400-00007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3" name="TextBox 382">
          <a:extLst>
            <a:ext uri="{FF2B5EF4-FFF2-40B4-BE49-F238E27FC236}">
              <a16:creationId xmlns:a16="http://schemas.microsoft.com/office/drawing/2014/main" id="{00000000-0008-0000-0400-00007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4" name="TextBox 383">
          <a:extLst>
            <a:ext uri="{FF2B5EF4-FFF2-40B4-BE49-F238E27FC236}">
              <a16:creationId xmlns:a16="http://schemas.microsoft.com/office/drawing/2014/main" id="{00000000-0008-0000-0400-00008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5" name="TextBox 384">
          <a:extLst>
            <a:ext uri="{FF2B5EF4-FFF2-40B4-BE49-F238E27FC236}">
              <a16:creationId xmlns:a16="http://schemas.microsoft.com/office/drawing/2014/main" id="{00000000-0008-0000-0400-00008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6" name="TextBox 385">
          <a:extLst>
            <a:ext uri="{FF2B5EF4-FFF2-40B4-BE49-F238E27FC236}">
              <a16:creationId xmlns:a16="http://schemas.microsoft.com/office/drawing/2014/main" id="{00000000-0008-0000-0400-00008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7" name="TextBox 386">
          <a:extLst>
            <a:ext uri="{FF2B5EF4-FFF2-40B4-BE49-F238E27FC236}">
              <a16:creationId xmlns:a16="http://schemas.microsoft.com/office/drawing/2014/main" id="{00000000-0008-0000-0400-000083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88" name="TextBox 387">
          <a:extLst>
            <a:ext uri="{FF2B5EF4-FFF2-40B4-BE49-F238E27FC236}">
              <a16:creationId xmlns:a16="http://schemas.microsoft.com/office/drawing/2014/main" id="{00000000-0008-0000-0400-000084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89" name="TextBox 388">
          <a:extLst>
            <a:ext uri="{FF2B5EF4-FFF2-40B4-BE49-F238E27FC236}">
              <a16:creationId xmlns:a16="http://schemas.microsoft.com/office/drawing/2014/main" id="{00000000-0008-0000-0400-00008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0" name="TextBox 389">
          <a:extLst>
            <a:ext uri="{FF2B5EF4-FFF2-40B4-BE49-F238E27FC236}">
              <a16:creationId xmlns:a16="http://schemas.microsoft.com/office/drawing/2014/main" id="{00000000-0008-0000-0400-00008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1" name="TextBox 390">
          <a:extLst>
            <a:ext uri="{FF2B5EF4-FFF2-40B4-BE49-F238E27FC236}">
              <a16:creationId xmlns:a16="http://schemas.microsoft.com/office/drawing/2014/main" id="{00000000-0008-0000-0400-00008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2" name="TextBox 391">
          <a:extLst>
            <a:ext uri="{FF2B5EF4-FFF2-40B4-BE49-F238E27FC236}">
              <a16:creationId xmlns:a16="http://schemas.microsoft.com/office/drawing/2014/main" id="{00000000-0008-0000-0400-00008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3" name="TextBox 392">
          <a:extLst>
            <a:ext uri="{FF2B5EF4-FFF2-40B4-BE49-F238E27FC236}">
              <a16:creationId xmlns:a16="http://schemas.microsoft.com/office/drawing/2014/main" id="{00000000-0008-0000-0400-00008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41</xdr:row>
      <xdr:rowOff>76200</xdr:rowOff>
    </xdr:from>
    <xdr:ext cx="65" cy="172227"/>
    <xdr:sp macro="" textlink="">
      <xdr:nvSpPr>
        <xdr:cNvPr id="394" name="TextBox 393">
          <a:extLst>
            <a:ext uri="{FF2B5EF4-FFF2-40B4-BE49-F238E27FC236}">
              <a16:creationId xmlns:a16="http://schemas.microsoft.com/office/drawing/2014/main" id="{00000000-0008-0000-0400-00008A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5" name="TextBox 394">
          <a:extLst>
            <a:ext uri="{FF2B5EF4-FFF2-40B4-BE49-F238E27FC236}">
              <a16:creationId xmlns:a16="http://schemas.microsoft.com/office/drawing/2014/main" id="{00000000-0008-0000-0400-00008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6" name="TextBox 395">
          <a:extLst>
            <a:ext uri="{FF2B5EF4-FFF2-40B4-BE49-F238E27FC236}">
              <a16:creationId xmlns:a16="http://schemas.microsoft.com/office/drawing/2014/main" id="{00000000-0008-0000-0400-00008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7" name="TextBox 396">
          <a:extLst>
            <a:ext uri="{FF2B5EF4-FFF2-40B4-BE49-F238E27FC236}">
              <a16:creationId xmlns:a16="http://schemas.microsoft.com/office/drawing/2014/main" id="{00000000-0008-0000-0400-00008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8" name="TextBox 397">
          <a:extLst>
            <a:ext uri="{FF2B5EF4-FFF2-40B4-BE49-F238E27FC236}">
              <a16:creationId xmlns:a16="http://schemas.microsoft.com/office/drawing/2014/main" id="{00000000-0008-0000-0400-00008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399" name="TextBox 398">
          <a:extLst>
            <a:ext uri="{FF2B5EF4-FFF2-40B4-BE49-F238E27FC236}">
              <a16:creationId xmlns:a16="http://schemas.microsoft.com/office/drawing/2014/main" id="{00000000-0008-0000-0400-00008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400" name="TextBox 399">
          <a:extLst>
            <a:ext uri="{FF2B5EF4-FFF2-40B4-BE49-F238E27FC236}">
              <a16:creationId xmlns:a16="http://schemas.microsoft.com/office/drawing/2014/main" id="{00000000-0008-0000-0400-000090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401" name="TextBox 400">
          <a:extLst>
            <a:ext uri="{FF2B5EF4-FFF2-40B4-BE49-F238E27FC236}">
              <a16:creationId xmlns:a16="http://schemas.microsoft.com/office/drawing/2014/main" id="{00000000-0008-0000-0400-000091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2" name="TextBox 401">
          <a:extLst>
            <a:ext uri="{FF2B5EF4-FFF2-40B4-BE49-F238E27FC236}">
              <a16:creationId xmlns:a16="http://schemas.microsoft.com/office/drawing/2014/main" id="{00000000-0008-0000-0400-00009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3" name="TextBox 402">
          <a:extLst>
            <a:ext uri="{FF2B5EF4-FFF2-40B4-BE49-F238E27FC236}">
              <a16:creationId xmlns:a16="http://schemas.microsoft.com/office/drawing/2014/main" id="{00000000-0008-0000-0400-00009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4" name="TextBox 403">
          <a:extLst>
            <a:ext uri="{FF2B5EF4-FFF2-40B4-BE49-F238E27FC236}">
              <a16:creationId xmlns:a16="http://schemas.microsoft.com/office/drawing/2014/main" id="{00000000-0008-0000-0400-00009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5" name="TextBox 404">
          <a:extLst>
            <a:ext uri="{FF2B5EF4-FFF2-40B4-BE49-F238E27FC236}">
              <a16:creationId xmlns:a16="http://schemas.microsoft.com/office/drawing/2014/main" id="{00000000-0008-0000-0400-00009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6" name="TextBox 405">
          <a:extLst>
            <a:ext uri="{FF2B5EF4-FFF2-40B4-BE49-F238E27FC236}">
              <a16:creationId xmlns:a16="http://schemas.microsoft.com/office/drawing/2014/main" id="{00000000-0008-0000-0400-00009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42</xdr:row>
      <xdr:rowOff>76200</xdr:rowOff>
    </xdr:from>
    <xdr:ext cx="65" cy="172227"/>
    <xdr:sp macro="" textlink="">
      <xdr:nvSpPr>
        <xdr:cNvPr id="407" name="TextBox 406">
          <a:extLst>
            <a:ext uri="{FF2B5EF4-FFF2-40B4-BE49-F238E27FC236}">
              <a16:creationId xmlns:a16="http://schemas.microsoft.com/office/drawing/2014/main" id="{00000000-0008-0000-0400-000097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8" name="TextBox 407">
          <a:extLst>
            <a:ext uri="{FF2B5EF4-FFF2-40B4-BE49-F238E27FC236}">
              <a16:creationId xmlns:a16="http://schemas.microsoft.com/office/drawing/2014/main" id="{00000000-0008-0000-0400-00009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09" name="TextBox 408">
          <a:extLst>
            <a:ext uri="{FF2B5EF4-FFF2-40B4-BE49-F238E27FC236}">
              <a16:creationId xmlns:a16="http://schemas.microsoft.com/office/drawing/2014/main" id="{00000000-0008-0000-0400-00009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10" name="TextBox 409">
          <a:extLst>
            <a:ext uri="{FF2B5EF4-FFF2-40B4-BE49-F238E27FC236}">
              <a16:creationId xmlns:a16="http://schemas.microsoft.com/office/drawing/2014/main" id="{00000000-0008-0000-0400-00009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11" name="TextBox 410">
          <a:extLst>
            <a:ext uri="{FF2B5EF4-FFF2-40B4-BE49-F238E27FC236}">
              <a16:creationId xmlns:a16="http://schemas.microsoft.com/office/drawing/2014/main" id="{00000000-0008-0000-0400-00009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12" name="TextBox 411">
          <a:extLst>
            <a:ext uri="{FF2B5EF4-FFF2-40B4-BE49-F238E27FC236}">
              <a16:creationId xmlns:a16="http://schemas.microsoft.com/office/drawing/2014/main" id="{00000000-0008-0000-0400-00009C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13" name="TextBox 412">
          <a:extLst>
            <a:ext uri="{FF2B5EF4-FFF2-40B4-BE49-F238E27FC236}">
              <a16:creationId xmlns:a16="http://schemas.microsoft.com/office/drawing/2014/main" id="{00000000-0008-0000-0400-00009D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14" name="TextBox 413">
          <a:extLst>
            <a:ext uri="{FF2B5EF4-FFF2-40B4-BE49-F238E27FC236}">
              <a16:creationId xmlns:a16="http://schemas.microsoft.com/office/drawing/2014/main" id="{00000000-0008-0000-0400-00009E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15" name="TextBox 414">
          <a:extLst>
            <a:ext uri="{FF2B5EF4-FFF2-40B4-BE49-F238E27FC236}">
              <a16:creationId xmlns:a16="http://schemas.microsoft.com/office/drawing/2014/main" id="{00000000-0008-0000-0400-00009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16" name="TextBox 415">
          <a:extLst>
            <a:ext uri="{FF2B5EF4-FFF2-40B4-BE49-F238E27FC236}">
              <a16:creationId xmlns:a16="http://schemas.microsoft.com/office/drawing/2014/main" id="{00000000-0008-0000-0400-0000A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17" name="TextBox 416">
          <a:extLst>
            <a:ext uri="{FF2B5EF4-FFF2-40B4-BE49-F238E27FC236}">
              <a16:creationId xmlns:a16="http://schemas.microsoft.com/office/drawing/2014/main" id="{00000000-0008-0000-0400-0000A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18" name="TextBox 417">
          <a:extLst>
            <a:ext uri="{FF2B5EF4-FFF2-40B4-BE49-F238E27FC236}">
              <a16:creationId xmlns:a16="http://schemas.microsoft.com/office/drawing/2014/main" id="{00000000-0008-0000-0400-0000A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19" name="TextBox 418">
          <a:extLst>
            <a:ext uri="{FF2B5EF4-FFF2-40B4-BE49-F238E27FC236}">
              <a16:creationId xmlns:a16="http://schemas.microsoft.com/office/drawing/2014/main" id="{00000000-0008-0000-0400-0000A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43</xdr:row>
      <xdr:rowOff>76200</xdr:rowOff>
    </xdr:from>
    <xdr:ext cx="65" cy="172227"/>
    <xdr:sp macro="" textlink="">
      <xdr:nvSpPr>
        <xdr:cNvPr id="420" name="TextBox 419">
          <a:extLst>
            <a:ext uri="{FF2B5EF4-FFF2-40B4-BE49-F238E27FC236}">
              <a16:creationId xmlns:a16="http://schemas.microsoft.com/office/drawing/2014/main" id="{00000000-0008-0000-0400-0000A4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1" name="TextBox 420">
          <a:extLst>
            <a:ext uri="{FF2B5EF4-FFF2-40B4-BE49-F238E27FC236}">
              <a16:creationId xmlns:a16="http://schemas.microsoft.com/office/drawing/2014/main" id="{00000000-0008-0000-0400-0000A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2" name="TextBox 421">
          <a:extLst>
            <a:ext uri="{FF2B5EF4-FFF2-40B4-BE49-F238E27FC236}">
              <a16:creationId xmlns:a16="http://schemas.microsoft.com/office/drawing/2014/main" id="{00000000-0008-0000-0400-0000A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3" name="TextBox 422">
          <a:extLst>
            <a:ext uri="{FF2B5EF4-FFF2-40B4-BE49-F238E27FC236}">
              <a16:creationId xmlns:a16="http://schemas.microsoft.com/office/drawing/2014/main" id="{00000000-0008-0000-0400-0000A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4" name="TextBox 423">
          <a:extLst>
            <a:ext uri="{FF2B5EF4-FFF2-40B4-BE49-F238E27FC236}">
              <a16:creationId xmlns:a16="http://schemas.microsoft.com/office/drawing/2014/main" id="{00000000-0008-0000-0400-0000A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5" name="TextBox 424">
          <a:extLst>
            <a:ext uri="{FF2B5EF4-FFF2-40B4-BE49-F238E27FC236}">
              <a16:creationId xmlns:a16="http://schemas.microsoft.com/office/drawing/2014/main" id="{00000000-0008-0000-0400-0000A9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6" name="TextBox 425">
          <a:extLst>
            <a:ext uri="{FF2B5EF4-FFF2-40B4-BE49-F238E27FC236}">
              <a16:creationId xmlns:a16="http://schemas.microsoft.com/office/drawing/2014/main" id="{00000000-0008-0000-0400-0000AA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27" name="TextBox 426">
          <a:extLst>
            <a:ext uri="{FF2B5EF4-FFF2-40B4-BE49-F238E27FC236}">
              <a16:creationId xmlns:a16="http://schemas.microsoft.com/office/drawing/2014/main" id="{00000000-0008-0000-0400-0000AB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28" name="TextBox 427">
          <a:extLst>
            <a:ext uri="{FF2B5EF4-FFF2-40B4-BE49-F238E27FC236}">
              <a16:creationId xmlns:a16="http://schemas.microsoft.com/office/drawing/2014/main" id="{00000000-0008-0000-0400-0000A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29" name="TextBox 428">
          <a:extLst>
            <a:ext uri="{FF2B5EF4-FFF2-40B4-BE49-F238E27FC236}">
              <a16:creationId xmlns:a16="http://schemas.microsoft.com/office/drawing/2014/main" id="{00000000-0008-0000-0400-0000A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0" name="TextBox 429">
          <a:extLst>
            <a:ext uri="{FF2B5EF4-FFF2-40B4-BE49-F238E27FC236}">
              <a16:creationId xmlns:a16="http://schemas.microsoft.com/office/drawing/2014/main" id="{00000000-0008-0000-0400-0000A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1" name="TextBox 430">
          <a:extLst>
            <a:ext uri="{FF2B5EF4-FFF2-40B4-BE49-F238E27FC236}">
              <a16:creationId xmlns:a16="http://schemas.microsoft.com/office/drawing/2014/main" id="{00000000-0008-0000-0400-0000A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2" name="TextBox 431">
          <a:extLst>
            <a:ext uri="{FF2B5EF4-FFF2-40B4-BE49-F238E27FC236}">
              <a16:creationId xmlns:a16="http://schemas.microsoft.com/office/drawing/2014/main" id="{00000000-0008-0000-0400-0000B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44</xdr:row>
      <xdr:rowOff>76200</xdr:rowOff>
    </xdr:from>
    <xdr:ext cx="65" cy="172227"/>
    <xdr:sp macro="" textlink="">
      <xdr:nvSpPr>
        <xdr:cNvPr id="433" name="TextBox 432">
          <a:extLst>
            <a:ext uri="{FF2B5EF4-FFF2-40B4-BE49-F238E27FC236}">
              <a16:creationId xmlns:a16="http://schemas.microsoft.com/office/drawing/2014/main" id="{00000000-0008-0000-0400-0000B1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4" name="TextBox 433">
          <a:extLst>
            <a:ext uri="{FF2B5EF4-FFF2-40B4-BE49-F238E27FC236}">
              <a16:creationId xmlns:a16="http://schemas.microsoft.com/office/drawing/2014/main" id="{00000000-0008-0000-0400-0000B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5" name="TextBox 434">
          <a:extLst>
            <a:ext uri="{FF2B5EF4-FFF2-40B4-BE49-F238E27FC236}">
              <a16:creationId xmlns:a16="http://schemas.microsoft.com/office/drawing/2014/main" id="{00000000-0008-0000-0400-0000B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6" name="TextBox 435">
          <a:extLst>
            <a:ext uri="{FF2B5EF4-FFF2-40B4-BE49-F238E27FC236}">
              <a16:creationId xmlns:a16="http://schemas.microsoft.com/office/drawing/2014/main" id="{00000000-0008-0000-0400-0000B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7" name="TextBox 436">
          <a:extLst>
            <a:ext uri="{FF2B5EF4-FFF2-40B4-BE49-F238E27FC236}">
              <a16:creationId xmlns:a16="http://schemas.microsoft.com/office/drawing/2014/main" id="{00000000-0008-0000-0400-0000B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8" name="TextBox 437">
          <a:extLst>
            <a:ext uri="{FF2B5EF4-FFF2-40B4-BE49-F238E27FC236}">
              <a16:creationId xmlns:a16="http://schemas.microsoft.com/office/drawing/2014/main" id="{00000000-0008-0000-0400-0000B6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39" name="TextBox 438">
          <a:extLst>
            <a:ext uri="{FF2B5EF4-FFF2-40B4-BE49-F238E27FC236}">
              <a16:creationId xmlns:a16="http://schemas.microsoft.com/office/drawing/2014/main" id="{00000000-0008-0000-0400-0000B7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40" name="TextBox 439">
          <a:extLst>
            <a:ext uri="{FF2B5EF4-FFF2-40B4-BE49-F238E27FC236}">
              <a16:creationId xmlns:a16="http://schemas.microsoft.com/office/drawing/2014/main" id="{00000000-0008-0000-0400-0000B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1" name="TextBox 440">
          <a:extLst>
            <a:ext uri="{FF2B5EF4-FFF2-40B4-BE49-F238E27FC236}">
              <a16:creationId xmlns:a16="http://schemas.microsoft.com/office/drawing/2014/main" id="{00000000-0008-0000-0400-0000B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2" name="TextBox 441">
          <a:extLst>
            <a:ext uri="{FF2B5EF4-FFF2-40B4-BE49-F238E27FC236}">
              <a16:creationId xmlns:a16="http://schemas.microsoft.com/office/drawing/2014/main" id="{00000000-0008-0000-0400-0000B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3" name="TextBox 442">
          <a:extLst>
            <a:ext uri="{FF2B5EF4-FFF2-40B4-BE49-F238E27FC236}">
              <a16:creationId xmlns:a16="http://schemas.microsoft.com/office/drawing/2014/main" id="{00000000-0008-0000-0400-0000B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4" name="TextBox 443">
          <a:extLst>
            <a:ext uri="{FF2B5EF4-FFF2-40B4-BE49-F238E27FC236}">
              <a16:creationId xmlns:a16="http://schemas.microsoft.com/office/drawing/2014/main" id="{00000000-0008-0000-0400-0000B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5" name="TextBox 444">
          <a:extLst>
            <a:ext uri="{FF2B5EF4-FFF2-40B4-BE49-F238E27FC236}">
              <a16:creationId xmlns:a16="http://schemas.microsoft.com/office/drawing/2014/main" id="{00000000-0008-0000-0400-0000B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45</xdr:row>
      <xdr:rowOff>76200</xdr:rowOff>
    </xdr:from>
    <xdr:ext cx="65" cy="172227"/>
    <xdr:sp macro="" textlink="">
      <xdr:nvSpPr>
        <xdr:cNvPr id="446" name="TextBox 445">
          <a:extLst>
            <a:ext uri="{FF2B5EF4-FFF2-40B4-BE49-F238E27FC236}">
              <a16:creationId xmlns:a16="http://schemas.microsoft.com/office/drawing/2014/main" id="{00000000-0008-0000-0400-0000BE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7" name="TextBox 446">
          <a:extLst>
            <a:ext uri="{FF2B5EF4-FFF2-40B4-BE49-F238E27FC236}">
              <a16:creationId xmlns:a16="http://schemas.microsoft.com/office/drawing/2014/main" id="{00000000-0008-0000-0400-0000B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8" name="TextBox 447">
          <a:extLst>
            <a:ext uri="{FF2B5EF4-FFF2-40B4-BE49-F238E27FC236}">
              <a16:creationId xmlns:a16="http://schemas.microsoft.com/office/drawing/2014/main" id="{00000000-0008-0000-0400-0000C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49" name="TextBox 448">
          <a:extLst>
            <a:ext uri="{FF2B5EF4-FFF2-40B4-BE49-F238E27FC236}">
              <a16:creationId xmlns:a16="http://schemas.microsoft.com/office/drawing/2014/main" id="{00000000-0008-0000-0400-0000C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50" name="TextBox 449">
          <a:extLst>
            <a:ext uri="{FF2B5EF4-FFF2-40B4-BE49-F238E27FC236}">
              <a16:creationId xmlns:a16="http://schemas.microsoft.com/office/drawing/2014/main" id="{00000000-0008-0000-0400-0000C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51" name="TextBox 450">
          <a:extLst>
            <a:ext uri="{FF2B5EF4-FFF2-40B4-BE49-F238E27FC236}">
              <a16:creationId xmlns:a16="http://schemas.microsoft.com/office/drawing/2014/main" id="{00000000-0008-0000-0400-0000C3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52" name="TextBox 451">
          <a:extLst>
            <a:ext uri="{FF2B5EF4-FFF2-40B4-BE49-F238E27FC236}">
              <a16:creationId xmlns:a16="http://schemas.microsoft.com/office/drawing/2014/main" id="{00000000-0008-0000-0400-0000C4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53" name="TextBox 452">
          <a:extLst>
            <a:ext uri="{FF2B5EF4-FFF2-40B4-BE49-F238E27FC236}">
              <a16:creationId xmlns:a16="http://schemas.microsoft.com/office/drawing/2014/main" id="{00000000-0008-0000-0400-0000C5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54" name="TextBox 453">
          <a:extLst>
            <a:ext uri="{FF2B5EF4-FFF2-40B4-BE49-F238E27FC236}">
              <a16:creationId xmlns:a16="http://schemas.microsoft.com/office/drawing/2014/main" id="{00000000-0008-0000-0400-0000C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55" name="TextBox 454">
          <a:extLst>
            <a:ext uri="{FF2B5EF4-FFF2-40B4-BE49-F238E27FC236}">
              <a16:creationId xmlns:a16="http://schemas.microsoft.com/office/drawing/2014/main" id="{00000000-0008-0000-0400-0000C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56" name="TextBox 455">
          <a:extLst>
            <a:ext uri="{FF2B5EF4-FFF2-40B4-BE49-F238E27FC236}">
              <a16:creationId xmlns:a16="http://schemas.microsoft.com/office/drawing/2014/main" id="{00000000-0008-0000-0400-0000C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57" name="TextBox 456">
          <a:extLst>
            <a:ext uri="{FF2B5EF4-FFF2-40B4-BE49-F238E27FC236}">
              <a16:creationId xmlns:a16="http://schemas.microsoft.com/office/drawing/2014/main" id="{00000000-0008-0000-0400-0000C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58" name="TextBox 457">
          <a:extLst>
            <a:ext uri="{FF2B5EF4-FFF2-40B4-BE49-F238E27FC236}">
              <a16:creationId xmlns:a16="http://schemas.microsoft.com/office/drawing/2014/main" id="{00000000-0008-0000-0400-0000C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46</xdr:row>
      <xdr:rowOff>76200</xdr:rowOff>
    </xdr:from>
    <xdr:ext cx="65" cy="172227"/>
    <xdr:sp macro="" textlink="">
      <xdr:nvSpPr>
        <xdr:cNvPr id="459" name="TextBox 458">
          <a:extLst>
            <a:ext uri="{FF2B5EF4-FFF2-40B4-BE49-F238E27FC236}">
              <a16:creationId xmlns:a16="http://schemas.microsoft.com/office/drawing/2014/main" id="{00000000-0008-0000-0400-0000CB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0" name="TextBox 459">
          <a:extLst>
            <a:ext uri="{FF2B5EF4-FFF2-40B4-BE49-F238E27FC236}">
              <a16:creationId xmlns:a16="http://schemas.microsoft.com/office/drawing/2014/main" id="{00000000-0008-0000-0400-0000C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1" name="TextBox 460">
          <a:extLst>
            <a:ext uri="{FF2B5EF4-FFF2-40B4-BE49-F238E27FC236}">
              <a16:creationId xmlns:a16="http://schemas.microsoft.com/office/drawing/2014/main" id="{00000000-0008-0000-0400-0000C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2" name="TextBox 461">
          <a:extLst>
            <a:ext uri="{FF2B5EF4-FFF2-40B4-BE49-F238E27FC236}">
              <a16:creationId xmlns:a16="http://schemas.microsoft.com/office/drawing/2014/main" id="{00000000-0008-0000-0400-0000C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3" name="TextBox 462">
          <a:extLst>
            <a:ext uri="{FF2B5EF4-FFF2-40B4-BE49-F238E27FC236}">
              <a16:creationId xmlns:a16="http://schemas.microsoft.com/office/drawing/2014/main" id="{00000000-0008-0000-0400-0000C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4" name="TextBox 463">
          <a:extLst>
            <a:ext uri="{FF2B5EF4-FFF2-40B4-BE49-F238E27FC236}">
              <a16:creationId xmlns:a16="http://schemas.microsoft.com/office/drawing/2014/main" id="{00000000-0008-0000-0400-0000D0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5" name="TextBox 464">
          <a:extLst>
            <a:ext uri="{FF2B5EF4-FFF2-40B4-BE49-F238E27FC236}">
              <a16:creationId xmlns:a16="http://schemas.microsoft.com/office/drawing/2014/main" id="{00000000-0008-0000-0400-0000D1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66" name="TextBox 465">
          <a:extLst>
            <a:ext uri="{FF2B5EF4-FFF2-40B4-BE49-F238E27FC236}">
              <a16:creationId xmlns:a16="http://schemas.microsoft.com/office/drawing/2014/main" id="{00000000-0008-0000-0400-0000D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67" name="TextBox 466">
          <a:extLst>
            <a:ext uri="{FF2B5EF4-FFF2-40B4-BE49-F238E27FC236}">
              <a16:creationId xmlns:a16="http://schemas.microsoft.com/office/drawing/2014/main" id="{00000000-0008-0000-0400-0000D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68" name="TextBox 467">
          <a:extLst>
            <a:ext uri="{FF2B5EF4-FFF2-40B4-BE49-F238E27FC236}">
              <a16:creationId xmlns:a16="http://schemas.microsoft.com/office/drawing/2014/main" id="{00000000-0008-0000-0400-0000D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69" name="TextBox 468">
          <a:extLst>
            <a:ext uri="{FF2B5EF4-FFF2-40B4-BE49-F238E27FC236}">
              <a16:creationId xmlns:a16="http://schemas.microsoft.com/office/drawing/2014/main" id="{00000000-0008-0000-0400-0000D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0" name="TextBox 469">
          <a:extLst>
            <a:ext uri="{FF2B5EF4-FFF2-40B4-BE49-F238E27FC236}">
              <a16:creationId xmlns:a16="http://schemas.microsoft.com/office/drawing/2014/main" id="{00000000-0008-0000-0400-0000D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1" name="TextBox 470">
          <a:extLst>
            <a:ext uri="{FF2B5EF4-FFF2-40B4-BE49-F238E27FC236}">
              <a16:creationId xmlns:a16="http://schemas.microsoft.com/office/drawing/2014/main" id="{00000000-0008-0000-0400-0000D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47</xdr:row>
      <xdr:rowOff>76200</xdr:rowOff>
    </xdr:from>
    <xdr:ext cx="65" cy="172227"/>
    <xdr:sp macro="" textlink="">
      <xdr:nvSpPr>
        <xdr:cNvPr id="472" name="TextBox 471">
          <a:extLst>
            <a:ext uri="{FF2B5EF4-FFF2-40B4-BE49-F238E27FC236}">
              <a16:creationId xmlns:a16="http://schemas.microsoft.com/office/drawing/2014/main" id="{00000000-0008-0000-0400-0000D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3" name="TextBox 472">
          <a:extLst>
            <a:ext uri="{FF2B5EF4-FFF2-40B4-BE49-F238E27FC236}">
              <a16:creationId xmlns:a16="http://schemas.microsoft.com/office/drawing/2014/main" id="{00000000-0008-0000-0400-0000D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4" name="TextBox 473">
          <a:extLst>
            <a:ext uri="{FF2B5EF4-FFF2-40B4-BE49-F238E27FC236}">
              <a16:creationId xmlns:a16="http://schemas.microsoft.com/office/drawing/2014/main" id="{00000000-0008-0000-0400-0000D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5" name="TextBox 474">
          <a:extLst>
            <a:ext uri="{FF2B5EF4-FFF2-40B4-BE49-F238E27FC236}">
              <a16:creationId xmlns:a16="http://schemas.microsoft.com/office/drawing/2014/main" id="{00000000-0008-0000-0400-0000D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6" name="TextBox 475">
          <a:extLst>
            <a:ext uri="{FF2B5EF4-FFF2-40B4-BE49-F238E27FC236}">
              <a16:creationId xmlns:a16="http://schemas.microsoft.com/office/drawing/2014/main" id="{00000000-0008-0000-0400-0000D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7" name="TextBox 476">
          <a:extLst>
            <a:ext uri="{FF2B5EF4-FFF2-40B4-BE49-F238E27FC236}">
              <a16:creationId xmlns:a16="http://schemas.microsoft.com/office/drawing/2014/main" id="{00000000-0008-0000-0400-0000DD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8" name="TextBox 477">
          <a:extLst>
            <a:ext uri="{FF2B5EF4-FFF2-40B4-BE49-F238E27FC236}">
              <a16:creationId xmlns:a16="http://schemas.microsoft.com/office/drawing/2014/main" id="{00000000-0008-0000-0400-0000DE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79" name="TextBox 478">
          <a:extLst>
            <a:ext uri="{FF2B5EF4-FFF2-40B4-BE49-F238E27FC236}">
              <a16:creationId xmlns:a16="http://schemas.microsoft.com/office/drawing/2014/main" id="{00000000-0008-0000-0400-0000D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0" name="TextBox 479">
          <a:extLst>
            <a:ext uri="{FF2B5EF4-FFF2-40B4-BE49-F238E27FC236}">
              <a16:creationId xmlns:a16="http://schemas.microsoft.com/office/drawing/2014/main" id="{00000000-0008-0000-0400-0000E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1" name="TextBox 480">
          <a:extLst>
            <a:ext uri="{FF2B5EF4-FFF2-40B4-BE49-F238E27FC236}">
              <a16:creationId xmlns:a16="http://schemas.microsoft.com/office/drawing/2014/main" id="{00000000-0008-0000-0400-0000E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2" name="TextBox 481">
          <a:extLst>
            <a:ext uri="{FF2B5EF4-FFF2-40B4-BE49-F238E27FC236}">
              <a16:creationId xmlns:a16="http://schemas.microsoft.com/office/drawing/2014/main" id="{00000000-0008-0000-0400-0000E2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3" name="TextBox 482">
          <a:extLst>
            <a:ext uri="{FF2B5EF4-FFF2-40B4-BE49-F238E27FC236}">
              <a16:creationId xmlns:a16="http://schemas.microsoft.com/office/drawing/2014/main" id="{00000000-0008-0000-0400-0000E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4" name="TextBox 483">
          <a:extLst>
            <a:ext uri="{FF2B5EF4-FFF2-40B4-BE49-F238E27FC236}">
              <a16:creationId xmlns:a16="http://schemas.microsoft.com/office/drawing/2014/main" id="{00000000-0008-0000-0400-0000E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48</xdr:row>
      <xdr:rowOff>76200</xdr:rowOff>
    </xdr:from>
    <xdr:ext cx="65" cy="172227"/>
    <xdr:sp macro="" textlink="">
      <xdr:nvSpPr>
        <xdr:cNvPr id="485" name="TextBox 484">
          <a:extLst>
            <a:ext uri="{FF2B5EF4-FFF2-40B4-BE49-F238E27FC236}">
              <a16:creationId xmlns:a16="http://schemas.microsoft.com/office/drawing/2014/main" id="{00000000-0008-0000-0400-0000E5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6" name="TextBox 485">
          <a:extLst>
            <a:ext uri="{FF2B5EF4-FFF2-40B4-BE49-F238E27FC236}">
              <a16:creationId xmlns:a16="http://schemas.microsoft.com/office/drawing/2014/main" id="{00000000-0008-0000-0400-0000E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7" name="TextBox 486">
          <a:extLst>
            <a:ext uri="{FF2B5EF4-FFF2-40B4-BE49-F238E27FC236}">
              <a16:creationId xmlns:a16="http://schemas.microsoft.com/office/drawing/2014/main" id="{00000000-0008-0000-0400-0000E7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8" name="TextBox 487">
          <a:extLst>
            <a:ext uri="{FF2B5EF4-FFF2-40B4-BE49-F238E27FC236}">
              <a16:creationId xmlns:a16="http://schemas.microsoft.com/office/drawing/2014/main" id="{00000000-0008-0000-0400-0000E8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89" name="TextBox 488">
          <a:extLst>
            <a:ext uri="{FF2B5EF4-FFF2-40B4-BE49-F238E27FC236}">
              <a16:creationId xmlns:a16="http://schemas.microsoft.com/office/drawing/2014/main" id="{00000000-0008-0000-0400-0000E9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90" name="TextBox 489">
          <a:extLst>
            <a:ext uri="{FF2B5EF4-FFF2-40B4-BE49-F238E27FC236}">
              <a16:creationId xmlns:a16="http://schemas.microsoft.com/office/drawing/2014/main" id="{00000000-0008-0000-0400-0000EA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91" name="TextBox 490">
          <a:extLst>
            <a:ext uri="{FF2B5EF4-FFF2-40B4-BE49-F238E27FC236}">
              <a16:creationId xmlns:a16="http://schemas.microsoft.com/office/drawing/2014/main" id="{00000000-0008-0000-0400-0000EB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92" name="TextBox 491">
          <a:extLst>
            <a:ext uri="{FF2B5EF4-FFF2-40B4-BE49-F238E27FC236}">
              <a16:creationId xmlns:a16="http://schemas.microsoft.com/office/drawing/2014/main" id="{00000000-0008-0000-0400-0000EC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3" name="TextBox 492">
          <a:extLst>
            <a:ext uri="{FF2B5EF4-FFF2-40B4-BE49-F238E27FC236}">
              <a16:creationId xmlns:a16="http://schemas.microsoft.com/office/drawing/2014/main" id="{00000000-0008-0000-0400-0000E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4" name="TextBox 493">
          <a:extLst>
            <a:ext uri="{FF2B5EF4-FFF2-40B4-BE49-F238E27FC236}">
              <a16:creationId xmlns:a16="http://schemas.microsoft.com/office/drawing/2014/main" id="{00000000-0008-0000-0400-0000E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5" name="TextBox 494">
          <a:extLst>
            <a:ext uri="{FF2B5EF4-FFF2-40B4-BE49-F238E27FC236}">
              <a16:creationId xmlns:a16="http://schemas.microsoft.com/office/drawing/2014/main" id="{00000000-0008-0000-0400-0000EF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6" name="TextBox 495">
          <a:extLst>
            <a:ext uri="{FF2B5EF4-FFF2-40B4-BE49-F238E27FC236}">
              <a16:creationId xmlns:a16="http://schemas.microsoft.com/office/drawing/2014/main" id="{00000000-0008-0000-0400-0000F0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7" name="TextBox 496">
          <a:extLst>
            <a:ext uri="{FF2B5EF4-FFF2-40B4-BE49-F238E27FC236}">
              <a16:creationId xmlns:a16="http://schemas.microsoft.com/office/drawing/2014/main" id="{00000000-0008-0000-0400-0000F1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49</xdr:row>
      <xdr:rowOff>76200</xdr:rowOff>
    </xdr:from>
    <xdr:ext cx="65" cy="172227"/>
    <xdr:sp macro="" textlink="">
      <xdr:nvSpPr>
        <xdr:cNvPr id="498" name="TextBox 497">
          <a:extLst>
            <a:ext uri="{FF2B5EF4-FFF2-40B4-BE49-F238E27FC236}">
              <a16:creationId xmlns:a16="http://schemas.microsoft.com/office/drawing/2014/main" id="{00000000-0008-0000-0400-0000F2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499" name="TextBox 498">
          <a:extLst>
            <a:ext uri="{FF2B5EF4-FFF2-40B4-BE49-F238E27FC236}">
              <a16:creationId xmlns:a16="http://schemas.microsoft.com/office/drawing/2014/main" id="{00000000-0008-0000-0400-0000F3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0" name="TextBox 499">
          <a:extLst>
            <a:ext uri="{FF2B5EF4-FFF2-40B4-BE49-F238E27FC236}">
              <a16:creationId xmlns:a16="http://schemas.microsoft.com/office/drawing/2014/main" id="{00000000-0008-0000-0400-0000F4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1" name="TextBox 500">
          <a:extLst>
            <a:ext uri="{FF2B5EF4-FFF2-40B4-BE49-F238E27FC236}">
              <a16:creationId xmlns:a16="http://schemas.microsoft.com/office/drawing/2014/main" id="{00000000-0008-0000-0400-0000F5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2" name="TextBox 501">
          <a:extLst>
            <a:ext uri="{FF2B5EF4-FFF2-40B4-BE49-F238E27FC236}">
              <a16:creationId xmlns:a16="http://schemas.microsoft.com/office/drawing/2014/main" id="{00000000-0008-0000-0400-0000F6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3" name="TextBox 502">
          <a:extLst>
            <a:ext uri="{FF2B5EF4-FFF2-40B4-BE49-F238E27FC236}">
              <a16:creationId xmlns:a16="http://schemas.microsoft.com/office/drawing/2014/main" id="{00000000-0008-0000-0400-0000F7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4" name="TextBox 503">
          <a:extLst>
            <a:ext uri="{FF2B5EF4-FFF2-40B4-BE49-F238E27FC236}">
              <a16:creationId xmlns:a16="http://schemas.microsoft.com/office/drawing/2014/main" id="{00000000-0008-0000-0400-0000F8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05" name="TextBox 504">
          <a:extLst>
            <a:ext uri="{FF2B5EF4-FFF2-40B4-BE49-F238E27FC236}">
              <a16:creationId xmlns:a16="http://schemas.microsoft.com/office/drawing/2014/main" id="{00000000-0008-0000-0400-0000F9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06" name="TextBox 505">
          <a:extLst>
            <a:ext uri="{FF2B5EF4-FFF2-40B4-BE49-F238E27FC236}">
              <a16:creationId xmlns:a16="http://schemas.microsoft.com/office/drawing/2014/main" id="{00000000-0008-0000-0400-0000FA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07" name="TextBox 506">
          <a:extLst>
            <a:ext uri="{FF2B5EF4-FFF2-40B4-BE49-F238E27FC236}">
              <a16:creationId xmlns:a16="http://schemas.microsoft.com/office/drawing/2014/main" id="{00000000-0008-0000-0400-0000FB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08" name="TextBox 507">
          <a:extLst>
            <a:ext uri="{FF2B5EF4-FFF2-40B4-BE49-F238E27FC236}">
              <a16:creationId xmlns:a16="http://schemas.microsoft.com/office/drawing/2014/main" id="{00000000-0008-0000-0400-0000FC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09" name="TextBox 508">
          <a:extLst>
            <a:ext uri="{FF2B5EF4-FFF2-40B4-BE49-F238E27FC236}">
              <a16:creationId xmlns:a16="http://schemas.microsoft.com/office/drawing/2014/main" id="{00000000-0008-0000-0400-0000FD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0" name="TextBox 509">
          <a:extLst>
            <a:ext uri="{FF2B5EF4-FFF2-40B4-BE49-F238E27FC236}">
              <a16:creationId xmlns:a16="http://schemas.microsoft.com/office/drawing/2014/main" id="{00000000-0008-0000-0400-0000FE01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50</xdr:row>
      <xdr:rowOff>76200</xdr:rowOff>
    </xdr:from>
    <xdr:ext cx="65" cy="172227"/>
    <xdr:sp macro="" textlink="">
      <xdr:nvSpPr>
        <xdr:cNvPr id="511" name="TextBox 510">
          <a:extLst>
            <a:ext uri="{FF2B5EF4-FFF2-40B4-BE49-F238E27FC236}">
              <a16:creationId xmlns:a16="http://schemas.microsoft.com/office/drawing/2014/main" id="{00000000-0008-0000-0400-0000FF01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2" name="TextBox 511">
          <a:extLst>
            <a:ext uri="{FF2B5EF4-FFF2-40B4-BE49-F238E27FC236}">
              <a16:creationId xmlns:a16="http://schemas.microsoft.com/office/drawing/2014/main" id="{00000000-0008-0000-0400-00000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3" name="TextBox 512">
          <a:extLst>
            <a:ext uri="{FF2B5EF4-FFF2-40B4-BE49-F238E27FC236}">
              <a16:creationId xmlns:a16="http://schemas.microsoft.com/office/drawing/2014/main" id="{00000000-0008-0000-0400-00000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4" name="TextBox 513">
          <a:extLst>
            <a:ext uri="{FF2B5EF4-FFF2-40B4-BE49-F238E27FC236}">
              <a16:creationId xmlns:a16="http://schemas.microsoft.com/office/drawing/2014/main" id="{00000000-0008-0000-0400-00000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5" name="TextBox 514">
          <a:extLst>
            <a:ext uri="{FF2B5EF4-FFF2-40B4-BE49-F238E27FC236}">
              <a16:creationId xmlns:a16="http://schemas.microsoft.com/office/drawing/2014/main" id="{00000000-0008-0000-0400-00000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6" name="TextBox 515">
          <a:extLst>
            <a:ext uri="{FF2B5EF4-FFF2-40B4-BE49-F238E27FC236}">
              <a16:creationId xmlns:a16="http://schemas.microsoft.com/office/drawing/2014/main" id="{00000000-0008-0000-0400-000004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7" name="TextBox 516">
          <a:extLst>
            <a:ext uri="{FF2B5EF4-FFF2-40B4-BE49-F238E27FC236}">
              <a16:creationId xmlns:a16="http://schemas.microsoft.com/office/drawing/2014/main" id="{00000000-0008-0000-0400-000005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18" name="TextBox 517">
          <a:extLst>
            <a:ext uri="{FF2B5EF4-FFF2-40B4-BE49-F238E27FC236}">
              <a16:creationId xmlns:a16="http://schemas.microsoft.com/office/drawing/2014/main" id="{00000000-0008-0000-0400-000006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19" name="TextBox 518">
          <a:extLst>
            <a:ext uri="{FF2B5EF4-FFF2-40B4-BE49-F238E27FC236}">
              <a16:creationId xmlns:a16="http://schemas.microsoft.com/office/drawing/2014/main" id="{00000000-0008-0000-0400-00000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0" name="TextBox 519">
          <a:extLst>
            <a:ext uri="{FF2B5EF4-FFF2-40B4-BE49-F238E27FC236}">
              <a16:creationId xmlns:a16="http://schemas.microsoft.com/office/drawing/2014/main" id="{00000000-0008-0000-0400-00000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1" name="TextBox 520">
          <a:extLst>
            <a:ext uri="{FF2B5EF4-FFF2-40B4-BE49-F238E27FC236}">
              <a16:creationId xmlns:a16="http://schemas.microsoft.com/office/drawing/2014/main" id="{00000000-0008-0000-0400-00000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2" name="TextBox 521">
          <a:extLst>
            <a:ext uri="{FF2B5EF4-FFF2-40B4-BE49-F238E27FC236}">
              <a16:creationId xmlns:a16="http://schemas.microsoft.com/office/drawing/2014/main" id="{00000000-0008-0000-0400-00000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3" name="TextBox 522">
          <a:extLst>
            <a:ext uri="{FF2B5EF4-FFF2-40B4-BE49-F238E27FC236}">
              <a16:creationId xmlns:a16="http://schemas.microsoft.com/office/drawing/2014/main" id="{00000000-0008-0000-0400-00000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51</xdr:row>
      <xdr:rowOff>76200</xdr:rowOff>
    </xdr:from>
    <xdr:ext cx="65" cy="172227"/>
    <xdr:sp macro="" textlink="">
      <xdr:nvSpPr>
        <xdr:cNvPr id="524" name="TextBox 523">
          <a:extLst>
            <a:ext uri="{FF2B5EF4-FFF2-40B4-BE49-F238E27FC236}">
              <a16:creationId xmlns:a16="http://schemas.microsoft.com/office/drawing/2014/main" id="{00000000-0008-0000-0400-00000C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5" name="TextBox 524">
          <a:extLst>
            <a:ext uri="{FF2B5EF4-FFF2-40B4-BE49-F238E27FC236}">
              <a16:creationId xmlns:a16="http://schemas.microsoft.com/office/drawing/2014/main" id="{00000000-0008-0000-0400-00000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6" name="TextBox 525">
          <a:extLst>
            <a:ext uri="{FF2B5EF4-FFF2-40B4-BE49-F238E27FC236}">
              <a16:creationId xmlns:a16="http://schemas.microsoft.com/office/drawing/2014/main" id="{00000000-0008-0000-0400-00000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7" name="TextBox 526">
          <a:extLst>
            <a:ext uri="{FF2B5EF4-FFF2-40B4-BE49-F238E27FC236}">
              <a16:creationId xmlns:a16="http://schemas.microsoft.com/office/drawing/2014/main" id="{00000000-0008-0000-0400-00000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8" name="TextBox 527">
          <a:extLst>
            <a:ext uri="{FF2B5EF4-FFF2-40B4-BE49-F238E27FC236}">
              <a16:creationId xmlns:a16="http://schemas.microsoft.com/office/drawing/2014/main" id="{00000000-0008-0000-0400-00001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29" name="TextBox 528">
          <a:extLst>
            <a:ext uri="{FF2B5EF4-FFF2-40B4-BE49-F238E27FC236}">
              <a16:creationId xmlns:a16="http://schemas.microsoft.com/office/drawing/2014/main" id="{00000000-0008-0000-0400-000011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30" name="TextBox 529">
          <a:extLst>
            <a:ext uri="{FF2B5EF4-FFF2-40B4-BE49-F238E27FC236}">
              <a16:creationId xmlns:a16="http://schemas.microsoft.com/office/drawing/2014/main" id="{00000000-0008-0000-0400-000012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31" name="TextBox 530">
          <a:extLst>
            <a:ext uri="{FF2B5EF4-FFF2-40B4-BE49-F238E27FC236}">
              <a16:creationId xmlns:a16="http://schemas.microsoft.com/office/drawing/2014/main" id="{00000000-0008-0000-0400-000013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2" name="TextBox 531">
          <a:extLst>
            <a:ext uri="{FF2B5EF4-FFF2-40B4-BE49-F238E27FC236}">
              <a16:creationId xmlns:a16="http://schemas.microsoft.com/office/drawing/2014/main" id="{00000000-0008-0000-0400-00001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3" name="TextBox 532">
          <a:extLst>
            <a:ext uri="{FF2B5EF4-FFF2-40B4-BE49-F238E27FC236}">
              <a16:creationId xmlns:a16="http://schemas.microsoft.com/office/drawing/2014/main" id="{00000000-0008-0000-0400-00001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4" name="TextBox 533">
          <a:extLst>
            <a:ext uri="{FF2B5EF4-FFF2-40B4-BE49-F238E27FC236}">
              <a16:creationId xmlns:a16="http://schemas.microsoft.com/office/drawing/2014/main" id="{00000000-0008-0000-0400-000016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5" name="TextBox 534">
          <a:extLst>
            <a:ext uri="{FF2B5EF4-FFF2-40B4-BE49-F238E27FC236}">
              <a16:creationId xmlns:a16="http://schemas.microsoft.com/office/drawing/2014/main" id="{00000000-0008-0000-0400-00001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6" name="TextBox 535">
          <a:extLst>
            <a:ext uri="{FF2B5EF4-FFF2-40B4-BE49-F238E27FC236}">
              <a16:creationId xmlns:a16="http://schemas.microsoft.com/office/drawing/2014/main" id="{00000000-0008-0000-0400-00001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52</xdr:row>
      <xdr:rowOff>76200</xdr:rowOff>
    </xdr:from>
    <xdr:ext cx="65" cy="172227"/>
    <xdr:sp macro="" textlink="">
      <xdr:nvSpPr>
        <xdr:cNvPr id="537" name="TextBox 536">
          <a:extLst>
            <a:ext uri="{FF2B5EF4-FFF2-40B4-BE49-F238E27FC236}">
              <a16:creationId xmlns:a16="http://schemas.microsoft.com/office/drawing/2014/main" id="{00000000-0008-0000-0400-000019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8" name="TextBox 537">
          <a:extLst>
            <a:ext uri="{FF2B5EF4-FFF2-40B4-BE49-F238E27FC236}">
              <a16:creationId xmlns:a16="http://schemas.microsoft.com/office/drawing/2014/main" id="{00000000-0008-0000-0400-00001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39" name="TextBox 538">
          <a:extLst>
            <a:ext uri="{FF2B5EF4-FFF2-40B4-BE49-F238E27FC236}">
              <a16:creationId xmlns:a16="http://schemas.microsoft.com/office/drawing/2014/main" id="{00000000-0008-0000-0400-00001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40" name="TextBox 539">
          <a:extLst>
            <a:ext uri="{FF2B5EF4-FFF2-40B4-BE49-F238E27FC236}">
              <a16:creationId xmlns:a16="http://schemas.microsoft.com/office/drawing/2014/main" id="{00000000-0008-0000-0400-00001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41" name="TextBox 540">
          <a:extLst>
            <a:ext uri="{FF2B5EF4-FFF2-40B4-BE49-F238E27FC236}">
              <a16:creationId xmlns:a16="http://schemas.microsoft.com/office/drawing/2014/main" id="{00000000-0008-0000-0400-00001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42" name="TextBox 541">
          <a:extLst>
            <a:ext uri="{FF2B5EF4-FFF2-40B4-BE49-F238E27FC236}">
              <a16:creationId xmlns:a16="http://schemas.microsoft.com/office/drawing/2014/main" id="{00000000-0008-0000-0400-00001E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43" name="TextBox 542">
          <a:extLst>
            <a:ext uri="{FF2B5EF4-FFF2-40B4-BE49-F238E27FC236}">
              <a16:creationId xmlns:a16="http://schemas.microsoft.com/office/drawing/2014/main" id="{00000000-0008-0000-0400-00001F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44" name="TextBox 543">
          <a:extLst>
            <a:ext uri="{FF2B5EF4-FFF2-40B4-BE49-F238E27FC236}">
              <a16:creationId xmlns:a16="http://schemas.microsoft.com/office/drawing/2014/main" id="{00000000-0008-0000-0400-000020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45" name="TextBox 544">
          <a:extLst>
            <a:ext uri="{FF2B5EF4-FFF2-40B4-BE49-F238E27FC236}">
              <a16:creationId xmlns:a16="http://schemas.microsoft.com/office/drawing/2014/main" id="{00000000-0008-0000-0400-00002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46" name="TextBox 545">
          <a:extLst>
            <a:ext uri="{FF2B5EF4-FFF2-40B4-BE49-F238E27FC236}">
              <a16:creationId xmlns:a16="http://schemas.microsoft.com/office/drawing/2014/main" id="{00000000-0008-0000-0400-00002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47" name="TextBox 546">
          <a:extLst>
            <a:ext uri="{FF2B5EF4-FFF2-40B4-BE49-F238E27FC236}">
              <a16:creationId xmlns:a16="http://schemas.microsoft.com/office/drawing/2014/main" id="{00000000-0008-0000-0400-00002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48" name="TextBox 547">
          <a:extLst>
            <a:ext uri="{FF2B5EF4-FFF2-40B4-BE49-F238E27FC236}">
              <a16:creationId xmlns:a16="http://schemas.microsoft.com/office/drawing/2014/main" id="{00000000-0008-0000-0400-00002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49" name="TextBox 548">
          <a:extLst>
            <a:ext uri="{FF2B5EF4-FFF2-40B4-BE49-F238E27FC236}">
              <a16:creationId xmlns:a16="http://schemas.microsoft.com/office/drawing/2014/main" id="{00000000-0008-0000-0400-00002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53</xdr:row>
      <xdr:rowOff>76200</xdr:rowOff>
    </xdr:from>
    <xdr:ext cx="65" cy="172227"/>
    <xdr:sp macro="" textlink="">
      <xdr:nvSpPr>
        <xdr:cNvPr id="550" name="TextBox 549">
          <a:extLst>
            <a:ext uri="{FF2B5EF4-FFF2-40B4-BE49-F238E27FC236}">
              <a16:creationId xmlns:a16="http://schemas.microsoft.com/office/drawing/2014/main" id="{00000000-0008-0000-0400-000026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1" name="TextBox 550">
          <a:extLst>
            <a:ext uri="{FF2B5EF4-FFF2-40B4-BE49-F238E27FC236}">
              <a16:creationId xmlns:a16="http://schemas.microsoft.com/office/drawing/2014/main" id="{00000000-0008-0000-0400-00002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2" name="TextBox 551">
          <a:extLst>
            <a:ext uri="{FF2B5EF4-FFF2-40B4-BE49-F238E27FC236}">
              <a16:creationId xmlns:a16="http://schemas.microsoft.com/office/drawing/2014/main" id="{00000000-0008-0000-0400-00002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3" name="TextBox 552">
          <a:extLst>
            <a:ext uri="{FF2B5EF4-FFF2-40B4-BE49-F238E27FC236}">
              <a16:creationId xmlns:a16="http://schemas.microsoft.com/office/drawing/2014/main" id="{00000000-0008-0000-0400-00002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4" name="TextBox 553">
          <a:extLst>
            <a:ext uri="{FF2B5EF4-FFF2-40B4-BE49-F238E27FC236}">
              <a16:creationId xmlns:a16="http://schemas.microsoft.com/office/drawing/2014/main" id="{00000000-0008-0000-0400-00002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5" name="TextBox 554">
          <a:extLst>
            <a:ext uri="{FF2B5EF4-FFF2-40B4-BE49-F238E27FC236}">
              <a16:creationId xmlns:a16="http://schemas.microsoft.com/office/drawing/2014/main" id="{00000000-0008-0000-0400-00002B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6" name="TextBox 555">
          <a:extLst>
            <a:ext uri="{FF2B5EF4-FFF2-40B4-BE49-F238E27FC236}">
              <a16:creationId xmlns:a16="http://schemas.microsoft.com/office/drawing/2014/main" id="{00000000-0008-0000-0400-00002C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57" name="TextBox 556">
          <a:extLst>
            <a:ext uri="{FF2B5EF4-FFF2-40B4-BE49-F238E27FC236}">
              <a16:creationId xmlns:a16="http://schemas.microsoft.com/office/drawing/2014/main" id="{00000000-0008-0000-0400-00002D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58" name="TextBox 557">
          <a:extLst>
            <a:ext uri="{FF2B5EF4-FFF2-40B4-BE49-F238E27FC236}">
              <a16:creationId xmlns:a16="http://schemas.microsoft.com/office/drawing/2014/main" id="{00000000-0008-0000-0400-00002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59" name="TextBox 558">
          <a:extLst>
            <a:ext uri="{FF2B5EF4-FFF2-40B4-BE49-F238E27FC236}">
              <a16:creationId xmlns:a16="http://schemas.microsoft.com/office/drawing/2014/main" id="{00000000-0008-0000-0400-00002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0" name="TextBox 559">
          <a:extLst>
            <a:ext uri="{FF2B5EF4-FFF2-40B4-BE49-F238E27FC236}">
              <a16:creationId xmlns:a16="http://schemas.microsoft.com/office/drawing/2014/main" id="{00000000-0008-0000-0400-00003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1" name="TextBox 560">
          <a:extLst>
            <a:ext uri="{FF2B5EF4-FFF2-40B4-BE49-F238E27FC236}">
              <a16:creationId xmlns:a16="http://schemas.microsoft.com/office/drawing/2014/main" id="{00000000-0008-0000-0400-00003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2" name="TextBox 561">
          <a:extLst>
            <a:ext uri="{FF2B5EF4-FFF2-40B4-BE49-F238E27FC236}">
              <a16:creationId xmlns:a16="http://schemas.microsoft.com/office/drawing/2014/main" id="{00000000-0008-0000-0400-00003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54</xdr:row>
      <xdr:rowOff>76200</xdr:rowOff>
    </xdr:from>
    <xdr:ext cx="65" cy="172227"/>
    <xdr:sp macro="" textlink="">
      <xdr:nvSpPr>
        <xdr:cNvPr id="563" name="TextBox 562">
          <a:extLst>
            <a:ext uri="{FF2B5EF4-FFF2-40B4-BE49-F238E27FC236}">
              <a16:creationId xmlns:a16="http://schemas.microsoft.com/office/drawing/2014/main" id="{00000000-0008-0000-0400-000033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4" name="TextBox 563">
          <a:extLst>
            <a:ext uri="{FF2B5EF4-FFF2-40B4-BE49-F238E27FC236}">
              <a16:creationId xmlns:a16="http://schemas.microsoft.com/office/drawing/2014/main" id="{00000000-0008-0000-0400-00003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5" name="TextBox 564">
          <a:extLst>
            <a:ext uri="{FF2B5EF4-FFF2-40B4-BE49-F238E27FC236}">
              <a16:creationId xmlns:a16="http://schemas.microsoft.com/office/drawing/2014/main" id="{00000000-0008-0000-0400-00003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6" name="TextBox 565">
          <a:extLst>
            <a:ext uri="{FF2B5EF4-FFF2-40B4-BE49-F238E27FC236}">
              <a16:creationId xmlns:a16="http://schemas.microsoft.com/office/drawing/2014/main" id="{00000000-0008-0000-0400-000036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7" name="TextBox 566">
          <a:extLst>
            <a:ext uri="{FF2B5EF4-FFF2-40B4-BE49-F238E27FC236}">
              <a16:creationId xmlns:a16="http://schemas.microsoft.com/office/drawing/2014/main" id="{00000000-0008-0000-0400-00003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8" name="TextBox 567">
          <a:extLst>
            <a:ext uri="{FF2B5EF4-FFF2-40B4-BE49-F238E27FC236}">
              <a16:creationId xmlns:a16="http://schemas.microsoft.com/office/drawing/2014/main" id="{00000000-0008-0000-0400-000038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69" name="TextBox 568">
          <a:extLst>
            <a:ext uri="{FF2B5EF4-FFF2-40B4-BE49-F238E27FC236}">
              <a16:creationId xmlns:a16="http://schemas.microsoft.com/office/drawing/2014/main" id="{00000000-0008-0000-0400-000039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70" name="TextBox 569">
          <a:extLst>
            <a:ext uri="{FF2B5EF4-FFF2-40B4-BE49-F238E27FC236}">
              <a16:creationId xmlns:a16="http://schemas.microsoft.com/office/drawing/2014/main" id="{00000000-0008-0000-0400-00003A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1" name="TextBox 570">
          <a:extLst>
            <a:ext uri="{FF2B5EF4-FFF2-40B4-BE49-F238E27FC236}">
              <a16:creationId xmlns:a16="http://schemas.microsoft.com/office/drawing/2014/main" id="{00000000-0008-0000-0400-00003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2" name="TextBox 571">
          <a:extLst>
            <a:ext uri="{FF2B5EF4-FFF2-40B4-BE49-F238E27FC236}">
              <a16:creationId xmlns:a16="http://schemas.microsoft.com/office/drawing/2014/main" id="{00000000-0008-0000-0400-00003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3" name="TextBox 572">
          <a:extLst>
            <a:ext uri="{FF2B5EF4-FFF2-40B4-BE49-F238E27FC236}">
              <a16:creationId xmlns:a16="http://schemas.microsoft.com/office/drawing/2014/main" id="{00000000-0008-0000-0400-00003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4" name="TextBox 573">
          <a:extLst>
            <a:ext uri="{FF2B5EF4-FFF2-40B4-BE49-F238E27FC236}">
              <a16:creationId xmlns:a16="http://schemas.microsoft.com/office/drawing/2014/main" id="{00000000-0008-0000-0400-00003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5" name="TextBox 574">
          <a:extLst>
            <a:ext uri="{FF2B5EF4-FFF2-40B4-BE49-F238E27FC236}">
              <a16:creationId xmlns:a16="http://schemas.microsoft.com/office/drawing/2014/main" id="{00000000-0008-0000-0400-00003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55</xdr:row>
      <xdr:rowOff>76200</xdr:rowOff>
    </xdr:from>
    <xdr:ext cx="65" cy="172227"/>
    <xdr:sp macro="" textlink="">
      <xdr:nvSpPr>
        <xdr:cNvPr id="576" name="TextBox 575">
          <a:extLst>
            <a:ext uri="{FF2B5EF4-FFF2-40B4-BE49-F238E27FC236}">
              <a16:creationId xmlns:a16="http://schemas.microsoft.com/office/drawing/2014/main" id="{00000000-0008-0000-0400-000040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7" name="TextBox 576">
          <a:extLst>
            <a:ext uri="{FF2B5EF4-FFF2-40B4-BE49-F238E27FC236}">
              <a16:creationId xmlns:a16="http://schemas.microsoft.com/office/drawing/2014/main" id="{00000000-0008-0000-0400-00004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8" name="TextBox 577">
          <a:extLst>
            <a:ext uri="{FF2B5EF4-FFF2-40B4-BE49-F238E27FC236}">
              <a16:creationId xmlns:a16="http://schemas.microsoft.com/office/drawing/2014/main" id="{00000000-0008-0000-0400-00004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79" name="TextBox 578">
          <a:extLst>
            <a:ext uri="{FF2B5EF4-FFF2-40B4-BE49-F238E27FC236}">
              <a16:creationId xmlns:a16="http://schemas.microsoft.com/office/drawing/2014/main" id="{00000000-0008-0000-0400-00004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80" name="TextBox 579">
          <a:extLst>
            <a:ext uri="{FF2B5EF4-FFF2-40B4-BE49-F238E27FC236}">
              <a16:creationId xmlns:a16="http://schemas.microsoft.com/office/drawing/2014/main" id="{00000000-0008-0000-0400-00004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81" name="TextBox 580">
          <a:extLst>
            <a:ext uri="{FF2B5EF4-FFF2-40B4-BE49-F238E27FC236}">
              <a16:creationId xmlns:a16="http://schemas.microsoft.com/office/drawing/2014/main" id="{00000000-0008-0000-0400-000045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82" name="TextBox 581">
          <a:extLst>
            <a:ext uri="{FF2B5EF4-FFF2-40B4-BE49-F238E27FC236}">
              <a16:creationId xmlns:a16="http://schemas.microsoft.com/office/drawing/2014/main" id="{00000000-0008-0000-0400-000046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83" name="TextBox 582">
          <a:extLst>
            <a:ext uri="{FF2B5EF4-FFF2-40B4-BE49-F238E27FC236}">
              <a16:creationId xmlns:a16="http://schemas.microsoft.com/office/drawing/2014/main" id="{00000000-0008-0000-0400-000047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84" name="TextBox 583">
          <a:extLst>
            <a:ext uri="{FF2B5EF4-FFF2-40B4-BE49-F238E27FC236}">
              <a16:creationId xmlns:a16="http://schemas.microsoft.com/office/drawing/2014/main" id="{00000000-0008-0000-0400-00004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85" name="TextBox 584">
          <a:extLst>
            <a:ext uri="{FF2B5EF4-FFF2-40B4-BE49-F238E27FC236}">
              <a16:creationId xmlns:a16="http://schemas.microsoft.com/office/drawing/2014/main" id="{00000000-0008-0000-0400-00004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86" name="TextBox 585">
          <a:extLst>
            <a:ext uri="{FF2B5EF4-FFF2-40B4-BE49-F238E27FC236}">
              <a16:creationId xmlns:a16="http://schemas.microsoft.com/office/drawing/2014/main" id="{00000000-0008-0000-0400-00004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87" name="TextBox 586">
          <a:extLst>
            <a:ext uri="{FF2B5EF4-FFF2-40B4-BE49-F238E27FC236}">
              <a16:creationId xmlns:a16="http://schemas.microsoft.com/office/drawing/2014/main" id="{00000000-0008-0000-0400-00004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88" name="TextBox 587">
          <a:extLst>
            <a:ext uri="{FF2B5EF4-FFF2-40B4-BE49-F238E27FC236}">
              <a16:creationId xmlns:a16="http://schemas.microsoft.com/office/drawing/2014/main" id="{00000000-0008-0000-0400-00004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56</xdr:row>
      <xdr:rowOff>76200</xdr:rowOff>
    </xdr:from>
    <xdr:ext cx="65" cy="172227"/>
    <xdr:sp macro="" textlink="">
      <xdr:nvSpPr>
        <xdr:cNvPr id="589" name="TextBox 588">
          <a:extLst>
            <a:ext uri="{FF2B5EF4-FFF2-40B4-BE49-F238E27FC236}">
              <a16:creationId xmlns:a16="http://schemas.microsoft.com/office/drawing/2014/main" id="{00000000-0008-0000-0400-00004D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0" name="TextBox 589">
          <a:extLst>
            <a:ext uri="{FF2B5EF4-FFF2-40B4-BE49-F238E27FC236}">
              <a16:creationId xmlns:a16="http://schemas.microsoft.com/office/drawing/2014/main" id="{00000000-0008-0000-0400-00004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1" name="TextBox 590">
          <a:extLst>
            <a:ext uri="{FF2B5EF4-FFF2-40B4-BE49-F238E27FC236}">
              <a16:creationId xmlns:a16="http://schemas.microsoft.com/office/drawing/2014/main" id="{00000000-0008-0000-0400-00004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2" name="TextBox 591">
          <a:extLst>
            <a:ext uri="{FF2B5EF4-FFF2-40B4-BE49-F238E27FC236}">
              <a16:creationId xmlns:a16="http://schemas.microsoft.com/office/drawing/2014/main" id="{00000000-0008-0000-0400-00005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3" name="TextBox 592">
          <a:extLst>
            <a:ext uri="{FF2B5EF4-FFF2-40B4-BE49-F238E27FC236}">
              <a16:creationId xmlns:a16="http://schemas.microsoft.com/office/drawing/2014/main" id="{00000000-0008-0000-0400-00005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4" name="TextBox 593">
          <a:extLst>
            <a:ext uri="{FF2B5EF4-FFF2-40B4-BE49-F238E27FC236}">
              <a16:creationId xmlns:a16="http://schemas.microsoft.com/office/drawing/2014/main" id="{00000000-0008-0000-0400-000052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5" name="TextBox 594">
          <a:extLst>
            <a:ext uri="{FF2B5EF4-FFF2-40B4-BE49-F238E27FC236}">
              <a16:creationId xmlns:a16="http://schemas.microsoft.com/office/drawing/2014/main" id="{00000000-0008-0000-0400-000053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596" name="TextBox 595">
          <a:extLst>
            <a:ext uri="{FF2B5EF4-FFF2-40B4-BE49-F238E27FC236}">
              <a16:creationId xmlns:a16="http://schemas.microsoft.com/office/drawing/2014/main" id="{00000000-0008-0000-0400-000054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597" name="TextBox 596">
          <a:extLst>
            <a:ext uri="{FF2B5EF4-FFF2-40B4-BE49-F238E27FC236}">
              <a16:creationId xmlns:a16="http://schemas.microsoft.com/office/drawing/2014/main" id="{00000000-0008-0000-0400-00005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598" name="TextBox 597">
          <a:extLst>
            <a:ext uri="{FF2B5EF4-FFF2-40B4-BE49-F238E27FC236}">
              <a16:creationId xmlns:a16="http://schemas.microsoft.com/office/drawing/2014/main" id="{00000000-0008-0000-0400-000056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599" name="TextBox 598">
          <a:extLst>
            <a:ext uri="{FF2B5EF4-FFF2-40B4-BE49-F238E27FC236}">
              <a16:creationId xmlns:a16="http://schemas.microsoft.com/office/drawing/2014/main" id="{00000000-0008-0000-0400-00005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0" name="TextBox 599">
          <a:extLst>
            <a:ext uri="{FF2B5EF4-FFF2-40B4-BE49-F238E27FC236}">
              <a16:creationId xmlns:a16="http://schemas.microsoft.com/office/drawing/2014/main" id="{00000000-0008-0000-0400-00005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1" name="TextBox 600">
          <a:extLst>
            <a:ext uri="{FF2B5EF4-FFF2-40B4-BE49-F238E27FC236}">
              <a16:creationId xmlns:a16="http://schemas.microsoft.com/office/drawing/2014/main" id="{00000000-0008-0000-0400-00005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57</xdr:row>
      <xdr:rowOff>76200</xdr:rowOff>
    </xdr:from>
    <xdr:ext cx="65" cy="172227"/>
    <xdr:sp macro="" textlink="">
      <xdr:nvSpPr>
        <xdr:cNvPr id="602" name="TextBox 601">
          <a:extLst>
            <a:ext uri="{FF2B5EF4-FFF2-40B4-BE49-F238E27FC236}">
              <a16:creationId xmlns:a16="http://schemas.microsoft.com/office/drawing/2014/main" id="{00000000-0008-0000-0400-00005A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3" name="TextBox 602">
          <a:extLst>
            <a:ext uri="{FF2B5EF4-FFF2-40B4-BE49-F238E27FC236}">
              <a16:creationId xmlns:a16="http://schemas.microsoft.com/office/drawing/2014/main" id="{00000000-0008-0000-0400-00005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4" name="TextBox 603">
          <a:extLst>
            <a:ext uri="{FF2B5EF4-FFF2-40B4-BE49-F238E27FC236}">
              <a16:creationId xmlns:a16="http://schemas.microsoft.com/office/drawing/2014/main" id="{00000000-0008-0000-0400-00005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5" name="TextBox 604">
          <a:extLst>
            <a:ext uri="{FF2B5EF4-FFF2-40B4-BE49-F238E27FC236}">
              <a16:creationId xmlns:a16="http://schemas.microsoft.com/office/drawing/2014/main" id="{00000000-0008-0000-0400-00005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6" name="TextBox 605">
          <a:extLst>
            <a:ext uri="{FF2B5EF4-FFF2-40B4-BE49-F238E27FC236}">
              <a16:creationId xmlns:a16="http://schemas.microsoft.com/office/drawing/2014/main" id="{00000000-0008-0000-0400-00005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7" name="TextBox 606">
          <a:extLst>
            <a:ext uri="{FF2B5EF4-FFF2-40B4-BE49-F238E27FC236}">
              <a16:creationId xmlns:a16="http://schemas.microsoft.com/office/drawing/2014/main" id="{00000000-0008-0000-0400-00005F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8" name="TextBox 607">
          <a:extLst>
            <a:ext uri="{FF2B5EF4-FFF2-40B4-BE49-F238E27FC236}">
              <a16:creationId xmlns:a16="http://schemas.microsoft.com/office/drawing/2014/main" id="{00000000-0008-0000-0400-000060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09" name="TextBox 608">
          <a:extLst>
            <a:ext uri="{FF2B5EF4-FFF2-40B4-BE49-F238E27FC236}">
              <a16:creationId xmlns:a16="http://schemas.microsoft.com/office/drawing/2014/main" id="{00000000-0008-0000-0400-000061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0" name="TextBox 609">
          <a:extLst>
            <a:ext uri="{FF2B5EF4-FFF2-40B4-BE49-F238E27FC236}">
              <a16:creationId xmlns:a16="http://schemas.microsoft.com/office/drawing/2014/main" id="{00000000-0008-0000-0400-00006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1" name="TextBox 610">
          <a:extLst>
            <a:ext uri="{FF2B5EF4-FFF2-40B4-BE49-F238E27FC236}">
              <a16:creationId xmlns:a16="http://schemas.microsoft.com/office/drawing/2014/main" id="{00000000-0008-0000-0400-00006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2" name="TextBox 611">
          <a:extLst>
            <a:ext uri="{FF2B5EF4-FFF2-40B4-BE49-F238E27FC236}">
              <a16:creationId xmlns:a16="http://schemas.microsoft.com/office/drawing/2014/main" id="{00000000-0008-0000-0400-00006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3" name="TextBox 612">
          <a:extLst>
            <a:ext uri="{FF2B5EF4-FFF2-40B4-BE49-F238E27FC236}">
              <a16:creationId xmlns:a16="http://schemas.microsoft.com/office/drawing/2014/main" id="{00000000-0008-0000-0400-00006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4" name="TextBox 613">
          <a:extLst>
            <a:ext uri="{FF2B5EF4-FFF2-40B4-BE49-F238E27FC236}">
              <a16:creationId xmlns:a16="http://schemas.microsoft.com/office/drawing/2014/main" id="{00000000-0008-0000-0400-000066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58</xdr:row>
      <xdr:rowOff>76200</xdr:rowOff>
    </xdr:from>
    <xdr:ext cx="65" cy="172227"/>
    <xdr:sp macro="" textlink="">
      <xdr:nvSpPr>
        <xdr:cNvPr id="615" name="TextBox 614">
          <a:extLst>
            <a:ext uri="{FF2B5EF4-FFF2-40B4-BE49-F238E27FC236}">
              <a16:creationId xmlns:a16="http://schemas.microsoft.com/office/drawing/2014/main" id="{00000000-0008-0000-0400-000067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6" name="TextBox 615">
          <a:extLst>
            <a:ext uri="{FF2B5EF4-FFF2-40B4-BE49-F238E27FC236}">
              <a16:creationId xmlns:a16="http://schemas.microsoft.com/office/drawing/2014/main" id="{00000000-0008-0000-0400-00006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7" name="TextBox 616">
          <a:extLst>
            <a:ext uri="{FF2B5EF4-FFF2-40B4-BE49-F238E27FC236}">
              <a16:creationId xmlns:a16="http://schemas.microsoft.com/office/drawing/2014/main" id="{00000000-0008-0000-0400-00006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8" name="TextBox 617">
          <a:extLst>
            <a:ext uri="{FF2B5EF4-FFF2-40B4-BE49-F238E27FC236}">
              <a16:creationId xmlns:a16="http://schemas.microsoft.com/office/drawing/2014/main" id="{00000000-0008-0000-0400-00006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19" name="TextBox 618">
          <a:extLst>
            <a:ext uri="{FF2B5EF4-FFF2-40B4-BE49-F238E27FC236}">
              <a16:creationId xmlns:a16="http://schemas.microsoft.com/office/drawing/2014/main" id="{00000000-0008-0000-0400-00006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20" name="TextBox 619">
          <a:extLst>
            <a:ext uri="{FF2B5EF4-FFF2-40B4-BE49-F238E27FC236}">
              <a16:creationId xmlns:a16="http://schemas.microsoft.com/office/drawing/2014/main" id="{00000000-0008-0000-0400-00006C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21" name="TextBox 620">
          <a:extLst>
            <a:ext uri="{FF2B5EF4-FFF2-40B4-BE49-F238E27FC236}">
              <a16:creationId xmlns:a16="http://schemas.microsoft.com/office/drawing/2014/main" id="{00000000-0008-0000-0400-00006D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22" name="TextBox 621">
          <a:extLst>
            <a:ext uri="{FF2B5EF4-FFF2-40B4-BE49-F238E27FC236}">
              <a16:creationId xmlns:a16="http://schemas.microsoft.com/office/drawing/2014/main" id="{00000000-0008-0000-0400-00006E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3" name="TextBox 622">
          <a:extLst>
            <a:ext uri="{FF2B5EF4-FFF2-40B4-BE49-F238E27FC236}">
              <a16:creationId xmlns:a16="http://schemas.microsoft.com/office/drawing/2014/main" id="{00000000-0008-0000-0400-00006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4" name="TextBox 623">
          <a:extLst>
            <a:ext uri="{FF2B5EF4-FFF2-40B4-BE49-F238E27FC236}">
              <a16:creationId xmlns:a16="http://schemas.microsoft.com/office/drawing/2014/main" id="{00000000-0008-0000-0400-00007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5" name="TextBox 624">
          <a:extLst>
            <a:ext uri="{FF2B5EF4-FFF2-40B4-BE49-F238E27FC236}">
              <a16:creationId xmlns:a16="http://schemas.microsoft.com/office/drawing/2014/main" id="{00000000-0008-0000-0400-00007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6" name="TextBox 625">
          <a:extLst>
            <a:ext uri="{FF2B5EF4-FFF2-40B4-BE49-F238E27FC236}">
              <a16:creationId xmlns:a16="http://schemas.microsoft.com/office/drawing/2014/main" id="{00000000-0008-0000-0400-00007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7" name="TextBox 626">
          <a:extLst>
            <a:ext uri="{FF2B5EF4-FFF2-40B4-BE49-F238E27FC236}">
              <a16:creationId xmlns:a16="http://schemas.microsoft.com/office/drawing/2014/main" id="{00000000-0008-0000-0400-00007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59</xdr:row>
      <xdr:rowOff>76200</xdr:rowOff>
    </xdr:from>
    <xdr:ext cx="65" cy="172227"/>
    <xdr:sp macro="" textlink="">
      <xdr:nvSpPr>
        <xdr:cNvPr id="628" name="TextBox 627">
          <a:extLst>
            <a:ext uri="{FF2B5EF4-FFF2-40B4-BE49-F238E27FC236}">
              <a16:creationId xmlns:a16="http://schemas.microsoft.com/office/drawing/2014/main" id="{00000000-0008-0000-0400-000074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29" name="TextBox 628">
          <a:extLst>
            <a:ext uri="{FF2B5EF4-FFF2-40B4-BE49-F238E27FC236}">
              <a16:creationId xmlns:a16="http://schemas.microsoft.com/office/drawing/2014/main" id="{00000000-0008-0000-0400-00007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0" name="TextBox 629">
          <a:extLst>
            <a:ext uri="{FF2B5EF4-FFF2-40B4-BE49-F238E27FC236}">
              <a16:creationId xmlns:a16="http://schemas.microsoft.com/office/drawing/2014/main" id="{00000000-0008-0000-0400-000076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1" name="TextBox 630">
          <a:extLst>
            <a:ext uri="{FF2B5EF4-FFF2-40B4-BE49-F238E27FC236}">
              <a16:creationId xmlns:a16="http://schemas.microsoft.com/office/drawing/2014/main" id="{00000000-0008-0000-0400-000077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2" name="TextBox 631">
          <a:extLst>
            <a:ext uri="{FF2B5EF4-FFF2-40B4-BE49-F238E27FC236}">
              <a16:creationId xmlns:a16="http://schemas.microsoft.com/office/drawing/2014/main" id="{00000000-0008-0000-0400-000078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3" name="TextBox 632">
          <a:extLst>
            <a:ext uri="{FF2B5EF4-FFF2-40B4-BE49-F238E27FC236}">
              <a16:creationId xmlns:a16="http://schemas.microsoft.com/office/drawing/2014/main" id="{00000000-0008-0000-0400-000079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4" name="TextBox 633">
          <a:extLst>
            <a:ext uri="{FF2B5EF4-FFF2-40B4-BE49-F238E27FC236}">
              <a16:creationId xmlns:a16="http://schemas.microsoft.com/office/drawing/2014/main" id="{00000000-0008-0000-0400-00007A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35" name="TextBox 634">
          <a:extLst>
            <a:ext uri="{FF2B5EF4-FFF2-40B4-BE49-F238E27FC236}">
              <a16:creationId xmlns:a16="http://schemas.microsoft.com/office/drawing/2014/main" id="{00000000-0008-0000-0400-00007B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36" name="TextBox 635">
          <a:extLst>
            <a:ext uri="{FF2B5EF4-FFF2-40B4-BE49-F238E27FC236}">
              <a16:creationId xmlns:a16="http://schemas.microsoft.com/office/drawing/2014/main" id="{00000000-0008-0000-0400-00007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37" name="TextBox 636">
          <a:extLst>
            <a:ext uri="{FF2B5EF4-FFF2-40B4-BE49-F238E27FC236}">
              <a16:creationId xmlns:a16="http://schemas.microsoft.com/office/drawing/2014/main" id="{00000000-0008-0000-0400-00007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38" name="TextBox 637">
          <a:extLst>
            <a:ext uri="{FF2B5EF4-FFF2-40B4-BE49-F238E27FC236}">
              <a16:creationId xmlns:a16="http://schemas.microsoft.com/office/drawing/2014/main" id="{00000000-0008-0000-0400-00007E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39" name="TextBox 638">
          <a:extLst>
            <a:ext uri="{FF2B5EF4-FFF2-40B4-BE49-F238E27FC236}">
              <a16:creationId xmlns:a16="http://schemas.microsoft.com/office/drawing/2014/main" id="{00000000-0008-0000-0400-00007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0" name="TextBox 639">
          <a:extLst>
            <a:ext uri="{FF2B5EF4-FFF2-40B4-BE49-F238E27FC236}">
              <a16:creationId xmlns:a16="http://schemas.microsoft.com/office/drawing/2014/main" id="{00000000-0008-0000-0400-00008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60</xdr:row>
      <xdr:rowOff>76200</xdr:rowOff>
    </xdr:from>
    <xdr:ext cx="65" cy="172227"/>
    <xdr:sp macro="" textlink="">
      <xdr:nvSpPr>
        <xdr:cNvPr id="641" name="TextBox 640">
          <a:extLst>
            <a:ext uri="{FF2B5EF4-FFF2-40B4-BE49-F238E27FC236}">
              <a16:creationId xmlns:a16="http://schemas.microsoft.com/office/drawing/2014/main" id="{00000000-0008-0000-0400-000081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2" name="TextBox 641">
          <a:extLst>
            <a:ext uri="{FF2B5EF4-FFF2-40B4-BE49-F238E27FC236}">
              <a16:creationId xmlns:a16="http://schemas.microsoft.com/office/drawing/2014/main" id="{00000000-0008-0000-0400-00008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3" name="TextBox 642">
          <a:extLst>
            <a:ext uri="{FF2B5EF4-FFF2-40B4-BE49-F238E27FC236}">
              <a16:creationId xmlns:a16="http://schemas.microsoft.com/office/drawing/2014/main" id="{00000000-0008-0000-0400-000083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4" name="TextBox 643">
          <a:extLst>
            <a:ext uri="{FF2B5EF4-FFF2-40B4-BE49-F238E27FC236}">
              <a16:creationId xmlns:a16="http://schemas.microsoft.com/office/drawing/2014/main" id="{00000000-0008-0000-0400-000084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5" name="TextBox 644">
          <a:extLst>
            <a:ext uri="{FF2B5EF4-FFF2-40B4-BE49-F238E27FC236}">
              <a16:creationId xmlns:a16="http://schemas.microsoft.com/office/drawing/2014/main" id="{00000000-0008-0000-0400-000085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6" name="TextBox 645">
          <a:extLst>
            <a:ext uri="{FF2B5EF4-FFF2-40B4-BE49-F238E27FC236}">
              <a16:creationId xmlns:a16="http://schemas.microsoft.com/office/drawing/2014/main" id="{00000000-0008-0000-0400-000086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7" name="TextBox 646">
          <a:extLst>
            <a:ext uri="{FF2B5EF4-FFF2-40B4-BE49-F238E27FC236}">
              <a16:creationId xmlns:a16="http://schemas.microsoft.com/office/drawing/2014/main" id="{00000000-0008-0000-0400-000087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48" name="TextBox 647">
          <a:extLst>
            <a:ext uri="{FF2B5EF4-FFF2-40B4-BE49-F238E27FC236}">
              <a16:creationId xmlns:a16="http://schemas.microsoft.com/office/drawing/2014/main" id="{00000000-0008-0000-0400-000088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49" name="TextBox 648">
          <a:extLst>
            <a:ext uri="{FF2B5EF4-FFF2-40B4-BE49-F238E27FC236}">
              <a16:creationId xmlns:a16="http://schemas.microsoft.com/office/drawing/2014/main" id="{00000000-0008-0000-0400-000089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0" name="TextBox 649">
          <a:extLst>
            <a:ext uri="{FF2B5EF4-FFF2-40B4-BE49-F238E27FC236}">
              <a16:creationId xmlns:a16="http://schemas.microsoft.com/office/drawing/2014/main" id="{00000000-0008-0000-0400-00008A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1" name="TextBox 650">
          <a:extLst>
            <a:ext uri="{FF2B5EF4-FFF2-40B4-BE49-F238E27FC236}">
              <a16:creationId xmlns:a16="http://schemas.microsoft.com/office/drawing/2014/main" id="{00000000-0008-0000-0400-00008B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2" name="TextBox 651">
          <a:extLst>
            <a:ext uri="{FF2B5EF4-FFF2-40B4-BE49-F238E27FC236}">
              <a16:creationId xmlns:a16="http://schemas.microsoft.com/office/drawing/2014/main" id="{00000000-0008-0000-0400-00008C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3" name="TextBox 652">
          <a:extLst>
            <a:ext uri="{FF2B5EF4-FFF2-40B4-BE49-F238E27FC236}">
              <a16:creationId xmlns:a16="http://schemas.microsoft.com/office/drawing/2014/main" id="{00000000-0008-0000-0400-00008D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61</xdr:row>
      <xdr:rowOff>76200</xdr:rowOff>
    </xdr:from>
    <xdr:ext cx="65" cy="172227"/>
    <xdr:sp macro="" textlink="">
      <xdr:nvSpPr>
        <xdr:cNvPr id="654" name="TextBox 653">
          <a:extLst>
            <a:ext uri="{FF2B5EF4-FFF2-40B4-BE49-F238E27FC236}">
              <a16:creationId xmlns:a16="http://schemas.microsoft.com/office/drawing/2014/main" id="{00000000-0008-0000-0400-00008E020000}"/>
            </a:ext>
          </a:extLst>
        </xdr:cNvPr>
        <xdr:cNvSpPr txBox="1"/>
      </xdr:nvSpPr>
      <xdr:spPr>
        <a:xfrm>
          <a:off x="7791450"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5" name="TextBox 654">
          <a:extLst>
            <a:ext uri="{FF2B5EF4-FFF2-40B4-BE49-F238E27FC236}">
              <a16:creationId xmlns:a16="http://schemas.microsoft.com/office/drawing/2014/main" id="{00000000-0008-0000-0400-00008F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6" name="TextBox 655">
          <a:extLst>
            <a:ext uri="{FF2B5EF4-FFF2-40B4-BE49-F238E27FC236}">
              <a16:creationId xmlns:a16="http://schemas.microsoft.com/office/drawing/2014/main" id="{00000000-0008-0000-0400-000090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7" name="TextBox 656">
          <a:extLst>
            <a:ext uri="{FF2B5EF4-FFF2-40B4-BE49-F238E27FC236}">
              <a16:creationId xmlns:a16="http://schemas.microsoft.com/office/drawing/2014/main" id="{00000000-0008-0000-0400-000091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62</xdr:row>
      <xdr:rowOff>76200</xdr:rowOff>
    </xdr:from>
    <xdr:ext cx="65" cy="172227"/>
    <xdr:sp macro="" textlink="">
      <xdr:nvSpPr>
        <xdr:cNvPr id="658" name="TextBox 657">
          <a:extLst>
            <a:ext uri="{FF2B5EF4-FFF2-40B4-BE49-F238E27FC236}">
              <a16:creationId xmlns:a16="http://schemas.microsoft.com/office/drawing/2014/main" id="{00000000-0008-0000-0400-000092020000}"/>
            </a:ext>
          </a:extLst>
        </xdr:cNvPr>
        <xdr:cNvSpPr txBox="1"/>
      </xdr:nvSpPr>
      <xdr:spPr>
        <a:xfrm>
          <a:off x="77914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23</xdr:row>
      <xdr:rowOff>76200</xdr:rowOff>
    </xdr:from>
    <xdr:ext cx="65" cy="172227"/>
    <xdr:sp macro="" textlink="">
      <xdr:nvSpPr>
        <xdr:cNvPr id="659" name="TextBox 658">
          <a:extLst>
            <a:ext uri="{FF2B5EF4-FFF2-40B4-BE49-F238E27FC236}">
              <a16:creationId xmlns:a16="http://schemas.microsoft.com/office/drawing/2014/main" id="{00000000-0008-0000-0400-000093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24</xdr:row>
      <xdr:rowOff>76200</xdr:rowOff>
    </xdr:from>
    <xdr:ext cx="65" cy="172227"/>
    <xdr:sp macro="" textlink="">
      <xdr:nvSpPr>
        <xdr:cNvPr id="660" name="TextBox 659">
          <a:extLst>
            <a:ext uri="{FF2B5EF4-FFF2-40B4-BE49-F238E27FC236}">
              <a16:creationId xmlns:a16="http://schemas.microsoft.com/office/drawing/2014/main" id="{00000000-0008-0000-0400-000094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25</xdr:row>
      <xdr:rowOff>76200</xdr:rowOff>
    </xdr:from>
    <xdr:ext cx="65" cy="172227"/>
    <xdr:sp macro="" textlink="">
      <xdr:nvSpPr>
        <xdr:cNvPr id="661" name="TextBox 660">
          <a:extLst>
            <a:ext uri="{FF2B5EF4-FFF2-40B4-BE49-F238E27FC236}">
              <a16:creationId xmlns:a16="http://schemas.microsoft.com/office/drawing/2014/main" id="{00000000-0008-0000-0400-000095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25</xdr:row>
      <xdr:rowOff>76200</xdr:rowOff>
    </xdr:from>
    <xdr:ext cx="65" cy="172227"/>
    <xdr:sp macro="" textlink="">
      <xdr:nvSpPr>
        <xdr:cNvPr id="662" name="TextBox 661">
          <a:extLst>
            <a:ext uri="{FF2B5EF4-FFF2-40B4-BE49-F238E27FC236}">
              <a16:creationId xmlns:a16="http://schemas.microsoft.com/office/drawing/2014/main" id="{00000000-0008-0000-0400-000096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26</xdr:row>
      <xdr:rowOff>76200</xdr:rowOff>
    </xdr:from>
    <xdr:ext cx="65" cy="172227"/>
    <xdr:sp macro="" textlink="">
      <xdr:nvSpPr>
        <xdr:cNvPr id="663" name="TextBox 662">
          <a:extLst>
            <a:ext uri="{FF2B5EF4-FFF2-40B4-BE49-F238E27FC236}">
              <a16:creationId xmlns:a16="http://schemas.microsoft.com/office/drawing/2014/main" id="{00000000-0008-0000-0400-000097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26</xdr:row>
      <xdr:rowOff>76200</xdr:rowOff>
    </xdr:from>
    <xdr:ext cx="65" cy="172227"/>
    <xdr:sp macro="" textlink="">
      <xdr:nvSpPr>
        <xdr:cNvPr id="664" name="TextBox 663">
          <a:extLst>
            <a:ext uri="{FF2B5EF4-FFF2-40B4-BE49-F238E27FC236}">
              <a16:creationId xmlns:a16="http://schemas.microsoft.com/office/drawing/2014/main" id="{00000000-0008-0000-0400-000098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27</xdr:row>
      <xdr:rowOff>76200</xdr:rowOff>
    </xdr:from>
    <xdr:ext cx="65" cy="172227"/>
    <xdr:sp macro="" textlink="">
      <xdr:nvSpPr>
        <xdr:cNvPr id="665" name="TextBox 664">
          <a:extLst>
            <a:ext uri="{FF2B5EF4-FFF2-40B4-BE49-F238E27FC236}">
              <a16:creationId xmlns:a16="http://schemas.microsoft.com/office/drawing/2014/main" id="{00000000-0008-0000-0400-000099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27</xdr:row>
      <xdr:rowOff>76200</xdr:rowOff>
    </xdr:from>
    <xdr:ext cx="65" cy="172227"/>
    <xdr:sp macro="" textlink="">
      <xdr:nvSpPr>
        <xdr:cNvPr id="666" name="TextBox 665">
          <a:extLst>
            <a:ext uri="{FF2B5EF4-FFF2-40B4-BE49-F238E27FC236}">
              <a16:creationId xmlns:a16="http://schemas.microsoft.com/office/drawing/2014/main" id="{00000000-0008-0000-0400-00009A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28</xdr:row>
      <xdr:rowOff>76200</xdr:rowOff>
    </xdr:from>
    <xdr:ext cx="65" cy="172227"/>
    <xdr:sp macro="" textlink="">
      <xdr:nvSpPr>
        <xdr:cNvPr id="667" name="TextBox 666">
          <a:extLst>
            <a:ext uri="{FF2B5EF4-FFF2-40B4-BE49-F238E27FC236}">
              <a16:creationId xmlns:a16="http://schemas.microsoft.com/office/drawing/2014/main" id="{00000000-0008-0000-0400-00009B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28</xdr:row>
      <xdr:rowOff>76200</xdr:rowOff>
    </xdr:from>
    <xdr:ext cx="65" cy="172227"/>
    <xdr:sp macro="" textlink="">
      <xdr:nvSpPr>
        <xdr:cNvPr id="668" name="TextBox 667">
          <a:extLst>
            <a:ext uri="{FF2B5EF4-FFF2-40B4-BE49-F238E27FC236}">
              <a16:creationId xmlns:a16="http://schemas.microsoft.com/office/drawing/2014/main" id="{00000000-0008-0000-0400-00009C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29</xdr:row>
      <xdr:rowOff>76200</xdr:rowOff>
    </xdr:from>
    <xdr:ext cx="65" cy="172227"/>
    <xdr:sp macro="" textlink="">
      <xdr:nvSpPr>
        <xdr:cNvPr id="669" name="TextBox 668">
          <a:extLst>
            <a:ext uri="{FF2B5EF4-FFF2-40B4-BE49-F238E27FC236}">
              <a16:creationId xmlns:a16="http://schemas.microsoft.com/office/drawing/2014/main" id="{00000000-0008-0000-0400-00009D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29</xdr:row>
      <xdr:rowOff>76200</xdr:rowOff>
    </xdr:from>
    <xdr:ext cx="65" cy="172227"/>
    <xdr:sp macro="" textlink="">
      <xdr:nvSpPr>
        <xdr:cNvPr id="670" name="TextBox 669">
          <a:extLst>
            <a:ext uri="{FF2B5EF4-FFF2-40B4-BE49-F238E27FC236}">
              <a16:creationId xmlns:a16="http://schemas.microsoft.com/office/drawing/2014/main" id="{00000000-0008-0000-0400-00009E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30</xdr:row>
      <xdr:rowOff>76200</xdr:rowOff>
    </xdr:from>
    <xdr:ext cx="65" cy="172227"/>
    <xdr:sp macro="" textlink="">
      <xdr:nvSpPr>
        <xdr:cNvPr id="671" name="TextBox 670">
          <a:extLst>
            <a:ext uri="{FF2B5EF4-FFF2-40B4-BE49-F238E27FC236}">
              <a16:creationId xmlns:a16="http://schemas.microsoft.com/office/drawing/2014/main" id="{00000000-0008-0000-0400-00009F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30</xdr:row>
      <xdr:rowOff>76200</xdr:rowOff>
    </xdr:from>
    <xdr:ext cx="65" cy="172227"/>
    <xdr:sp macro="" textlink="">
      <xdr:nvSpPr>
        <xdr:cNvPr id="672" name="TextBox 671">
          <a:extLst>
            <a:ext uri="{FF2B5EF4-FFF2-40B4-BE49-F238E27FC236}">
              <a16:creationId xmlns:a16="http://schemas.microsoft.com/office/drawing/2014/main" id="{00000000-0008-0000-0400-0000A0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31</xdr:row>
      <xdr:rowOff>76200</xdr:rowOff>
    </xdr:from>
    <xdr:ext cx="65" cy="172227"/>
    <xdr:sp macro="" textlink="">
      <xdr:nvSpPr>
        <xdr:cNvPr id="673" name="TextBox 672">
          <a:extLst>
            <a:ext uri="{FF2B5EF4-FFF2-40B4-BE49-F238E27FC236}">
              <a16:creationId xmlns:a16="http://schemas.microsoft.com/office/drawing/2014/main" id="{00000000-0008-0000-0400-0000A1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31</xdr:row>
      <xdr:rowOff>76200</xdr:rowOff>
    </xdr:from>
    <xdr:ext cx="65" cy="172227"/>
    <xdr:sp macro="" textlink="">
      <xdr:nvSpPr>
        <xdr:cNvPr id="674" name="TextBox 673">
          <a:extLst>
            <a:ext uri="{FF2B5EF4-FFF2-40B4-BE49-F238E27FC236}">
              <a16:creationId xmlns:a16="http://schemas.microsoft.com/office/drawing/2014/main" id="{00000000-0008-0000-0400-0000A2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32</xdr:row>
      <xdr:rowOff>76200</xdr:rowOff>
    </xdr:from>
    <xdr:ext cx="65" cy="172227"/>
    <xdr:sp macro="" textlink="">
      <xdr:nvSpPr>
        <xdr:cNvPr id="675" name="TextBox 674">
          <a:extLst>
            <a:ext uri="{FF2B5EF4-FFF2-40B4-BE49-F238E27FC236}">
              <a16:creationId xmlns:a16="http://schemas.microsoft.com/office/drawing/2014/main" id="{00000000-0008-0000-0400-0000A3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32</xdr:row>
      <xdr:rowOff>76200</xdr:rowOff>
    </xdr:from>
    <xdr:ext cx="65" cy="172227"/>
    <xdr:sp macro="" textlink="">
      <xdr:nvSpPr>
        <xdr:cNvPr id="676" name="TextBox 675">
          <a:extLst>
            <a:ext uri="{FF2B5EF4-FFF2-40B4-BE49-F238E27FC236}">
              <a16:creationId xmlns:a16="http://schemas.microsoft.com/office/drawing/2014/main" id="{00000000-0008-0000-0400-0000A4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33</xdr:row>
      <xdr:rowOff>76200</xdr:rowOff>
    </xdr:from>
    <xdr:ext cx="65" cy="172227"/>
    <xdr:sp macro="" textlink="">
      <xdr:nvSpPr>
        <xdr:cNvPr id="677" name="TextBox 676">
          <a:extLst>
            <a:ext uri="{FF2B5EF4-FFF2-40B4-BE49-F238E27FC236}">
              <a16:creationId xmlns:a16="http://schemas.microsoft.com/office/drawing/2014/main" id="{00000000-0008-0000-0400-0000A5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33</xdr:row>
      <xdr:rowOff>76200</xdr:rowOff>
    </xdr:from>
    <xdr:ext cx="65" cy="172227"/>
    <xdr:sp macro="" textlink="">
      <xdr:nvSpPr>
        <xdr:cNvPr id="678" name="TextBox 677">
          <a:extLst>
            <a:ext uri="{FF2B5EF4-FFF2-40B4-BE49-F238E27FC236}">
              <a16:creationId xmlns:a16="http://schemas.microsoft.com/office/drawing/2014/main" id="{00000000-0008-0000-0400-0000A6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34</xdr:row>
      <xdr:rowOff>76200</xdr:rowOff>
    </xdr:from>
    <xdr:ext cx="65" cy="172227"/>
    <xdr:sp macro="" textlink="">
      <xdr:nvSpPr>
        <xdr:cNvPr id="679" name="TextBox 678">
          <a:extLst>
            <a:ext uri="{FF2B5EF4-FFF2-40B4-BE49-F238E27FC236}">
              <a16:creationId xmlns:a16="http://schemas.microsoft.com/office/drawing/2014/main" id="{00000000-0008-0000-0400-0000A7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34</xdr:row>
      <xdr:rowOff>76200</xdr:rowOff>
    </xdr:from>
    <xdr:ext cx="65" cy="172227"/>
    <xdr:sp macro="" textlink="">
      <xdr:nvSpPr>
        <xdr:cNvPr id="680" name="TextBox 679">
          <a:extLst>
            <a:ext uri="{FF2B5EF4-FFF2-40B4-BE49-F238E27FC236}">
              <a16:creationId xmlns:a16="http://schemas.microsoft.com/office/drawing/2014/main" id="{00000000-0008-0000-0400-0000A8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35</xdr:row>
      <xdr:rowOff>76200</xdr:rowOff>
    </xdr:from>
    <xdr:ext cx="65" cy="172227"/>
    <xdr:sp macro="" textlink="">
      <xdr:nvSpPr>
        <xdr:cNvPr id="681" name="TextBox 680">
          <a:extLst>
            <a:ext uri="{FF2B5EF4-FFF2-40B4-BE49-F238E27FC236}">
              <a16:creationId xmlns:a16="http://schemas.microsoft.com/office/drawing/2014/main" id="{00000000-0008-0000-0400-0000A9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35</xdr:row>
      <xdr:rowOff>76200</xdr:rowOff>
    </xdr:from>
    <xdr:ext cx="65" cy="172227"/>
    <xdr:sp macro="" textlink="">
      <xdr:nvSpPr>
        <xdr:cNvPr id="682" name="TextBox 681">
          <a:extLst>
            <a:ext uri="{FF2B5EF4-FFF2-40B4-BE49-F238E27FC236}">
              <a16:creationId xmlns:a16="http://schemas.microsoft.com/office/drawing/2014/main" id="{00000000-0008-0000-0400-0000AA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36</xdr:row>
      <xdr:rowOff>76200</xdr:rowOff>
    </xdr:from>
    <xdr:ext cx="65" cy="172227"/>
    <xdr:sp macro="" textlink="">
      <xdr:nvSpPr>
        <xdr:cNvPr id="683" name="TextBox 682">
          <a:extLst>
            <a:ext uri="{FF2B5EF4-FFF2-40B4-BE49-F238E27FC236}">
              <a16:creationId xmlns:a16="http://schemas.microsoft.com/office/drawing/2014/main" id="{00000000-0008-0000-0400-0000AB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36</xdr:row>
      <xdr:rowOff>76200</xdr:rowOff>
    </xdr:from>
    <xdr:ext cx="65" cy="172227"/>
    <xdr:sp macro="" textlink="">
      <xdr:nvSpPr>
        <xdr:cNvPr id="684" name="TextBox 683">
          <a:extLst>
            <a:ext uri="{FF2B5EF4-FFF2-40B4-BE49-F238E27FC236}">
              <a16:creationId xmlns:a16="http://schemas.microsoft.com/office/drawing/2014/main" id="{00000000-0008-0000-0400-0000AC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37</xdr:row>
      <xdr:rowOff>76200</xdr:rowOff>
    </xdr:from>
    <xdr:ext cx="65" cy="172227"/>
    <xdr:sp macro="" textlink="">
      <xdr:nvSpPr>
        <xdr:cNvPr id="685" name="TextBox 684">
          <a:extLst>
            <a:ext uri="{FF2B5EF4-FFF2-40B4-BE49-F238E27FC236}">
              <a16:creationId xmlns:a16="http://schemas.microsoft.com/office/drawing/2014/main" id="{00000000-0008-0000-0400-0000AD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37</xdr:row>
      <xdr:rowOff>76200</xdr:rowOff>
    </xdr:from>
    <xdr:ext cx="65" cy="172227"/>
    <xdr:sp macro="" textlink="">
      <xdr:nvSpPr>
        <xdr:cNvPr id="686" name="TextBox 685">
          <a:extLst>
            <a:ext uri="{FF2B5EF4-FFF2-40B4-BE49-F238E27FC236}">
              <a16:creationId xmlns:a16="http://schemas.microsoft.com/office/drawing/2014/main" id="{00000000-0008-0000-0400-0000AE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38</xdr:row>
      <xdr:rowOff>76200</xdr:rowOff>
    </xdr:from>
    <xdr:ext cx="65" cy="172227"/>
    <xdr:sp macro="" textlink="">
      <xdr:nvSpPr>
        <xdr:cNvPr id="687" name="TextBox 686">
          <a:extLst>
            <a:ext uri="{FF2B5EF4-FFF2-40B4-BE49-F238E27FC236}">
              <a16:creationId xmlns:a16="http://schemas.microsoft.com/office/drawing/2014/main" id="{00000000-0008-0000-0400-0000AF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38</xdr:row>
      <xdr:rowOff>76200</xdr:rowOff>
    </xdr:from>
    <xdr:ext cx="65" cy="172227"/>
    <xdr:sp macro="" textlink="">
      <xdr:nvSpPr>
        <xdr:cNvPr id="688" name="TextBox 687">
          <a:extLst>
            <a:ext uri="{FF2B5EF4-FFF2-40B4-BE49-F238E27FC236}">
              <a16:creationId xmlns:a16="http://schemas.microsoft.com/office/drawing/2014/main" id="{00000000-0008-0000-0400-0000B0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689" name="TextBox 688">
          <a:extLst>
            <a:ext uri="{FF2B5EF4-FFF2-40B4-BE49-F238E27FC236}">
              <a16:creationId xmlns:a16="http://schemas.microsoft.com/office/drawing/2014/main" id="{00000000-0008-0000-0400-0000B1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39</xdr:row>
      <xdr:rowOff>76200</xdr:rowOff>
    </xdr:from>
    <xdr:ext cx="65" cy="172227"/>
    <xdr:sp macro="" textlink="">
      <xdr:nvSpPr>
        <xdr:cNvPr id="690" name="TextBox 689">
          <a:extLst>
            <a:ext uri="{FF2B5EF4-FFF2-40B4-BE49-F238E27FC236}">
              <a16:creationId xmlns:a16="http://schemas.microsoft.com/office/drawing/2014/main" id="{00000000-0008-0000-0400-0000B2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40</xdr:row>
      <xdr:rowOff>76200</xdr:rowOff>
    </xdr:from>
    <xdr:ext cx="65" cy="172227"/>
    <xdr:sp macro="" textlink="">
      <xdr:nvSpPr>
        <xdr:cNvPr id="691" name="TextBox 690">
          <a:extLst>
            <a:ext uri="{FF2B5EF4-FFF2-40B4-BE49-F238E27FC236}">
              <a16:creationId xmlns:a16="http://schemas.microsoft.com/office/drawing/2014/main" id="{00000000-0008-0000-0400-0000B3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40</xdr:row>
      <xdr:rowOff>76200</xdr:rowOff>
    </xdr:from>
    <xdr:ext cx="65" cy="172227"/>
    <xdr:sp macro="" textlink="">
      <xdr:nvSpPr>
        <xdr:cNvPr id="692" name="TextBox 691">
          <a:extLst>
            <a:ext uri="{FF2B5EF4-FFF2-40B4-BE49-F238E27FC236}">
              <a16:creationId xmlns:a16="http://schemas.microsoft.com/office/drawing/2014/main" id="{00000000-0008-0000-0400-0000B4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41</xdr:row>
      <xdr:rowOff>76200</xdr:rowOff>
    </xdr:from>
    <xdr:ext cx="65" cy="172227"/>
    <xdr:sp macro="" textlink="">
      <xdr:nvSpPr>
        <xdr:cNvPr id="693" name="TextBox 692">
          <a:extLst>
            <a:ext uri="{FF2B5EF4-FFF2-40B4-BE49-F238E27FC236}">
              <a16:creationId xmlns:a16="http://schemas.microsoft.com/office/drawing/2014/main" id="{00000000-0008-0000-0400-0000B5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41</xdr:row>
      <xdr:rowOff>76200</xdr:rowOff>
    </xdr:from>
    <xdr:ext cx="65" cy="172227"/>
    <xdr:sp macro="" textlink="">
      <xdr:nvSpPr>
        <xdr:cNvPr id="694" name="TextBox 693">
          <a:extLst>
            <a:ext uri="{FF2B5EF4-FFF2-40B4-BE49-F238E27FC236}">
              <a16:creationId xmlns:a16="http://schemas.microsoft.com/office/drawing/2014/main" id="{00000000-0008-0000-0400-0000B6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42</xdr:row>
      <xdr:rowOff>76200</xdr:rowOff>
    </xdr:from>
    <xdr:ext cx="65" cy="172227"/>
    <xdr:sp macro="" textlink="">
      <xdr:nvSpPr>
        <xdr:cNvPr id="695" name="TextBox 694">
          <a:extLst>
            <a:ext uri="{FF2B5EF4-FFF2-40B4-BE49-F238E27FC236}">
              <a16:creationId xmlns:a16="http://schemas.microsoft.com/office/drawing/2014/main" id="{00000000-0008-0000-0400-0000B7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42</xdr:row>
      <xdr:rowOff>76200</xdr:rowOff>
    </xdr:from>
    <xdr:ext cx="65" cy="172227"/>
    <xdr:sp macro="" textlink="">
      <xdr:nvSpPr>
        <xdr:cNvPr id="696" name="TextBox 695">
          <a:extLst>
            <a:ext uri="{FF2B5EF4-FFF2-40B4-BE49-F238E27FC236}">
              <a16:creationId xmlns:a16="http://schemas.microsoft.com/office/drawing/2014/main" id="{00000000-0008-0000-0400-0000B8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43</xdr:row>
      <xdr:rowOff>76200</xdr:rowOff>
    </xdr:from>
    <xdr:ext cx="65" cy="172227"/>
    <xdr:sp macro="" textlink="">
      <xdr:nvSpPr>
        <xdr:cNvPr id="697" name="TextBox 696">
          <a:extLst>
            <a:ext uri="{FF2B5EF4-FFF2-40B4-BE49-F238E27FC236}">
              <a16:creationId xmlns:a16="http://schemas.microsoft.com/office/drawing/2014/main" id="{00000000-0008-0000-0400-0000B9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43</xdr:row>
      <xdr:rowOff>76200</xdr:rowOff>
    </xdr:from>
    <xdr:ext cx="65" cy="172227"/>
    <xdr:sp macro="" textlink="">
      <xdr:nvSpPr>
        <xdr:cNvPr id="698" name="TextBox 697">
          <a:extLst>
            <a:ext uri="{FF2B5EF4-FFF2-40B4-BE49-F238E27FC236}">
              <a16:creationId xmlns:a16="http://schemas.microsoft.com/office/drawing/2014/main" id="{00000000-0008-0000-0400-0000BA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44</xdr:row>
      <xdr:rowOff>76200</xdr:rowOff>
    </xdr:from>
    <xdr:ext cx="65" cy="172227"/>
    <xdr:sp macro="" textlink="">
      <xdr:nvSpPr>
        <xdr:cNvPr id="699" name="TextBox 698">
          <a:extLst>
            <a:ext uri="{FF2B5EF4-FFF2-40B4-BE49-F238E27FC236}">
              <a16:creationId xmlns:a16="http://schemas.microsoft.com/office/drawing/2014/main" id="{00000000-0008-0000-0400-0000BB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44</xdr:row>
      <xdr:rowOff>76200</xdr:rowOff>
    </xdr:from>
    <xdr:ext cx="65" cy="172227"/>
    <xdr:sp macro="" textlink="">
      <xdr:nvSpPr>
        <xdr:cNvPr id="700" name="TextBox 699">
          <a:extLst>
            <a:ext uri="{FF2B5EF4-FFF2-40B4-BE49-F238E27FC236}">
              <a16:creationId xmlns:a16="http://schemas.microsoft.com/office/drawing/2014/main" id="{00000000-0008-0000-0400-0000BC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45</xdr:row>
      <xdr:rowOff>76200</xdr:rowOff>
    </xdr:from>
    <xdr:ext cx="65" cy="172227"/>
    <xdr:sp macro="" textlink="">
      <xdr:nvSpPr>
        <xdr:cNvPr id="701" name="TextBox 700">
          <a:extLst>
            <a:ext uri="{FF2B5EF4-FFF2-40B4-BE49-F238E27FC236}">
              <a16:creationId xmlns:a16="http://schemas.microsoft.com/office/drawing/2014/main" id="{00000000-0008-0000-0400-0000BD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45</xdr:row>
      <xdr:rowOff>76200</xdr:rowOff>
    </xdr:from>
    <xdr:ext cx="65" cy="172227"/>
    <xdr:sp macro="" textlink="">
      <xdr:nvSpPr>
        <xdr:cNvPr id="702" name="TextBox 701">
          <a:extLst>
            <a:ext uri="{FF2B5EF4-FFF2-40B4-BE49-F238E27FC236}">
              <a16:creationId xmlns:a16="http://schemas.microsoft.com/office/drawing/2014/main" id="{00000000-0008-0000-0400-0000BE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46</xdr:row>
      <xdr:rowOff>76200</xdr:rowOff>
    </xdr:from>
    <xdr:ext cx="65" cy="172227"/>
    <xdr:sp macro="" textlink="">
      <xdr:nvSpPr>
        <xdr:cNvPr id="703" name="TextBox 702">
          <a:extLst>
            <a:ext uri="{FF2B5EF4-FFF2-40B4-BE49-F238E27FC236}">
              <a16:creationId xmlns:a16="http://schemas.microsoft.com/office/drawing/2014/main" id="{00000000-0008-0000-0400-0000BF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46</xdr:row>
      <xdr:rowOff>76200</xdr:rowOff>
    </xdr:from>
    <xdr:ext cx="65" cy="172227"/>
    <xdr:sp macro="" textlink="">
      <xdr:nvSpPr>
        <xdr:cNvPr id="704" name="TextBox 703">
          <a:extLst>
            <a:ext uri="{FF2B5EF4-FFF2-40B4-BE49-F238E27FC236}">
              <a16:creationId xmlns:a16="http://schemas.microsoft.com/office/drawing/2014/main" id="{00000000-0008-0000-0400-0000C0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47</xdr:row>
      <xdr:rowOff>76200</xdr:rowOff>
    </xdr:from>
    <xdr:ext cx="65" cy="172227"/>
    <xdr:sp macro="" textlink="">
      <xdr:nvSpPr>
        <xdr:cNvPr id="705" name="TextBox 704">
          <a:extLst>
            <a:ext uri="{FF2B5EF4-FFF2-40B4-BE49-F238E27FC236}">
              <a16:creationId xmlns:a16="http://schemas.microsoft.com/office/drawing/2014/main" id="{00000000-0008-0000-0400-0000C1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47</xdr:row>
      <xdr:rowOff>76200</xdr:rowOff>
    </xdr:from>
    <xdr:ext cx="65" cy="172227"/>
    <xdr:sp macro="" textlink="">
      <xdr:nvSpPr>
        <xdr:cNvPr id="706" name="TextBox 705">
          <a:extLst>
            <a:ext uri="{FF2B5EF4-FFF2-40B4-BE49-F238E27FC236}">
              <a16:creationId xmlns:a16="http://schemas.microsoft.com/office/drawing/2014/main" id="{00000000-0008-0000-0400-0000C2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48</xdr:row>
      <xdr:rowOff>76200</xdr:rowOff>
    </xdr:from>
    <xdr:ext cx="65" cy="172227"/>
    <xdr:sp macro="" textlink="">
      <xdr:nvSpPr>
        <xdr:cNvPr id="707" name="TextBox 706">
          <a:extLst>
            <a:ext uri="{FF2B5EF4-FFF2-40B4-BE49-F238E27FC236}">
              <a16:creationId xmlns:a16="http://schemas.microsoft.com/office/drawing/2014/main" id="{00000000-0008-0000-0400-0000C3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48</xdr:row>
      <xdr:rowOff>76200</xdr:rowOff>
    </xdr:from>
    <xdr:ext cx="65" cy="172227"/>
    <xdr:sp macro="" textlink="">
      <xdr:nvSpPr>
        <xdr:cNvPr id="708" name="TextBox 707">
          <a:extLst>
            <a:ext uri="{FF2B5EF4-FFF2-40B4-BE49-F238E27FC236}">
              <a16:creationId xmlns:a16="http://schemas.microsoft.com/office/drawing/2014/main" id="{00000000-0008-0000-0400-0000C4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49</xdr:row>
      <xdr:rowOff>76200</xdr:rowOff>
    </xdr:from>
    <xdr:ext cx="65" cy="172227"/>
    <xdr:sp macro="" textlink="">
      <xdr:nvSpPr>
        <xdr:cNvPr id="709" name="TextBox 708">
          <a:extLst>
            <a:ext uri="{FF2B5EF4-FFF2-40B4-BE49-F238E27FC236}">
              <a16:creationId xmlns:a16="http://schemas.microsoft.com/office/drawing/2014/main" id="{00000000-0008-0000-0400-0000C5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49</xdr:row>
      <xdr:rowOff>76200</xdr:rowOff>
    </xdr:from>
    <xdr:ext cx="65" cy="172227"/>
    <xdr:sp macro="" textlink="">
      <xdr:nvSpPr>
        <xdr:cNvPr id="710" name="TextBox 709">
          <a:extLst>
            <a:ext uri="{FF2B5EF4-FFF2-40B4-BE49-F238E27FC236}">
              <a16:creationId xmlns:a16="http://schemas.microsoft.com/office/drawing/2014/main" id="{00000000-0008-0000-0400-0000C6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50</xdr:row>
      <xdr:rowOff>76200</xdr:rowOff>
    </xdr:from>
    <xdr:ext cx="65" cy="172227"/>
    <xdr:sp macro="" textlink="">
      <xdr:nvSpPr>
        <xdr:cNvPr id="711" name="TextBox 710">
          <a:extLst>
            <a:ext uri="{FF2B5EF4-FFF2-40B4-BE49-F238E27FC236}">
              <a16:creationId xmlns:a16="http://schemas.microsoft.com/office/drawing/2014/main" id="{00000000-0008-0000-0400-0000C7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50</xdr:row>
      <xdr:rowOff>76200</xdr:rowOff>
    </xdr:from>
    <xdr:ext cx="65" cy="172227"/>
    <xdr:sp macro="" textlink="">
      <xdr:nvSpPr>
        <xdr:cNvPr id="712" name="TextBox 711">
          <a:extLst>
            <a:ext uri="{FF2B5EF4-FFF2-40B4-BE49-F238E27FC236}">
              <a16:creationId xmlns:a16="http://schemas.microsoft.com/office/drawing/2014/main" id="{00000000-0008-0000-0400-0000C8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51</xdr:row>
      <xdr:rowOff>76200</xdr:rowOff>
    </xdr:from>
    <xdr:ext cx="65" cy="172227"/>
    <xdr:sp macro="" textlink="">
      <xdr:nvSpPr>
        <xdr:cNvPr id="713" name="TextBox 712">
          <a:extLst>
            <a:ext uri="{FF2B5EF4-FFF2-40B4-BE49-F238E27FC236}">
              <a16:creationId xmlns:a16="http://schemas.microsoft.com/office/drawing/2014/main" id="{00000000-0008-0000-0400-0000C9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51</xdr:row>
      <xdr:rowOff>76200</xdr:rowOff>
    </xdr:from>
    <xdr:ext cx="65" cy="172227"/>
    <xdr:sp macro="" textlink="">
      <xdr:nvSpPr>
        <xdr:cNvPr id="714" name="TextBox 713">
          <a:extLst>
            <a:ext uri="{FF2B5EF4-FFF2-40B4-BE49-F238E27FC236}">
              <a16:creationId xmlns:a16="http://schemas.microsoft.com/office/drawing/2014/main" id="{00000000-0008-0000-0400-0000CA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52</xdr:row>
      <xdr:rowOff>76200</xdr:rowOff>
    </xdr:from>
    <xdr:ext cx="65" cy="172227"/>
    <xdr:sp macro="" textlink="">
      <xdr:nvSpPr>
        <xdr:cNvPr id="715" name="TextBox 714">
          <a:extLst>
            <a:ext uri="{FF2B5EF4-FFF2-40B4-BE49-F238E27FC236}">
              <a16:creationId xmlns:a16="http://schemas.microsoft.com/office/drawing/2014/main" id="{00000000-0008-0000-0400-0000CB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52</xdr:row>
      <xdr:rowOff>76200</xdr:rowOff>
    </xdr:from>
    <xdr:ext cx="65" cy="172227"/>
    <xdr:sp macro="" textlink="">
      <xdr:nvSpPr>
        <xdr:cNvPr id="716" name="TextBox 715">
          <a:extLst>
            <a:ext uri="{FF2B5EF4-FFF2-40B4-BE49-F238E27FC236}">
              <a16:creationId xmlns:a16="http://schemas.microsoft.com/office/drawing/2014/main" id="{00000000-0008-0000-0400-0000CC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53</xdr:row>
      <xdr:rowOff>76200</xdr:rowOff>
    </xdr:from>
    <xdr:ext cx="65" cy="172227"/>
    <xdr:sp macro="" textlink="">
      <xdr:nvSpPr>
        <xdr:cNvPr id="717" name="TextBox 716">
          <a:extLst>
            <a:ext uri="{FF2B5EF4-FFF2-40B4-BE49-F238E27FC236}">
              <a16:creationId xmlns:a16="http://schemas.microsoft.com/office/drawing/2014/main" id="{00000000-0008-0000-0400-0000CD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53</xdr:row>
      <xdr:rowOff>76200</xdr:rowOff>
    </xdr:from>
    <xdr:ext cx="65" cy="172227"/>
    <xdr:sp macro="" textlink="">
      <xdr:nvSpPr>
        <xdr:cNvPr id="718" name="TextBox 717">
          <a:extLst>
            <a:ext uri="{FF2B5EF4-FFF2-40B4-BE49-F238E27FC236}">
              <a16:creationId xmlns:a16="http://schemas.microsoft.com/office/drawing/2014/main" id="{00000000-0008-0000-0400-0000CE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54</xdr:row>
      <xdr:rowOff>76200</xdr:rowOff>
    </xdr:from>
    <xdr:ext cx="65" cy="172227"/>
    <xdr:sp macro="" textlink="">
      <xdr:nvSpPr>
        <xdr:cNvPr id="719" name="TextBox 718">
          <a:extLst>
            <a:ext uri="{FF2B5EF4-FFF2-40B4-BE49-F238E27FC236}">
              <a16:creationId xmlns:a16="http://schemas.microsoft.com/office/drawing/2014/main" id="{00000000-0008-0000-0400-0000CF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54</xdr:row>
      <xdr:rowOff>76200</xdr:rowOff>
    </xdr:from>
    <xdr:ext cx="65" cy="172227"/>
    <xdr:sp macro="" textlink="">
      <xdr:nvSpPr>
        <xdr:cNvPr id="720" name="TextBox 719">
          <a:extLst>
            <a:ext uri="{FF2B5EF4-FFF2-40B4-BE49-F238E27FC236}">
              <a16:creationId xmlns:a16="http://schemas.microsoft.com/office/drawing/2014/main" id="{00000000-0008-0000-0400-0000D0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55</xdr:row>
      <xdr:rowOff>76200</xdr:rowOff>
    </xdr:from>
    <xdr:ext cx="65" cy="172227"/>
    <xdr:sp macro="" textlink="">
      <xdr:nvSpPr>
        <xdr:cNvPr id="721" name="TextBox 720">
          <a:extLst>
            <a:ext uri="{FF2B5EF4-FFF2-40B4-BE49-F238E27FC236}">
              <a16:creationId xmlns:a16="http://schemas.microsoft.com/office/drawing/2014/main" id="{00000000-0008-0000-0400-0000D1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55</xdr:row>
      <xdr:rowOff>76200</xdr:rowOff>
    </xdr:from>
    <xdr:ext cx="65" cy="172227"/>
    <xdr:sp macro="" textlink="">
      <xdr:nvSpPr>
        <xdr:cNvPr id="722" name="TextBox 721">
          <a:extLst>
            <a:ext uri="{FF2B5EF4-FFF2-40B4-BE49-F238E27FC236}">
              <a16:creationId xmlns:a16="http://schemas.microsoft.com/office/drawing/2014/main" id="{00000000-0008-0000-0400-0000D2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56</xdr:row>
      <xdr:rowOff>76200</xdr:rowOff>
    </xdr:from>
    <xdr:ext cx="65" cy="172227"/>
    <xdr:sp macro="" textlink="">
      <xdr:nvSpPr>
        <xdr:cNvPr id="723" name="TextBox 722">
          <a:extLst>
            <a:ext uri="{FF2B5EF4-FFF2-40B4-BE49-F238E27FC236}">
              <a16:creationId xmlns:a16="http://schemas.microsoft.com/office/drawing/2014/main" id="{00000000-0008-0000-0400-0000D3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56</xdr:row>
      <xdr:rowOff>76200</xdr:rowOff>
    </xdr:from>
    <xdr:ext cx="65" cy="172227"/>
    <xdr:sp macro="" textlink="">
      <xdr:nvSpPr>
        <xdr:cNvPr id="724" name="TextBox 723">
          <a:extLst>
            <a:ext uri="{FF2B5EF4-FFF2-40B4-BE49-F238E27FC236}">
              <a16:creationId xmlns:a16="http://schemas.microsoft.com/office/drawing/2014/main" id="{00000000-0008-0000-0400-0000D4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57</xdr:row>
      <xdr:rowOff>76200</xdr:rowOff>
    </xdr:from>
    <xdr:ext cx="65" cy="172227"/>
    <xdr:sp macro="" textlink="">
      <xdr:nvSpPr>
        <xdr:cNvPr id="725" name="TextBox 724">
          <a:extLst>
            <a:ext uri="{FF2B5EF4-FFF2-40B4-BE49-F238E27FC236}">
              <a16:creationId xmlns:a16="http://schemas.microsoft.com/office/drawing/2014/main" id="{00000000-0008-0000-0400-0000D5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57</xdr:row>
      <xdr:rowOff>76200</xdr:rowOff>
    </xdr:from>
    <xdr:ext cx="65" cy="172227"/>
    <xdr:sp macro="" textlink="">
      <xdr:nvSpPr>
        <xdr:cNvPr id="726" name="TextBox 725">
          <a:extLst>
            <a:ext uri="{FF2B5EF4-FFF2-40B4-BE49-F238E27FC236}">
              <a16:creationId xmlns:a16="http://schemas.microsoft.com/office/drawing/2014/main" id="{00000000-0008-0000-0400-0000D6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58</xdr:row>
      <xdr:rowOff>76200</xdr:rowOff>
    </xdr:from>
    <xdr:ext cx="65" cy="172227"/>
    <xdr:sp macro="" textlink="">
      <xdr:nvSpPr>
        <xdr:cNvPr id="727" name="TextBox 726">
          <a:extLst>
            <a:ext uri="{FF2B5EF4-FFF2-40B4-BE49-F238E27FC236}">
              <a16:creationId xmlns:a16="http://schemas.microsoft.com/office/drawing/2014/main" id="{00000000-0008-0000-0400-0000D7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58</xdr:row>
      <xdr:rowOff>76200</xdr:rowOff>
    </xdr:from>
    <xdr:ext cx="65" cy="172227"/>
    <xdr:sp macro="" textlink="">
      <xdr:nvSpPr>
        <xdr:cNvPr id="728" name="TextBox 727">
          <a:extLst>
            <a:ext uri="{FF2B5EF4-FFF2-40B4-BE49-F238E27FC236}">
              <a16:creationId xmlns:a16="http://schemas.microsoft.com/office/drawing/2014/main" id="{00000000-0008-0000-0400-0000D8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59</xdr:row>
      <xdr:rowOff>76200</xdr:rowOff>
    </xdr:from>
    <xdr:ext cx="65" cy="172227"/>
    <xdr:sp macro="" textlink="">
      <xdr:nvSpPr>
        <xdr:cNvPr id="729" name="TextBox 728">
          <a:extLst>
            <a:ext uri="{FF2B5EF4-FFF2-40B4-BE49-F238E27FC236}">
              <a16:creationId xmlns:a16="http://schemas.microsoft.com/office/drawing/2014/main" id="{00000000-0008-0000-0400-0000D9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59</xdr:row>
      <xdr:rowOff>76200</xdr:rowOff>
    </xdr:from>
    <xdr:ext cx="65" cy="172227"/>
    <xdr:sp macro="" textlink="">
      <xdr:nvSpPr>
        <xdr:cNvPr id="730" name="TextBox 729">
          <a:extLst>
            <a:ext uri="{FF2B5EF4-FFF2-40B4-BE49-F238E27FC236}">
              <a16:creationId xmlns:a16="http://schemas.microsoft.com/office/drawing/2014/main" id="{00000000-0008-0000-0400-0000DA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60</xdr:row>
      <xdr:rowOff>76200</xdr:rowOff>
    </xdr:from>
    <xdr:ext cx="65" cy="172227"/>
    <xdr:sp macro="" textlink="">
      <xdr:nvSpPr>
        <xdr:cNvPr id="731" name="TextBox 730">
          <a:extLst>
            <a:ext uri="{FF2B5EF4-FFF2-40B4-BE49-F238E27FC236}">
              <a16:creationId xmlns:a16="http://schemas.microsoft.com/office/drawing/2014/main" id="{00000000-0008-0000-0400-0000DB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60</xdr:row>
      <xdr:rowOff>76200</xdr:rowOff>
    </xdr:from>
    <xdr:ext cx="65" cy="172227"/>
    <xdr:sp macro="" textlink="">
      <xdr:nvSpPr>
        <xdr:cNvPr id="732" name="TextBox 731">
          <a:extLst>
            <a:ext uri="{FF2B5EF4-FFF2-40B4-BE49-F238E27FC236}">
              <a16:creationId xmlns:a16="http://schemas.microsoft.com/office/drawing/2014/main" id="{00000000-0008-0000-0400-0000DC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61</xdr:row>
      <xdr:rowOff>76200</xdr:rowOff>
    </xdr:from>
    <xdr:ext cx="65" cy="172227"/>
    <xdr:sp macro="" textlink="">
      <xdr:nvSpPr>
        <xdr:cNvPr id="733" name="TextBox 732">
          <a:extLst>
            <a:ext uri="{FF2B5EF4-FFF2-40B4-BE49-F238E27FC236}">
              <a16:creationId xmlns:a16="http://schemas.microsoft.com/office/drawing/2014/main" id="{00000000-0008-0000-0400-0000DD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61</xdr:row>
      <xdr:rowOff>76200</xdr:rowOff>
    </xdr:from>
    <xdr:ext cx="65" cy="172227"/>
    <xdr:sp macro="" textlink="">
      <xdr:nvSpPr>
        <xdr:cNvPr id="734" name="TextBox 733">
          <a:extLst>
            <a:ext uri="{FF2B5EF4-FFF2-40B4-BE49-F238E27FC236}">
              <a16:creationId xmlns:a16="http://schemas.microsoft.com/office/drawing/2014/main" id="{00000000-0008-0000-0400-0000DE020000}"/>
            </a:ext>
          </a:extLst>
        </xdr:cNvPr>
        <xdr:cNvSpPr txBox="1"/>
      </xdr:nvSpPr>
      <xdr:spPr>
        <a:xfrm>
          <a:off x="15725775" y="3790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62</xdr:row>
      <xdr:rowOff>76200</xdr:rowOff>
    </xdr:from>
    <xdr:ext cx="65" cy="172227"/>
    <xdr:sp macro="" textlink="">
      <xdr:nvSpPr>
        <xdr:cNvPr id="735" name="TextBox 734">
          <a:extLst>
            <a:ext uri="{FF2B5EF4-FFF2-40B4-BE49-F238E27FC236}">
              <a16:creationId xmlns:a16="http://schemas.microsoft.com/office/drawing/2014/main" id="{00000000-0008-0000-0400-0000DF020000}"/>
            </a:ext>
          </a:extLst>
        </xdr:cNvPr>
        <xdr:cNvSpPr txBox="1"/>
      </xdr:nvSpPr>
      <xdr:spPr>
        <a:xfrm>
          <a:off x="15725775"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21</xdr:row>
      <xdr:rowOff>76200</xdr:rowOff>
    </xdr:from>
    <xdr:ext cx="65" cy="172227"/>
    <xdr:sp macro="" textlink="">
      <xdr:nvSpPr>
        <xdr:cNvPr id="736" name="TextBox 735">
          <a:extLst>
            <a:ext uri="{FF2B5EF4-FFF2-40B4-BE49-F238E27FC236}">
              <a16:creationId xmlns:a16="http://schemas.microsoft.com/office/drawing/2014/main" id="{00000000-0008-0000-0400-0000E0020000}"/>
            </a:ext>
          </a:extLst>
        </xdr:cNvPr>
        <xdr:cNvSpPr txBox="1"/>
      </xdr:nvSpPr>
      <xdr:spPr>
        <a:xfrm>
          <a:off x="15725775"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21</xdr:row>
      <xdr:rowOff>76200</xdr:rowOff>
    </xdr:from>
    <xdr:ext cx="65" cy="172227"/>
    <xdr:sp macro="" textlink="">
      <xdr:nvSpPr>
        <xdr:cNvPr id="737" name="TextBox 736">
          <a:extLst>
            <a:ext uri="{FF2B5EF4-FFF2-40B4-BE49-F238E27FC236}">
              <a16:creationId xmlns:a16="http://schemas.microsoft.com/office/drawing/2014/main" id="{00000000-0008-0000-0400-0000E1020000}"/>
            </a:ext>
          </a:extLst>
        </xdr:cNvPr>
        <xdr:cNvSpPr txBox="1"/>
      </xdr:nvSpPr>
      <xdr:spPr>
        <a:xfrm>
          <a:off x="15725775"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22</xdr:row>
      <xdr:rowOff>76200</xdr:rowOff>
    </xdr:from>
    <xdr:ext cx="65" cy="172227"/>
    <xdr:sp macro="" textlink="">
      <xdr:nvSpPr>
        <xdr:cNvPr id="738" name="TextBox 737">
          <a:extLst>
            <a:ext uri="{FF2B5EF4-FFF2-40B4-BE49-F238E27FC236}">
              <a16:creationId xmlns:a16="http://schemas.microsoft.com/office/drawing/2014/main" id="{00000000-0008-0000-0400-0000E2020000}"/>
            </a:ext>
          </a:extLst>
        </xdr:cNvPr>
        <xdr:cNvSpPr txBox="1"/>
      </xdr:nvSpPr>
      <xdr:spPr>
        <a:xfrm>
          <a:off x="15725775"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22</xdr:row>
      <xdr:rowOff>76200</xdr:rowOff>
    </xdr:from>
    <xdr:ext cx="65" cy="172227"/>
    <xdr:sp macro="" textlink="">
      <xdr:nvSpPr>
        <xdr:cNvPr id="739" name="TextBox 738">
          <a:extLst>
            <a:ext uri="{FF2B5EF4-FFF2-40B4-BE49-F238E27FC236}">
              <a16:creationId xmlns:a16="http://schemas.microsoft.com/office/drawing/2014/main" id="{00000000-0008-0000-0400-0000E3020000}"/>
            </a:ext>
          </a:extLst>
        </xdr:cNvPr>
        <xdr:cNvSpPr txBox="1"/>
      </xdr:nvSpPr>
      <xdr:spPr>
        <a:xfrm>
          <a:off x="15725775"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0" name="TextBox 739">
          <a:extLst>
            <a:ext uri="{FF2B5EF4-FFF2-40B4-BE49-F238E27FC236}">
              <a16:creationId xmlns:a16="http://schemas.microsoft.com/office/drawing/2014/main" id="{00000000-0008-0000-0400-0000E4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1" name="TextBox 740">
          <a:extLst>
            <a:ext uri="{FF2B5EF4-FFF2-40B4-BE49-F238E27FC236}">
              <a16:creationId xmlns:a16="http://schemas.microsoft.com/office/drawing/2014/main" id="{00000000-0008-0000-0400-0000E5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2" name="TextBox 741">
          <a:extLst>
            <a:ext uri="{FF2B5EF4-FFF2-40B4-BE49-F238E27FC236}">
              <a16:creationId xmlns:a16="http://schemas.microsoft.com/office/drawing/2014/main" id="{00000000-0008-0000-0400-0000E6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3" name="TextBox 742">
          <a:extLst>
            <a:ext uri="{FF2B5EF4-FFF2-40B4-BE49-F238E27FC236}">
              <a16:creationId xmlns:a16="http://schemas.microsoft.com/office/drawing/2014/main" id="{00000000-0008-0000-0400-0000E7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4" name="TextBox 743">
          <a:extLst>
            <a:ext uri="{FF2B5EF4-FFF2-40B4-BE49-F238E27FC236}">
              <a16:creationId xmlns:a16="http://schemas.microsoft.com/office/drawing/2014/main" id="{00000000-0008-0000-0400-0000E8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5" name="TextBox 744">
          <a:extLst>
            <a:ext uri="{FF2B5EF4-FFF2-40B4-BE49-F238E27FC236}">
              <a16:creationId xmlns:a16="http://schemas.microsoft.com/office/drawing/2014/main" id="{00000000-0008-0000-0400-0000E9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6" name="TextBox 745">
          <a:extLst>
            <a:ext uri="{FF2B5EF4-FFF2-40B4-BE49-F238E27FC236}">
              <a16:creationId xmlns:a16="http://schemas.microsoft.com/office/drawing/2014/main" id="{00000000-0008-0000-0400-0000EA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7" name="TextBox 746">
          <a:extLst>
            <a:ext uri="{FF2B5EF4-FFF2-40B4-BE49-F238E27FC236}">
              <a16:creationId xmlns:a16="http://schemas.microsoft.com/office/drawing/2014/main" id="{00000000-0008-0000-0400-0000EB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8" name="TextBox 747">
          <a:extLst>
            <a:ext uri="{FF2B5EF4-FFF2-40B4-BE49-F238E27FC236}">
              <a16:creationId xmlns:a16="http://schemas.microsoft.com/office/drawing/2014/main" id="{00000000-0008-0000-0400-0000EC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49" name="TextBox 748">
          <a:extLst>
            <a:ext uri="{FF2B5EF4-FFF2-40B4-BE49-F238E27FC236}">
              <a16:creationId xmlns:a16="http://schemas.microsoft.com/office/drawing/2014/main" id="{00000000-0008-0000-0400-0000ED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50" name="TextBox 749">
          <a:extLst>
            <a:ext uri="{FF2B5EF4-FFF2-40B4-BE49-F238E27FC236}">
              <a16:creationId xmlns:a16="http://schemas.microsoft.com/office/drawing/2014/main" id="{00000000-0008-0000-0400-0000EE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51" name="TextBox 750">
          <a:extLst>
            <a:ext uri="{FF2B5EF4-FFF2-40B4-BE49-F238E27FC236}">
              <a16:creationId xmlns:a16="http://schemas.microsoft.com/office/drawing/2014/main" id="{00000000-0008-0000-0400-0000EF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2" name="TextBox 751">
          <a:extLst>
            <a:ext uri="{FF2B5EF4-FFF2-40B4-BE49-F238E27FC236}">
              <a16:creationId xmlns:a16="http://schemas.microsoft.com/office/drawing/2014/main" id="{00000000-0008-0000-0400-0000F0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3" name="TextBox 752">
          <a:extLst>
            <a:ext uri="{FF2B5EF4-FFF2-40B4-BE49-F238E27FC236}">
              <a16:creationId xmlns:a16="http://schemas.microsoft.com/office/drawing/2014/main" id="{00000000-0008-0000-0400-0000F1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4" name="TextBox 753">
          <a:extLst>
            <a:ext uri="{FF2B5EF4-FFF2-40B4-BE49-F238E27FC236}">
              <a16:creationId xmlns:a16="http://schemas.microsoft.com/office/drawing/2014/main" id="{00000000-0008-0000-0400-0000F2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5" name="TextBox 754">
          <a:extLst>
            <a:ext uri="{FF2B5EF4-FFF2-40B4-BE49-F238E27FC236}">
              <a16:creationId xmlns:a16="http://schemas.microsoft.com/office/drawing/2014/main" id="{00000000-0008-0000-0400-0000F3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6" name="TextBox 755">
          <a:extLst>
            <a:ext uri="{FF2B5EF4-FFF2-40B4-BE49-F238E27FC236}">
              <a16:creationId xmlns:a16="http://schemas.microsoft.com/office/drawing/2014/main" id="{00000000-0008-0000-0400-0000F4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21</xdr:row>
      <xdr:rowOff>76200</xdr:rowOff>
    </xdr:from>
    <xdr:ext cx="65" cy="172227"/>
    <xdr:sp macro="" textlink="">
      <xdr:nvSpPr>
        <xdr:cNvPr id="757" name="TextBox 756">
          <a:extLst>
            <a:ext uri="{FF2B5EF4-FFF2-40B4-BE49-F238E27FC236}">
              <a16:creationId xmlns:a16="http://schemas.microsoft.com/office/drawing/2014/main" id="{00000000-0008-0000-0400-0000F5020000}"/>
            </a:ext>
          </a:extLst>
        </xdr:cNvPr>
        <xdr:cNvSpPr txBox="1"/>
      </xdr:nvSpPr>
      <xdr:spPr>
        <a:xfrm>
          <a:off x="7791450" y="7315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8" name="TextBox 757">
          <a:extLst>
            <a:ext uri="{FF2B5EF4-FFF2-40B4-BE49-F238E27FC236}">
              <a16:creationId xmlns:a16="http://schemas.microsoft.com/office/drawing/2014/main" id="{00000000-0008-0000-0400-0000F6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59" name="TextBox 758">
          <a:extLst>
            <a:ext uri="{FF2B5EF4-FFF2-40B4-BE49-F238E27FC236}">
              <a16:creationId xmlns:a16="http://schemas.microsoft.com/office/drawing/2014/main" id="{00000000-0008-0000-0400-0000F7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0" name="TextBox 759">
          <a:extLst>
            <a:ext uri="{FF2B5EF4-FFF2-40B4-BE49-F238E27FC236}">
              <a16:creationId xmlns:a16="http://schemas.microsoft.com/office/drawing/2014/main" id="{00000000-0008-0000-0400-0000F8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1" name="TextBox 760">
          <a:extLst>
            <a:ext uri="{FF2B5EF4-FFF2-40B4-BE49-F238E27FC236}">
              <a16:creationId xmlns:a16="http://schemas.microsoft.com/office/drawing/2014/main" id="{00000000-0008-0000-0400-0000F9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2" name="TextBox 761">
          <a:extLst>
            <a:ext uri="{FF2B5EF4-FFF2-40B4-BE49-F238E27FC236}">
              <a16:creationId xmlns:a16="http://schemas.microsoft.com/office/drawing/2014/main" id="{00000000-0008-0000-0400-0000FA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3" name="TextBox 762">
          <a:extLst>
            <a:ext uri="{FF2B5EF4-FFF2-40B4-BE49-F238E27FC236}">
              <a16:creationId xmlns:a16="http://schemas.microsoft.com/office/drawing/2014/main" id="{00000000-0008-0000-0400-0000FB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4" name="TextBox 763">
          <a:extLst>
            <a:ext uri="{FF2B5EF4-FFF2-40B4-BE49-F238E27FC236}">
              <a16:creationId xmlns:a16="http://schemas.microsoft.com/office/drawing/2014/main" id="{00000000-0008-0000-0400-0000FC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942975</xdr:colOff>
      <xdr:row>22</xdr:row>
      <xdr:rowOff>76200</xdr:rowOff>
    </xdr:from>
    <xdr:ext cx="65" cy="172227"/>
    <xdr:sp macro="" textlink="">
      <xdr:nvSpPr>
        <xdr:cNvPr id="765" name="TextBox 764">
          <a:extLst>
            <a:ext uri="{FF2B5EF4-FFF2-40B4-BE49-F238E27FC236}">
              <a16:creationId xmlns:a16="http://schemas.microsoft.com/office/drawing/2014/main" id="{00000000-0008-0000-0400-0000FD020000}"/>
            </a:ext>
          </a:extLst>
        </xdr:cNvPr>
        <xdr:cNvSpPr txBox="1"/>
      </xdr:nvSpPr>
      <xdr:spPr>
        <a:xfrm>
          <a:off x="7791450" y="750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66" name="TextBox 765">
          <a:extLst>
            <a:ext uri="{FF2B5EF4-FFF2-40B4-BE49-F238E27FC236}">
              <a16:creationId xmlns:a16="http://schemas.microsoft.com/office/drawing/2014/main" id="{00000000-0008-0000-0400-0000FE02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67" name="TextBox 766">
          <a:extLst>
            <a:ext uri="{FF2B5EF4-FFF2-40B4-BE49-F238E27FC236}">
              <a16:creationId xmlns:a16="http://schemas.microsoft.com/office/drawing/2014/main" id="{00000000-0008-0000-0400-0000FF02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68" name="TextBox 767">
          <a:extLst>
            <a:ext uri="{FF2B5EF4-FFF2-40B4-BE49-F238E27FC236}">
              <a16:creationId xmlns:a16="http://schemas.microsoft.com/office/drawing/2014/main" id="{00000000-0008-0000-0400-000000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69" name="TextBox 768">
          <a:extLst>
            <a:ext uri="{FF2B5EF4-FFF2-40B4-BE49-F238E27FC236}">
              <a16:creationId xmlns:a16="http://schemas.microsoft.com/office/drawing/2014/main" id="{00000000-0008-0000-0400-000001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70" name="TextBox 769">
          <a:extLst>
            <a:ext uri="{FF2B5EF4-FFF2-40B4-BE49-F238E27FC236}">
              <a16:creationId xmlns:a16="http://schemas.microsoft.com/office/drawing/2014/main" id="{00000000-0008-0000-0400-000002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71" name="TextBox 770">
          <a:extLst>
            <a:ext uri="{FF2B5EF4-FFF2-40B4-BE49-F238E27FC236}">
              <a16:creationId xmlns:a16="http://schemas.microsoft.com/office/drawing/2014/main" id="{00000000-0008-0000-0400-000003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72" name="TextBox 771">
          <a:extLst>
            <a:ext uri="{FF2B5EF4-FFF2-40B4-BE49-F238E27FC236}">
              <a16:creationId xmlns:a16="http://schemas.microsoft.com/office/drawing/2014/main" id="{00000000-0008-0000-0400-000004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15</xdr:col>
      <xdr:colOff>942975</xdr:colOff>
      <xdr:row>64</xdr:row>
      <xdr:rowOff>76200</xdr:rowOff>
    </xdr:from>
    <xdr:ext cx="65" cy="172227"/>
    <xdr:sp macro="" textlink="">
      <xdr:nvSpPr>
        <xdr:cNvPr id="773" name="TextBox 772">
          <a:extLst>
            <a:ext uri="{FF2B5EF4-FFF2-40B4-BE49-F238E27FC236}">
              <a16:creationId xmlns:a16="http://schemas.microsoft.com/office/drawing/2014/main" id="{00000000-0008-0000-0400-000005030000}"/>
            </a:ext>
          </a:extLst>
        </xdr:cNvPr>
        <xdr:cNvSpPr txBox="1"/>
      </xdr:nvSpPr>
      <xdr:spPr>
        <a:xfrm>
          <a:off x="15725775" y="11315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219076</xdr:colOff>
      <xdr:row>81</xdr:row>
      <xdr:rowOff>47626</xdr:rowOff>
    </xdr:from>
    <xdr:to>
      <xdr:col>8</xdr:col>
      <xdr:colOff>962025</xdr:colOff>
      <xdr:row>88</xdr:row>
      <xdr:rowOff>153032</xdr:rowOff>
    </xdr:to>
    <xdr:pic>
      <xdr:nvPicPr>
        <xdr:cNvPr id="2" name="Picture 1" descr="Source: AP-42, Figure 13.2.2-1" title="Minnesota mean rain fall of 0.01 inches or mo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29451" y="14382751"/>
          <a:ext cx="1828799" cy="1438906"/>
        </a:xfrm>
        <a:prstGeom prst="rect">
          <a:avLst/>
        </a:prstGeom>
      </xdr:spPr>
    </xdr:pic>
    <xdr:clientData/>
  </xdr:twoCellAnchor>
  <xdr:twoCellAnchor editAs="oneCell">
    <xdr:from>
      <xdr:col>22</xdr:col>
      <xdr:colOff>0</xdr:colOff>
      <xdr:row>41</xdr:row>
      <xdr:rowOff>1</xdr:rowOff>
    </xdr:from>
    <xdr:to>
      <xdr:col>30</xdr:col>
      <xdr:colOff>257175</xdr:colOff>
      <xdr:row>72</xdr:row>
      <xdr:rowOff>53275</xdr:rowOff>
    </xdr:to>
    <xdr:pic>
      <xdr:nvPicPr>
        <xdr:cNvPr id="4" name="Picture 3">
          <a:extLst>
            <a:ext uri="{FF2B5EF4-FFF2-40B4-BE49-F238E27FC236}">
              <a16:creationId xmlns:a16="http://schemas.microsoft.com/office/drawing/2014/main" id="{F54687AA-9284-B79B-8DEC-4CBB521ADBC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707600" y="8010526"/>
          <a:ext cx="5210175" cy="60349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ED147F-5A55-4169-BDAB-2FD5C5133D52}" name="Table4" displayName="Table4" ref="A5:B14" totalsRowShown="0" headerRowDxfId="62" dataDxfId="61" headerRowCellStyle="PCA Body Text" dataCellStyle="PCA Body Text">
  <autoFilter ref="A5:B14" xr:uid="{92ED147F-5A55-4169-BDAB-2FD5C5133D52}"/>
  <tableColumns count="2">
    <tableColumn id="1" xr3:uid="{491C4317-1343-4A51-A5B8-33567A69DD2B}" name="Engine and Fuel Type" dataDxfId="60" dataCellStyle="PCA Body Text"/>
    <tableColumn id="2" xr3:uid="{F81EC23C-8DF2-4134-AC3D-94B63D9C4AC9}" name="Choose one to calculate actual emissions" dataDxfId="59" dataCellStyle="PCA Body Text"/>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855C42E-60E8-4F4E-A975-C8A01133C566}" name="Table5" displayName="Table5" ref="A16:A19" totalsRowShown="0" headerRowDxfId="58" dataDxfId="57" headerRowCellStyle="Normal 2" dataCellStyle="PCA Body Text">
  <autoFilter ref="A16:A19" xr:uid="{B855C42E-60E8-4F4E-A975-C8A01133C566}"/>
  <tableColumns count="1">
    <tableColumn id="1" xr3:uid="{09CDF25D-685C-4F4D-A133-3ED2F0A86C67}" name="Engine Use" dataDxfId="56" dataCellStyle="PCA Body Text"/>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ca.state.mn.us/business-with-us/hot-mix-asphalt" TargetMode="External"/><Relationship Id="rId2" Type="http://schemas.openxmlformats.org/officeDocument/2006/relationships/hyperlink" Target="https://www.pca.state.mn.us/smallbizhelp" TargetMode="External"/><Relationship Id="rId1" Type="http://schemas.openxmlformats.org/officeDocument/2006/relationships/hyperlink" Target="mailto:smallbizhelp.pca@state.mn.u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hyperlink" Target="https://www.revisor.mn.gov/rules/7007.1300/" TargetMode="External"/><Relationship Id="rId3" Type="http://schemas.openxmlformats.org/officeDocument/2006/relationships/hyperlink" Target="https://www.pca.state.mn.us/sites/default/files/aq-f1-ec03.doc" TargetMode="External"/><Relationship Id="rId7" Type="http://schemas.openxmlformats.org/officeDocument/2006/relationships/hyperlink" Target="https://www.pca.state.mn.us/business-with-us/air-permit-types" TargetMode="External"/><Relationship Id="rId2" Type="http://schemas.openxmlformats.org/officeDocument/2006/relationships/hyperlink" Target="https://www.pca.state.mn.us/air/engines" TargetMode="External"/><Relationship Id="rId1" Type="http://schemas.openxmlformats.org/officeDocument/2006/relationships/hyperlink" Target="https://www.epa.gov/scram/air-quality-dispersion-modeling-screening-models" TargetMode="External"/><Relationship Id="rId6" Type="http://schemas.openxmlformats.org/officeDocument/2006/relationships/hyperlink" Target="https://www.pca.state.mn.us/business-with-us/air-registration-permits" TargetMode="External"/><Relationship Id="rId11" Type="http://schemas.openxmlformats.org/officeDocument/2006/relationships/printerSettings" Target="../printerSettings/printerSettings12.bin"/><Relationship Id="rId5" Type="http://schemas.openxmlformats.org/officeDocument/2006/relationships/hyperlink" Target="https://www.pca.state.mn.us/air/air-permit-forms-and-online-submittals" TargetMode="External"/><Relationship Id="rId10" Type="http://schemas.openxmlformats.org/officeDocument/2006/relationships/hyperlink" Target="https://www.pca.state.mn.us/sites/default/files/aq-f1-ec03.docx" TargetMode="External"/><Relationship Id="rId4" Type="http://schemas.openxmlformats.org/officeDocument/2006/relationships/hyperlink" Target="https://www.pca.state.mn.us/business-with-us/air-permit-application-forms" TargetMode="External"/><Relationship Id="rId9" Type="http://schemas.openxmlformats.org/officeDocument/2006/relationships/hyperlink" Target="https://www.revisor.mn.gov/rules/7007.0300/"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https://www.ecfr.gov/cgi-bin/retrieveECFR?gp=&amp;SID=413463dedd71f779cc0452b056c8741a&amp;mc=true&amp;n=sp40.23.98.c&amp;r=SUBPART&amp;ty=HTML" TargetMode="External"/><Relationship Id="rId13" Type="http://schemas.openxmlformats.org/officeDocument/2006/relationships/hyperlink" Target="https://www3.epa.gov/ttn/chief/ap42/ch03/final/c03s02.pdf" TargetMode="External"/><Relationship Id="rId18" Type="http://schemas.openxmlformats.org/officeDocument/2006/relationships/vmlDrawing" Target="../drawings/vmlDrawing4.vml"/><Relationship Id="rId3" Type="http://schemas.openxmlformats.org/officeDocument/2006/relationships/hyperlink" Target="https://www3.epa.gov/ttn/chief/ap42/ch03/final/c03s01.pdf" TargetMode="External"/><Relationship Id="rId7" Type="http://schemas.openxmlformats.org/officeDocument/2006/relationships/hyperlink" Target="https://www3.epa.gov/ttn/chief/ap42/ch03/final/c03s02.pdf" TargetMode="External"/><Relationship Id="rId12" Type="http://schemas.openxmlformats.org/officeDocument/2006/relationships/hyperlink" Target="https://www3.epa.gov/ttn/chief/ap42/ch03/final/c03s02.pdf" TargetMode="External"/><Relationship Id="rId17" Type="http://schemas.openxmlformats.org/officeDocument/2006/relationships/printerSettings" Target="../printerSettings/printerSettings14.bin"/><Relationship Id="rId2" Type="http://schemas.openxmlformats.org/officeDocument/2006/relationships/hyperlink" Target="https://www3.epa.gov/ttn/chief/ap42/ch03/final/c03s02.pdf" TargetMode="External"/><Relationship Id="rId16" Type="http://schemas.openxmlformats.org/officeDocument/2006/relationships/hyperlink" Target="https://www.ecfr.gov/cgi-bin/retrieveECFR?gp=&amp;SID=413463dedd71f779cc0452b056c8741a&amp;mc=true&amp;n=sp40.23.98.c&amp;r=SUBPART&amp;ty=HTML" TargetMode="External"/><Relationship Id="rId1" Type="http://schemas.openxmlformats.org/officeDocument/2006/relationships/hyperlink" Target="https://www3.epa.gov/ttn/chief/ap42/ch03/final/c03s02.pdf" TargetMode="External"/><Relationship Id="rId6" Type="http://schemas.openxmlformats.org/officeDocument/2006/relationships/hyperlink" Target="https://www3.epa.gov/ttn/chief/ap42/ch03/final/c03s04.pdf" TargetMode="External"/><Relationship Id="rId11" Type="http://schemas.openxmlformats.org/officeDocument/2006/relationships/hyperlink" Target="https://www3.epa.gov/ttn/chief/ap42/ch03/final/c03s04.pdf" TargetMode="External"/><Relationship Id="rId5" Type="http://schemas.openxmlformats.org/officeDocument/2006/relationships/hyperlink" Target="https://www3.epa.gov/ttn/chief/ap42/ch03/final/c03s03.pdf" TargetMode="External"/><Relationship Id="rId15" Type="http://schemas.openxmlformats.org/officeDocument/2006/relationships/hyperlink" Target="https://www3.epa.gov/ttnchie1/conference/ei12/area/haneke.pdf" TargetMode="External"/><Relationship Id="rId10" Type="http://schemas.openxmlformats.org/officeDocument/2006/relationships/hyperlink" Target="https://www3.epa.gov/ttn/chief/ap42/ch03/final/c03s03.pdf" TargetMode="External"/><Relationship Id="rId19" Type="http://schemas.openxmlformats.org/officeDocument/2006/relationships/comments" Target="../comments4.xml"/><Relationship Id="rId4" Type="http://schemas.openxmlformats.org/officeDocument/2006/relationships/hyperlink" Target="https://www3.epa.gov/ttn/chief/ap42/ch03/final/c03s03.pdf" TargetMode="External"/><Relationship Id="rId9" Type="http://schemas.openxmlformats.org/officeDocument/2006/relationships/hyperlink" Target="https://www3.epa.gov/ttn/chief/ap42/ch03/final/c03s01.pdf" TargetMode="External"/><Relationship Id="rId14" Type="http://schemas.openxmlformats.org/officeDocument/2006/relationships/hyperlink" Target="https://www3.epa.gov/ttn/chief/ap42/ch03/final/c03s02.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pca.state.mn.us/sites/default/files/aq-f3-rp07.doc" TargetMode="External"/><Relationship Id="rId13" Type="http://schemas.openxmlformats.org/officeDocument/2006/relationships/hyperlink" Target="https://www.epa.gov/stationary-sources-air-pollution/nonmetallic-mineral-processing-new-source-performance-standards" TargetMode="External"/><Relationship Id="rId18" Type="http://schemas.openxmlformats.org/officeDocument/2006/relationships/hyperlink" Target="https://www.pca.state.mn.us/sites/default/files/aq-f1-gi09d.docx" TargetMode="External"/><Relationship Id="rId3" Type="http://schemas.openxmlformats.org/officeDocument/2006/relationships/hyperlink" Target="https://www.epa.gov/stationary-sources-air-pollution/hot-mix-asphalt-facilities-new-source-performance-standards-nsps" TargetMode="External"/><Relationship Id="rId7" Type="http://schemas.openxmlformats.org/officeDocument/2006/relationships/hyperlink" Target="https://www.ecfr.gov/cgi-bin/text-idx?SID=4e15dfbee32ab71c4b44aecaaece2742&amp;mc=true&amp;node=sp40.15.63.zzzz&amp;rgn=div6" TargetMode="External"/><Relationship Id="rId12" Type="http://schemas.openxmlformats.org/officeDocument/2006/relationships/hyperlink" Target="https://www.ecfr.gov/cgi-bin/text-idx?node=sp40.7.60.ooo" TargetMode="External"/><Relationship Id="rId17" Type="http://schemas.openxmlformats.org/officeDocument/2006/relationships/hyperlink" Target="https://www.pca.state.mn.us/sites/default/files/aq-f3-rp07.docx" TargetMode="External"/><Relationship Id="rId2" Type="http://schemas.openxmlformats.org/officeDocument/2006/relationships/hyperlink" Target="https://www.epa.gov/stationary-sources-air-pollution/nonmetallic-mineral-processing-new-source-performance-standards" TargetMode="External"/><Relationship Id="rId16" Type="http://schemas.openxmlformats.org/officeDocument/2006/relationships/hyperlink" Target="https://www.revisor.mn.gov/rules/7007.0300/" TargetMode="External"/><Relationship Id="rId1" Type="http://schemas.openxmlformats.org/officeDocument/2006/relationships/hyperlink" Target="https://www.ecfr.gov/cgi-bin/text-idx?node=sp40.7.60.ooo" TargetMode="External"/><Relationship Id="rId6" Type="http://schemas.openxmlformats.org/officeDocument/2006/relationships/hyperlink" Target="https://www.ecfr.gov/cgi-bin/text-idx?SID=4e15dfbee32ab71c4b44aecaaece2742&amp;mc=true&amp;node=sp40.8.60.jjjj&amp;rgn=div6" TargetMode="External"/><Relationship Id="rId11" Type="http://schemas.openxmlformats.org/officeDocument/2006/relationships/hyperlink" Target="https://www.pca.state.mn.us/sites/default/files/aq-f1-gi09d.doc" TargetMode="External"/><Relationship Id="rId5" Type="http://schemas.openxmlformats.org/officeDocument/2006/relationships/hyperlink" Target="https://www.ecfr.gov/cgi-bin/text-idx?SID=4e15dfbee32ab71c4b44aecaaece2742&amp;mc=true&amp;node=sp40.8.60.iiii&amp;rgn=div6" TargetMode="External"/><Relationship Id="rId15" Type="http://schemas.openxmlformats.org/officeDocument/2006/relationships/hyperlink" Target="https://www.pca.state.mn.us/business-with-us/aggregate-sand-and-gravel" TargetMode="External"/><Relationship Id="rId10" Type="http://schemas.openxmlformats.org/officeDocument/2006/relationships/hyperlink" Target="https://www.ecfr.gov/cgi-bin/text-idx?SID=0e74dadbf49821c0e5e5b49ef415456c&amp;mc=true&amp;node=se40.7.60_115&amp;rgn=div8" TargetMode="External"/><Relationship Id="rId19" Type="http://schemas.openxmlformats.org/officeDocument/2006/relationships/printerSettings" Target="../printerSettings/printerSettings2.bin"/><Relationship Id="rId4" Type="http://schemas.openxmlformats.org/officeDocument/2006/relationships/hyperlink" Target="https://www.ecfr.gov/current/title-40/part-60/subpart-i" TargetMode="External"/><Relationship Id="rId9" Type="http://schemas.openxmlformats.org/officeDocument/2006/relationships/hyperlink" Target="https://www.ecfr.gov/cgi-bin/text-idx?SID=26ce891695a330e9cd8a906e1c8a4bbd&amp;mc=true&amp;node=se40.7.60_12&amp;rgn=div8" TargetMode="External"/><Relationship Id="rId14" Type="http://schemas.openxmlformats.org/officeDocument/2006/relationships/hyperlink" Target="https://www.epa.gov/stationary-sources-air-pollution/nonmetallic-mineral-processing-new-source-performance-standard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pca.state.mn.us/business-with-us/hot-mix-asphalt-plants-complying-with-air-requirements" TargetMode="External"/><Relationship Id="rId2" Type="http://schemas.openxmlformats.org/officeDocument/2006/relationships/hyperlink" Target="https://www.pca.state.mn.us/quick-links/hot-mix-asphalt-plants-complying-air-requirements" TargetMode="External"/><Relationship Id="rId1" Type="http://schemas.openxmlformats.org/officeDocument/2006/relationships/hyperlink" Target="https://www.revisor.mn.gov/rules/7011.0070/" TargetMode="External"/><Relationship Id="rId6" Type="http://schemas.openxmlformats.org/officeDocument/2006/relationships/printerSettings" Target="../printerSettings/printerSettings3.bin"/><Relationship Id="rId5" Type="http://schemas.openxmlformats.org/officeDocument/2006/relationships/hyperlink" Target="https://www.revisor.mn.gov/rules/7011.0920/" TargetMode="External"/><Relationship Id="rId4" Type="http://schemas.openxmlformats.org/officeDocument/2006/relationships/hyperlink" Target="https://www.revisor.mn.gov/rules/7011.0913/"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revisor.mn.gov/rules/7011.0070/" TargetMode="External"/><Relationship Id="rId1" Type="http://schemas.openxmlformats.org/officeDocument/2006/relationships/hyperlink" Target="https://www.epa.gov/scram/air-quality-dispersion-modeling-screening-model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ecfr.gov/cgi-bin/text-idx?SID=4e15dfbee32ab71c4b44aecaaece2742&amp;mc=true&amp;node=sp40.15.63.zzzz&amp;rgn=div6" TargetMode="External"/><Relationship Id="rId7" Type="http://schemas.openxmlformats.org/officeDocument/2006/relationships/hyperlink" Target="https://www.pca.state.mn.us/air/engines" TargetMode="External"/><Relationship Id="rId2" Type="http://schemas.openxmlformats.org/officeDocument/2006/relationships/hyperlink" Target="https://www.revisor.mn.gov/rules/7007.1300/" TargetMode="External"/><Relationship Id="rId1" Type="http://schemas.openxmlformats.org/officeDocument/2006/relationships/hyperlink" Target="https://www.ecfr.gov/cgi-bin/retrieveECFR?gp=&amp;SID=413463dedd71f779cc0452b056c8741a&amp;mc=true&amp;n=sp40.23.98.c&amp;r=SUBPART&amp;ty=HTML" TargetMode="External"/><Relationship Id="rId6" Type="http://schemas.openxmlformats.org/officeDocument/2006/relationships/hyperlink" Target="https://www.epa.gov/stationary-engines/implementation-tools-neshap-reciprocating-internal-combustion-engines" TargetMode="External"/><Relationship Id="rId5" Type="http://schemas.openxmlformats.org/officeDocument/2006/relationships/hyperlink" Target="https://www.ecfr.gov/cgi-bin/retrieveECFR?gp=&amp;SID=87f74a3ea24524bcc9d1bb68983d5d72&amp;mc=true&amp;r=SUBPART&amp;n=sp40.8.60.jjjj" TargetMode="External"/><Relationship Id="rId4" Type="http://schemas.openxmlformats.org/officeDocument/2006/relationships/hyperlink" Target="https://www.ecfr.gov/cgi-bin/text-idx?node=sp40.7.60.iiii"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3.epa.gov/ttn/chief/ap42/ch01/final/c01s05.pdf" TargetMode="External"/><Relationship Id="rId2" Type="http://schemas.openxmlformats.org/officeDocument/2006/relationships/hyperlink" Target="https://www.ecfr.gov/current/title-40/chapter-I/subchapter-C/part-98/subpart-C?toc=1" TargetMode="External"/><Relationship Id="rId1" Type="http://schemas.openxmlformats.org/officeDocument/2006/relationships/hyperlink" Target="https://www3.epa.gov/ttn/chief/ap42/ch01/final/c01s04.pdf" TargetMode="External"/><Relationship Id="rId5" Type="http://schemas.openxmlformats.org/officeDocument/2006/relationships/printerSettings" Target="../printerSettings/printerSettings7.bin"/><Relationship Id="rId4" Type="http://schemas.openxmlformats.org/officeDocument/2006/relationships/hyperlink" Target="https://www.revisor.mn.gov/rules/7007.1300/"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3.epa.gov/ttn/chief/ap42/ch01/final/c01s05.pdf" TargetMode="External"/><Relationship Id="rId2" Type="http://schemas.openxmlformats.org/officeDocument/2006/relationships/hyperlink" Target="https://www.ecfr.gov/current/title-40/chapter-I/subchapter-C/part-98/subpart-C?toc=1" TargetMode="External"/><Relationship Id="rId1" Type="http://schemas.openxmlformats.org/officeDocument/2006/relationships/hyperlink" Target="https://www3.epa.gov/ttn/chief/ap42/ch01/final/c01s04.pdf" TargetMode="External"/><Relationship Id="rId5" Type="http://schemas.openxmlformats.org/officeDocument/2006/relationships/printerSettings" Target="../printerSettings/printerSettings8.bin"/><Relationship Id="rId4" Type="http://schemas.openxmlformats.org/officeDocument/2006/relationships/hyperlink" Target="https://www.revisor.mn.gov/rules/7007.1300/"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3.epa.gov/ttn/chief/ap42/ch13/final/c13s0202.pdf" TargetMode="External"/><Relationship Id="rId3" Type="http://schemas.openxmlformats.org/officeDocument/2006/relationships/hyperlink" Target="https://www.revisor.mn.gov/rules/?id=7007.1130" TargetMode="External"/><Relationship Id="rId7" Type="http://schemas.openxmlformats.org/officeDocument/2006/relationships/hyperlink" Target="https://www.epa.gov/sites/default/files/2020-10/documents/13.2.5_industrial_wind_erosion.pdf" TargetMode="External"/><Relationship Id="rId12" Type="http://schemas.openxmlformats.org/officeDocument/2006/relationships/drawing" Target="../drawings/drawing3.xml"/><Relationship Id="rId2" Type="http://schemas.openxmlformats.org/officeDocument/2006/relationships/hyperlink" Target="https://www.revisor.mn.gov/rules/?id=7007.0200" TargetMode="External"/><Relationship Id="rId1" Type="http://schemas.openxmlformats.org/officeDocument/2006/relationships/hyperlink" Target="https://www3.epa.gov/ttn/chief/ap42/ch09/final/c9s0909-1.pdf" TargetMode="External"/><Relationship Id="rId6" Type="http://schemas.openxmlformats.org/officeDocument/2006/relationships/hyperlink" Target="https://www.ncdc.noaa.gov/ghcn/comparative-climatic-data" TargetMode="External"/><Relationship Id="rId11" Type="http://schemas.openxmlformats.org/officeDocument/2006/relationships/printerSettings" Target="../printerSettings/printerSettings9.bin"/><Relationship Id="rId5" Type="http://schemas.openxmlformats.org/officeDocument/2006/relationships/hyperlink" Target="https://www3.epa.gov/ttn/chief/ap42/ch13/final/c13s0202.pdf" TargetMode="External"/><Relationship Id="rId10" Type="http://schemas.openxmlformats.org/officeDocument/2006/relationships/hyperlink" Target="https://nepis.epa.gov/Exe/ZyPDF.cgi/91010T54.PDF?Dockey=91010T54.PDF" TargetMode="External"/><Relationship Id="rId4" Type="http://schemas.openxmlformats.org/officeDocument/2006/relationships/hyperlink" Target="https://www.revisor.mn.gov/rules/?id=7007.1300" TargetMode="External"/><Relationship Id="rId9" Type="http://schemas.openxmlformats.org/officeDocument/2006/relationships/hyperlink" Target="https://www3.epa.gov/ttn/chief/ap42/ch13/final/c13s020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CC"/>
    <pageSetUpPr fitToPage="1"/>
  </sheetPr>
  <dimension ref="A1:O29"/>
  <sheetViews>
    <sheetView showGridLines="0" tabSelected="1" zoomScaleNormal="100" zoomScaleSheetLayoutView="100" workbookViewId="0">
      <selection activeCell="B5" sqref="B5:O5"/>
    </sheetView>
  </sheetViews>
  <sheetFormatPr defaultRowHeight="15" x14ac:dyDescent="0.25"/>
  <cols>
    <col min="1" max="1" width="5.5703125" style="4" customWidth="1"/>
    <col min="2" max="14" width="9.42578125" customWidth="1"/>
    <col min="15" max="15" width="10.5703125" customWidth="1"/>
  </cols>
  <sheetData>
    <row r="1" spans="2:15" ht="51" customHeight="1" x14ac:dyDescent="0.25">
      <c r="B1" s="907"/>
      <c r="C1" s="907"/>
      <c r="D1" s="907"/>
      <c r="E1" s="907"/>
      <c r="F1" s="907"/>
      <c r="G1" s="906" t="s">
        <v>838</v>
      </c>
      <c r="H1" s="906"/>
      <c r="I1" s="906"/>
      <c r="J1" s="906"/>
      <c r="K1" s="906"/>
      <c r="L1" s="906"/>
      <c r="M1" s="906"/>
      <c r="N1" s="906"/>
      <c r="O1" s="906"/>
    </row>
    <row r="2" spans="2:15" s="4" customFormat="1" ht="16.5" customHeight="1" x14ac:dyDescent="0.25">
      <c r="B2" s="907"/>
      <c r="C2" s="907"/>
      <c r="D2" s="907"/>
      <c r="E2" s="907"/>
      <c r="F2" s="907"/>
      <c r="G2" s="668"/>
      <c r="H2" s="912" t="s">
        <v>961</v>
      </c>
      <c r="I2" s="912"/>
      <c r="J2" s="912"/>
      <c r="K2" s="912"/>
      <c r="L2" s="912"/>
      <c r="M2" s="912"/>
      <c r="N2" s="912"/>
      <c r="O2" s="912"/>
    </row>
    <row r="3" spans="2:15" x14ac:dyDescent="0.25">
      <c r="B3" s="907"/>
      <c r="C3" s="907"/>
      <c r="D3" s="907"/>
      <c r="E3" s="907"/>
      <c r="F3" s="907"/>
      <c r="G3" s="668"/>
      <c r="H3" s="912"/>
      <c r="I3" s="912"/>
      <c r="J3" s="912"/>
      <c r="K3" s="912"/>
      <c r="L3" s="912"/>
      <c r="M3" s="912"/>
      <c r="N3" s="912"/>
      <c r="O3" s="912"/>
    </row>
    <row r="4" spans="2:15" s="4" customFormat="1" ht="18.75" x14ac:dyDescent="0.25">
      <c r="B4" s="902" t="s">
        <v>0</v>
      </c>
      <c r="C4" s="902"/>
      <c r="D4" s="902"/>
      <c r="E4" s="902"/>
      <c r="F4" s="902"/>
      <c r="G4" s="902"/>
      <c r="H4" s="902"/>
      <c r="I4" s="902"/>
      <c r="J4" s="902"/>
      <c r="K4" s="902"/>
      <c r="L4" s="902"/>
      <c r="M4" s="902"/>
      <c r="N4" s="902"/>
      <c r="O4" s="902"/>
    </row>
    <row r="5" spans="2:15" s="11" customFormat="1" ht="15" customHeight="1" x14ac:dyDescent="0.2">
      <c r="B5" s="910" t="s">
        <v>604</v>
      </c>
      <c r="C5" s="910"/>
      <c r="D5" s="910"/>
      <c r="E5" s="910"/>
      <c r="F5" s="910"/>
      <c r="G5" s="910"/>
      <c r="H5" s="910"/>
      <c r="I5" s="910"/>
      <c r="J5" s="910"/>
      <c r="K5" s="910"/>
      <c r="L5" s="910"/>
      <c r="M5" s="910"/>
      <c r="N5" s="910"/>
      <c r="O5" s="910"/>
    </row>
    <row r="6" spans="2:15" s="11" customFormat="1" ht="15" customHeight="1" x14ac:dyDescent="0.2">
      <c r="B6" s="901" t="s">
        <v>329</v>
      </c>
      <c r="C6" s="901"/>
      <c r="D6" s="901"/>
      <c r="E6" s="901"/>
      <c r="F6" s="901"/>
      <c r="G6" s="901"/>
      <c r="H6" s="901"/>
      <c r="I6" s="901"/>
      <c r="J6" s="901"/>
      <c r="K6" s="901"/>
      <c r="L6" s="901"/>
      <c r="M6" s="901"/>
      <c r="N6" s="901"/>
      <c r="O6" s="901"/>
    </row>
    <row r="7" spans="2:15" s="11" customFormat="1" ht="15" customHeight="1" x14ac:dyDescent="0.2">
      <c r="B7" s="909" t="s">
        <v>605</v>
      </c>
      <c r="C7" s="909"/>
      <c r="D7" s="909"/>
      <c r="E7" s="909"/>
      <c r="F7" s="909"/>
      <c r="G7" s="909"/>
      <c r="H7" s="909"/>
      <c r="I7" s="909"/>
      <c r="J7" s="909"/>
      <c r="K7" s="909"/>
      <c r="L7" s="909"/>
      <c r="M7" s="909"/>
      <c r="N7" s="909"/>
      <c r="O7" s="909"/>
    </row>
    <row r="8" spans="2:15" s="11" customFormat="1" ht="15" customHeight="1" x14ac:dyDescent="0.2">
      <c r="B8" s="909" t="s">
        <v>434</v>
      </c>
      <c r="C8" s="909"/>
      <c r="D8" s="909"/>
      <c r="E8" s="909"/>
      <c r="F8" s="909"/>
      <c r="G8" s="909"/>
      <c r="H8" s="909"/>
      <c r="I8" s="909"/>
      <c r="J8" s="909"/>
      <c r="K8" s="909"/>
      <c r="L8" s="909"/>
      <c r="M8" s="909"/>
      <c r="N8" s="909"/>
      <c r="O8" s="909"/>
    </row>
    <row r="9" spans="2:15" s="11" customFormat="1" ht="15" customHeight="1" x14ac:dyDescent="0.2">
      <c r="B9" s="908" t="s">
        <v>606</v>
      </c>
      <c r="C9" s="908"/>
      <c r="D9" s="908"/>
      <c r="E9" s="908"/>
      <c r="F9" s="908"/>
      <c r="G9" s="908"/>
      <c r="H9" s="908"/>
      <c r="I9" s="908"/>
      <c r="J9" s="908"/>
      <c r="K9" s="908"/>
      <c r="L9" s="908"/>
      <c r="M9" s="908"/>
      <c r="N9" s="908"/>
      <c r="O9" s="908"/>
    </row>
    <row r="10" spans="2:15" s="4" customFormat="1" ht="15" customHeight="1" x14ac:dyDescent="0.25">
      <c r="B10" s="911"/>
      <c r="C10" s="911"/>
      <c r="D10" s="911"/>
      <c r="E10" s="911"/>
      <c r="F10" s="911"/>
      <c r="G10" s="911"/>
      <c r="H10" s="911"/>
      <c r="I10" s="911"/>
      <c r="J10" s="911"/>
      <c r="K10" s="911"/>
      <c r="L10" s="911"/>
      <c r="M10" s="911"/>
      <c r="N10" s="911"/>
      <c r="O10" s="911"/>
    </row>
    <row r="11" spans="2:15" s="4" customFormat="1" ht="18.75" x14ac:dyDescent="0.25">
      <c r="B11" s="902" t="s">
        <v>102</v>
      </c>
      <c r="C11" s="902"/>
      <c r="D11" s="902"/>
      <c r="E11" s="902"/>
      <c r="F11" s="902"/>
      <c r="G11" s="902"/>
      <c r="H11" s="902"/>
      <c r="I11" s="902"/>
      <c r="J11" s="902"/>
      <c r="K11" s="902"/>
      <c r="L11" s="902"/>
      <c r="M11" s="902"/>
      <c r="N11" s="902"/>
      <c r="O11" s="902"/>
    </row>
    <row r="12" spans="2:15" s="11" customFormat="1" ht="15" customHeight="1" x14ac:dyDescent="0.2">
      <c r="B12" s="12" t="s">
        <v>1</v>
      </c>
      <c r="C12" s="904" t="s">
        <v>2</v>
      </c>
      <c r="D12" s="904"/>
      <c r="E12" s="904"/>
      <c r="F12" s="904"/>
      <c r="G12" s="904"/>
      <c r="H12" s="904"/>
      <c r="I12" s="904"/>
      <c r="J12" s="904"/>
      <c r="K12" s="904"/>
      <c r="L12" s="904"/>
      <c r="M12" s="904"/>
      <c r="N12" s="904"/>
      <c r="O12" s="904"/>
    </row>
    <row r="13" spans="2:15" s="11" customFormat="1" ht="15" customHeight="1" x14ac:dyDescent="0.2">
      <c r="B13" s="13" t="s">
        <v>5</v>
      </c>
      <c r="C13" s="904" t="s">
        <v>6</v>
      </c>
      <c r="D13" s="904"/>
      <c r="E13" s="904"/>
      <c r="F13" s="904"/>
      <c r="G13" s="904"/>
      <c r="H13" s="904"/>
      <c r="I13" s="904"/>
      <c r="J13" s="904"/>
      <c r="K13" s="904"/>
      <c r="L13" s="904"/>
      <c r="M13" s="904"/>
      <c r="N13" s="904"/>
      <c r="O13" s="904"/>
    </row>
    <row r="14" spans="2:15" s="11" customFormat="1" ht="15" customHeight="1" x14ac:dyDescent="0.2">
      <c r="B14" s="16" t="s">
        <v>3</v>
      </c>
      <c r="C14" s="904" t="s">
        <v>4</v>
      </c>
      <c r="D14" s="904"/>
      <c r="E14" s="904"/>
      <c r="F14" s="904"/>
      <c r="G14" s="904"/>
      <c r="H14" s="904"/>
      <c r="I14" s="904"/>
      <c r="J14" s="904"/>
      <c r="K14" s="904"/>
      <c r="L14" s="904"/>
      <c r="M14" s="904"/>
      <c r="N14" s="904"/>
      <c r="O14" s="904"/>
    </row>
    <row r="15" spans="2:15" s="11" customFormat="1" ht="15" customHeight="1" x14ac:dyDescent="0.2">
      <c r="B15" s="14" t="s">
        <v>7</v>
      </c>
      <c r="C15" s="904" t="s">
        <v>100</v>
      </c>
      <c r="D15" s="904"/>
      <c r="E15" s="904"/>
      <c r="F15" s="904"/>
      <c r="G15" s="904"/>
      <c r="H15" s="904"/>
      <c r="I15" s="904"/>
      <c r="J15" s="904"/>
      <c r="K15" s="904"/>
      <c r="L15" s="904"/>
      <c r="M15" s="904"/>
      <c r="N15" s="904"/>
      <c r="O15" s="904"/>
    </row>
    <row r="16" spans="2:15" s="11" customFormat="1" ht="15" customHeight="1" x14ac:dyDescent="0.2">
      <c r="B16" s="15" t="s">
        <v>8</v>
      </c>
      <c r="C16" s="904" t="s">
        <v>98</v>
      </c>
      <c r="D16" s="904"/>
      <c r="E16" s="904"/>
      <c r="F16" s="904"/>
      <c r="G16" s="904"/>
      <c r="H16" s="904"/>
      <c r="I16" s="904"/>
      <c r="J16" s="904"/>
      <c r="K16" s="904"/>
      <c r="L16" s="904"/>
      <c r="M16" s="904"/>
      <c r="N16" s="904"/>
      <c r="O16" s="904"/>
    </row>
    <row r="17" spans="2:15" s="11" customFormat="1" ht="15" customHeight="1" x14ac:dyDescent="0.2">
      <c r="B17" s="17" t="s">
        <v>99</v>
      </c>
      <c r="C17" s="905" t="s">
        <v>643</v>
      </c>
      <c r="D17" s="905"/>
      <c r="E17" s="905"/>
      <c r="F17" s="905"/>
      <c r="G17" s="905"/>
      <c r="H17" s="905"/>
      <c r="I17" s="905"/>
      <c r="J17" s="905"/>
      <c r="K17" s="905"/>
      <c r="L17" s="905"/>
      <c r="M17" s="905"/>
      <c r="N17" s="905"/>
      <c r="O17" s="905"/>
    </row>
    <row r="18" spans="2:15" s="4" customFormat="1" ht="15" customHeight="1" x14ac:dyDescent="0.25">
      <c r="B18" s="904"/>
      <c r="C18" s="904"/>
      <c r="D18" s="904"/>
      <c r="E18" s="904"/>
      <c r="F18" s="904"/>
      <c r="G18" s="904"/>
      <c r="H18" s="904"/>
      <c r="I18" s="904"/>
      <c r="J18" s="904"/>
      <c r="K18" s="904"/>
      <c r="L18" s="904"/>
      <c r="M18" s="904"/>
      <c r="N18" s="904"/>
      <c r="O18" s="18"/>
    </row>
    <row r="19" spans="2:15" s="4" customFormat="1" ht="18.75" x14ac:dyDescent="0.25">
      <c r="B19" s="902" t="s">
        <v>9</v>
      </c>
      <c r="C19" s="902"/>
      <c r="D19" s="902"/>
      <c r="E19" s="902"/>
      <c r="F19" s="902"/>
      <c r="G19" s="902"/>
      <c r="H19" s="902"/>
      <c r="I19" s="902"/>
      <c r="J19" s="902"/>
      <c r="K19" s="902"/>
      <c r="L19" s="902"/>
      <c r="M19" s="902"/>
      <c r="N19" s="902"/>
      <c r="O19" s="902"/>
    </row>
    <row r="20" spans="2:15" s="11" customFormat="1" ht="15" customHeight="1" x14ac:dyDescent="0.2">
      <c r="B20" s="901" t="s">
        <v>633</v>
      </c>
      <c r="C20" s="901"/>
      <c r="D20" s="901"/>
      <c r="E20" s="901"/>
      <c r="F20" s="901"/>
      <c r="G20" s="901"/>
      <c r="H20" s="901"/>
      <c r="I20" s="901"/>
      <c r="J20" s="901"/>
      <c r="K20" s="901"/>
      <c r="L20" s="901"/>
      <c r="M20" s="901"/>
      <c r="N20" s="901"/>
      <c r="O20" s="901"/>
    </row>
    <row r="21" spans="2:15" s="11" customFormat="1" ht="15" customHeight="1" x14ac:dyDescent="0.2">
      <c r="B21" s="901" t="s">
        <v>332</v>
      </c>
      <c r="C21" s="901"/>
      <c r="D21" s="901"/>
      <c r="E21" s="901"/>
      <c r="F21" s="901"/>
      <c r="G21" s="901"/>
      <c r="H21" s="901"/>
      <c r="I21" s="901"/>
      <c r="J21" s="901"/>
      <c r="K21" s="901"/>
      <c r="L21" s="901"/>
      <c r="M21" s="901"/>
      <c r="N21" s="901"/>
      <c r="O21" s="901"/>
    </row>
    <row r="22" spans="2:15" s="11" customFormat="1" ht="15" customHeight="1" x14ac:dyDescent="0.2">
      <c r="B22" s="19" t="s">
        <v>10</v>
      </c>
      <c r="C22" s="901" t="s">
        <v>11</v>
      </c>
      <c r="D22" s="901"/>
      <c r="E22" s="19" t="s">
        <v>12</v>
      </c>
      <c r="F22" s="900" t="s">
        <v>13</v>
      </c>
      <c r="G22" s="900"/>
      <c r="H22" s="900"/>
      <c r="I22" s="900"/>
    </row>
    <row r="23" spans="2:15" s="11" customFormat="1" ht="15" customHeight="1" x14ac:dyDescent="0.2">
      <c r="B23" s="20"/>
      <c r="C23" s="901" t="s">
        <v>14</v>
      </c>
      <c r="D23" s="901"/>
      <c r="E23" s="901"/>
      <c r="F23" s="901"/>
      <c r="G23" s="901"/>
      <c r="H23" s="901"/>
      <c r="I23" s="901"/>
      <c r="J23" s="901"/>
      <c r="K23" s="901"/>
      <c r="L23" s="901"/>
      <c r="M23" s="901"/>
      <c r="N23" s="901"/>
      <c r="O23" s="901"/>
    </row>
    <row r="24" spans="2:15" s="11" customFormat="1" ht="15" customHeight="1" x14ac:dyDescent="0.2">
      <c r="B24" s="396"/>
      <c r="C24" s="396"/>
      <c r="D24" s="396"/>
      <c r="E24" s="396"/>
      <c r="F24" s="396"/>
      <c r="G24" s="396"/>
      <c r="H24" s="396"/>
      <c r="I24" s="396"/>
      <c r="J24" s="396"/>
      <c r="K24" s="396"/>
      <c r="L24" s="396"/>
      <c r="M24" s="396"/>
      <c r="N24" s="396"/>
      <c r="O24" s="396"/>
    </row>
    <row r="25" spans="2:15" s="4" customFormat="1" ht="15" customHeight="1" x14ac:dyDescent="0.25">
      <c r="B25" s="11" t="s">
        <v>449</v>
      </c>
      <c r="E25" s="900" t="s">
        <v>239</v>
      </c>
      <c r="F25" s="900"/>
      <c r="G25" s="900"/>
      <c r="H25" s="900"/>
      <c r="I25" s="900"/>
    </row>
    <row r="26" spans="2:15" s="4" customFormat="1" ht="15" customHeight="1" x14ac:dyDescent="0.25"/>
    <row r="27" spans="2:15" s="4" customFormat="1" ht="15" customHeight="1" x14ac:dyDescent="0.25">
      <c r="B27" s="901" t="s">
        <v>331</v>
      </c>
      <c r="C27" s="901"/>
      <c r="D27" s="903" t="s">
        <v>800</v>
      </c>
      <c r="E27" s="903"/>
      <c r="F27" s="903"/>
      <c r="G27" s="903"/>
      <c r="H27" s="903"/>
      <c r="I27" s="903"/>
      <c r="J27" s="903"/>
      <c r="K27" s="903"/>
    </row>
    <row r="28" spans="2:15" s="4" customFormat="1" x14ac:dyDescent="0.25"/>
    <row r="29" spans="2:15" s="4" customFormat="1" x14ac:dyDescent="0.25"/>
  </sheetData>
  <mergeCells count="28">
    <mergeCell ref="G1:O1"/>
    <mergeCell ref="B1:F3"/>
    <mergeCell ref="C12:O12"/>
    <mergeCell ref="C13:O13"/>
    <mergeCell ref="B4:O4"/>
    <mergeCell ref="B11:O11"/>
    <mergeCell ref="B6:O6"/>
    <mergeCell ref="B9:O9"/>
    <mergeCell ref="B7:O7"/>
    <mergeCell ref="B8:O8"/>
    <mergeCell ref="B5:O5"/>
    <mergeCell ref="B10:O10"/>
    <mergeCell ref="H2:O3"/>
    <mergeCell ref="C15:O15"/>
    <mergeCell ref="C16:O16"/>
    <mergeCell ref="C14:O14"/>
    <mergeCell ref="C17:O17"/>
    <mergeCell ref="B18:N18"/>
    <mergeCell ref="E25:I25"/>
    <mergeCell ref="B27:C27"/>
    <mergeCell ref="C23:D23"/>
    <mergeCell ref="E23:O23"/>
    <mergeCell ref="B19:O19"/>
    <mergeCell ref="B21:O21"/>
    <mergeCell ref="B20:O20"/>
    <mergeCell ref="C22:D22"/>
    <mergeCell ref="F22:I22"/>
    <mergeCell ref="D27:K27"/>
  </mergeCells>
  <hyperlinks>
    <hyperlink ref="F22" r:id="rId1" xr:uid="{00000000-0004-0000-0000-000000000000}"/>
    <hyperlink ref="E25" r:id="rId2" xr:uid="{00000000-0004-0000-0000-000001000000}"/>
    <hyperlink ref="D27" r:id="rId3" xr:uid="{00000000-0004-0000-0000-000002000000}"/>
  </hyperlinks>
  <pageMargins left="0.25" right="0.25" top="0.5" bottom="0.5" header="0.3" footer="0.3"/>
  <pageSetup orientation="landscape" r:id="rId4"/>
  <headerFooter>
    <oddFooter>&amp;L&amp;"Arial,Italic"&amp;8p-sbap5-20  •  7/28/25&amp;C&amp;"Arial,Italic"&amp;8https://www.pca.state.mn.us  •  Available in alternative formats  •  Use your preferred relay service&amp;R&amp;"Arial,Italic"&amp;8Page &amp;P of &amp;N</oddFooter>
    <firstFooter>&amp;L&amp;10Hot mix asphalt calculator - Instructions&amp;R&amp;10&amp;P</firstFooter>
  </headerFooter>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EAF8D8"/>
    <pageSetUpPr fitToPage="1"/>
  </sheetPr>
  <dimension ref="B1:K105"/>
  <sheetViews>
    <sheetView showGridLines="0" zoomScaleNormal="100" zoomScaleSheetLayoutView="100" zoomScalePageLayoutView="85" workbookViewId="0">
      <selection activeCell="B2" sqref="B2:K2"/>
    </sheetView>
  </sheetViews>
  <sheetFormatPr defaultColWidth="9.42578125" defaultRowHeight="15" x14ac:dyDescent="0.25"/>
  <cols>
    <col min="1" max="1" width="5.42578125" style="2" customWidth="1"/>
    <col min="2" max="2" width="23.5703125" style="2" customWidth="1"/>
    <col min="3" max="11" width="15.5703125" style="2" customWidth="1"/>
    <col min="12" max="16384" width="9.42578125" style="2"/>
  </cols>
  <sheetData>
    <row r="1" spans="2:11" x14ac:dyDescent="0.25">
      <c r="B1" s="670"/>
      <c r="C1" s="670"/>
      <c r="D1" s="670"/>
      <c r="E1" s="670"/>
      <c r="F1" s="670"/>
      <c r="G1" s="670"/>
      <c r="H1" s="670"/>
      <c r="I1" s="670"/>
      <c r="J1" s="670"/>
      <c r="K1" s="671" t="str">
        <f>Instructions!$H$2</f>
        <v>p-sbap5-20  •  7/28/2025</v>
      </c>
    </row>
    <row r="2" spans="2:11" ht="19.5" thickBot="1" x14ac:dyDescent="0.3">
      <c r="B2" s="1176" t="s">
        <v>410</v>
      </c>
      <c r="C2" s="1176"/>
      <c r="D2" s="1176"/>
      <c r="E2" s="1176"/>
      <c r="F2" s="1176"/>
      <c r="G2" s="1176"/>
      <c r="H2" s="1176"/>
      <c r="I2" s="1176"/>
      <c r="J2" s="1176"/>
      <c r="K2" s="1176"/>
    </row>
    <row r="3" spans="2:11" ht="15.75" thickBot="1" x14ac:dyDescent="0.3">
      <c r="B3" s="1179" t="str">
        <f>IF('Data Validation'!A36="yes","The flag next to a potential emission total means your potential emissions exceed the permitting threshold and a permit is required.","These pollutant totals represent the information you entered into this calculator.")</f>
        <v>These pollutant totals represent the information you entered into this calculator.</v>
      </c>
      <c r="C3" s="1179"/>
      <c r="D3" s="1179"/>
      <c r="E3" s="1179"/>
      <c r="F3" s="1179"/>
      <c r="G3" s="1179"/>
      <c r="H3" s="1179"/>
      <c r="I3" s="1179"/>
      <c r="J3" s="1179"/>
      <c r="K3" s="1179"/>
    </row>
    <row r="4" spans="2:11" ht="26.25" customHeight="1" x14ac:dyDescent="0.25">
      <c r="B4" s="1177" t="s">
        <v>23</v>
      </c>
      <c r="C4" s="172" t="s">
        <v>233</v>
      </c>
      <c r="D4" s="173" t="s">
        <v>234</v>
      </c>
      <c r="E4" s="174" t="s">
        <v>235</v>
      </c>
      <c r="F4" s="173" t="s">
        <v>236</v>
      </c>
      <c r="G4" s="173" t="s">
        <v>237</v>
      </c>
      <c r="H4" s="173" t="s">
        <v>238</v>
      </c>
      <c r="I4" s="173" t="s">
        <v>72</v>
      </c>
      <c r="J4" s="175" t="s">
        <v>27</v>
      </c>
      <c r="K4" s="176" t="s">
        <v>73</v>
      </c>
    </row>
    <row r="5" spans="2:11" s="6" customFormat="1" ht="15" customHeight="1" thickBot="1" x14ac:dyDescent="0.25">
      <c r="B5" s="1178"/>
      <c r="C5" s="170" t="s">
        <v>33</v>
      </c>
      <c r="D5" s="170" t="s">
        <v>33</v>
      </c>
      <c r="E5" s="170" t="s">
        <v>33</v>
      </c>
      <c r="F5" s="170" t="s">
        <v>33</v>
      </c>
      <c r="G5" s="170" t="s">
        <v>33</v>
      </c>
      <c r="H5" s="170" t="s">
        <v>33</v>
      </c>
      <c r="I5" s="170" t="s">
        <v>33</v>
      </c>
      <c r="J5" s="170" t="s">
        <v>33</v>
      </c>
      <c r="K5" s="171" t="s">
        <v>33</v>
      </c>
    </row>
    <row r="6" spans="2:11" ht="15" customHeight="1" x14ac:dyDescent="0.25">
      <c r="B6" s="647" t="s">
        <v>62</v>
      </c>
      <c r="C6" s="648"/>
      <c r="D6" s="648"/>
      <c r="E6" s="648"/>
      <c r="F6" s="648"/>
      <c r="G6" s="650"/>
      <c r="H6" s="650"/>
      <c r="I6" s="648"/>
      <c r="J6" s="648"/>
      <c r="K6" s="649"/>
    </row>
    <row r="7" spans="2:11" ht="15" customHeight="1" x14ac:dyDescent="0.25">
      <c r="B7" s="76" t="s">
        <v>36</v>
      </c>
      <c r="C7" s="178">
        <f>'Hot mix asphalt'!H28</f>
        <v>0</v>
      </c>
      <c r="D7" s="179">
        <f>'Load out and silos'!G15</f>
        <v>0</v>
      </c>
      <c r="E7" s="180">
        <f>'Load out and silos'!O15</f>
        <v>0</v>
      </c>
      <c r="F7" s="180">
        <f>Generator!H34</f>
        <v>0</v>
      </c>
      <c r="G7" s="180">
        <f>'Natural gas (auxilary heat)'!H17</f>
        <v>0</v>
      </c>
      <c r="H7" s="180">
        <f>'Propane (auxilary heat)'!H17</f>
        <v>0</v>
      </c>
      <c r="I7" s="181">
        <f>Fugitive!I63</f>
        <v>0</v>
      </c>
      <c r="J7" s="182">
        <f>SUM(C7:I7)</f>
        <v>0</v>
      </c>
      <c r="K7" s="183">
        <v>100</v>
      </c>
    </row>
    <row r="8" spans="2:11" ht="15" customHeight="1" x14ac:dyDescent="0.25">
      <c r="B8" s="76" t="s">
        <v>37</v>
      </c>
      <c r="C8" s="178">
        <f>'Hot mix asphalt'!H29</f>
        <v>0</v>
      </c>
      <c r="D8" s="179">
        <f>'Load out and silos'!G16</f>
        <v>0</v>
      </c>
      <c r="E8" s="180">
        <f>'Load out and silos'!O16</f>
        <v>0</v>
      </c>
      <c r="F8" s="180">
        <f>Generator!H35</f>
        <v>0</v>
      </c>
      <c r="G8" s="180">
        <f>'Natural gas (auxilary heat)'!H18</f>
        <v>0</v>
      </c>
      <c r="H8" s="180">
        <f>'Propane (auxilary heat)'!H18</f>
        <v>0</v>
      </c>
      <c r="I8" s="181">
        <f>Fugitive!I64</f>
        <v>0</v>
      </c>
      <c r="J8" s="184">
        <f t="shared" ref="J8:J18" si="0">SUM(C8:I8)</f>
        <v>0</v>
      </c>
      <c r="K8" s="185">
        <v>25</v>
      </c>
    </row>
    <row r="9" spans="2:11" ht="15" customHeight="1" x14ac:dyDescent="0.25">
      <c r="B9" s="76" t="s">
        <v>97</v>
      </c>
      <c r="C9" s="178">
        <f>'Hot mix asphalt'!H30</f>
        <v>0</v>
      </c>
      <c r="D9" s="179">
        <f>'Load out and silos'!G17</f>
        <v>0</v>
      </c>
      <c r="E9" s="180">
        <f>'Load out and silos'!O17</f>
        <v>0</v>
      </c>
      <c r="F9" s="180">
        <f>Generator!H36</f>
        <v>0</v>
      </c>
      <c r="G9" s="180">
        <f>'Natural gas (auxilary heat)'!H19</f>
        <v>0</v>
      </c>
      <c r="H9" s="180">
        <f>'Propane (auxilary heat)'!H19</f>
        <v>0</v>
      </c>
      <c r="I9" s="181">
        <f>Fugitive!I65</f>
        <v>0</v>
      </c>
      <c r="J9" s="184">
        <f>SUM(C9:I9)</f>
        <v>0</v>
      </c>
      <c r="K9" s="183">
        <v>100</v>
      </c>
    </row>
    <row r="10" spans="2:11" ht="15" customHeight="1" x14ac:dyDescent="0.25">
      <c r="B10" s="76" t="s">
        <v>38</v>
      </c>
      <c r="C10" s="178">
        <f>'Hot mix asphalt'!H31</f>
        <v>0</v>
      </c>
      <c r="D10" s="179"/>
      <c r="E10" s="180"/>
      <c r="F10" s="180">
        <f>Generator!H37</f>
        <v>0</v>
      </c>
      <c r="G10" s="180">
        <f>'Natural gas (auxilary heat)'!H20</f>
        <v>0</v>
      </c>
      <c r="H10" s="180">
        <f>'Propane (auxilary heat)'!H20</f>
        <v>0</v>
      </c>
      <c r="I10" s="181"/>
      <c r="J10" s="184">
        <f t="shared" si="0"/>
        <v>0</v>
      </c>
      <c r="K10" s="185">
        <v>50</v>
      </c>
    </row>
    <row r="11" spans="2:11" ht="15" customHeight="1" x14ac:dyDescent="0.25">
      <c r="B11" s="76" t="s">
        <v>39</v>
      </c>
      <c r="C11" s="178">
        <f>'Hot mix asphalt'!H32</f>
        <v>0</v>
      </c>
      <c r="D11" s="179"/>
      <c r="E11" s="180"/>
      <c r="F11" s="180">
        <f>Generator!H38</f>
        <v>0</v>
      </c>
      <c r="G11" s="180">
        <f>'Natural gas (auxilary heat)'!H21</f>
        <v>0</v>
      </c>
      <c r="H11" s="180">
        <f>'Propane (auxilary heat)'!H21</f>
        <v>0</v>
      </c>
      <c r="I11" s="181"/>
      <c r="J11" s="184">
        <f t="shared" si="0"/>
        <v>0</v>
      </c>
      <c r="K11" s="185">
        <v>100</v>
      </c>
    </row>
    <row r="12" spans="2:11" ht="15" customHeight="1" x14ac:dyDescent="0.25">
      <c r="B12" s="76" t="s">
        <v>40</v>
      </c>
      <c r="C12" s="178">
        <f>'Hot mix asphalt'!H33</f>
        <v>0</v>
      </c>
      <c r="D12" s="179">
        <f>'Load out and silos'!G18</f>
        <v>0</v>
      </c>
      <c r="E12" s="180">
        <f>'Load out and silos'!O18</f>
        <v>0</v>
      </c>
      <c r="F12" s="180">
        <f>Generator!H39</f>
        <v>0</v>
      </c>
      <c r="G12" s="180">
        <f>'Natural gas (auxilary heat)'!H22</f>
        <v>0</v>
      </c>
      <c r="H12" s="180">
        <f>'Propane (auxilary heat)'!H22</f>
        <v>0</v>
      </c>
      <c r="I12" s="181"/>
      <c r="J12" s="184">
        <f t="shared" si="0"/>
        <v>0</v>
      </c>
      <c r="K12" s="185">
        <v>100</v>
      </c>
    </row>
    <row r="13" spans="2:11" ht="15" customHeight="1" x14ac:dyDescent="0.25">
      <c r="B13" s="76" t="s">
        <v>41</v>
      </c>
      <c r="C13" s="178">
        <f>'Hot mix asphalt'!H34</f>
        <v>0</v>
      </c>
      <c r="D13" s="179">
        <f>'Load out and silos'!G19</f>
        <v>0</v>
      </c>
      <c r="E13" s="180">
        <f>'Load out and silos'!O19</f>
        <v>0</v>
      </c>
      <c r="F13" s="180">
        <f>Generator!H40</f>
        <v>0</v>
      </c>
      <c r="G13" s="180">
        <f>'Natural gas (auxilary heat)'!H23</f>
        <v>0</v>
      </c>
      <c r="H13" s="180">
        <f>'Propane (auxilary heat)'!H23</f>
        <v>0</v>
      </c>
      <c r="I13" s="181"/>
      <c r="J13" s="184">
        <f t="shared" si="0"/>
        <v>0</v>
      </c>
      <c r="K13" s="185">
        <v>100</v>
      </c>
    </row>
    <row r="14" spans="2:11" ht="15" customHeight="1" thickBot="1" x14ac:dyDescent="0.3">
      <c r="B14" s="84" t="s">
        <v>42</v>
      </c>
      <c r="C14" s="178">
        <f>'Hot mix asphalt'!H35</f>
        <v>0</v>
      </c>
      <c r="D14" s="186"/>
      <c r="E14" s="180"/>
      <c r="F14" s="180">
        <f>Generator!H41</f>
        <v>0</v>
      </c>
      <c r="G14" s="180">
        <f>'Natural gas (auxilary heat)'!H24</f>
        <v>0</v>
      </c>
      <c r="H14" s="180">
        <f>'Propane (auxilary heat)'!H24</f>
        <v>0</v>
      </c>
      <c r="I14" s="181"/>
      <c r="J14" s="184">
        <f t="shared" si="0"/>
        <v>0</v>
      </c>
      <c r="K14" s="187">
        <v>0.5</v>
      </c>
    </row>
    <row r="15" spans="2:11" ht="15" customHeight="1" x14ac:dyDescent="0.25">
      <c r="B15" s="1170" t="s">
        <v>400</v>
      </c>
      <c r="C15" s="1171"/>
      <c r="D15" s="1171"/>
      <c r="E15" s="1171"/>
      <c r="F15" s="1171"/>
      <c r="G15" s="1171"/>
      <c r="H15" s="1171"/>
      <c r="I15" s="1171"/>
      <c r="J15" s="1171"/>
      <c r="K15" s="1172"/>
    </row>
    <row r="16" spans="2:11" ht="15" customHeight="1" x14ac:dyDescent="0.3">
      <c r="B16" s="89" t="s">
        <v>352</v>
      </c>
      <c r="C16" s="178">
        <f>'Hot mix asphalt'!H37</f>
        <v>0</v>
      </c>
      <c r="D16" s="179"/>
      <c r="E16" s="180"/>
      <c r="F16" s="180">
        <f>Generator!H43</f>
        <v>0</v>
      </c>
      <c r="G16" s="180">
        <f>'Natural gas (auxilary heat)'!H26</f>
        <v>0</v>
      </c>
      <c r="H16" s="180">
        <f>'Propane (auxilary heat)'!H26</f>
        <v>0</v>
      </c>
      <c r="I16" s="188"/>
      <c r="J16" s="182">
        <f t="shared" si="0"/>
        <v>0</v>
      </c>
      <c r="K16" s="189"/>
    </row>
    <row r="17" spans="2:11" ht="15" customHeight="1" x14ac:dyDescent="0.3">
      <c r="B17" s="89" t="s">
        <v>353</v>
      </c>
      <c r="C17" s="178">
        <f>'Hot mix asphalt'!H38</f>
        <v>0</v>
      </c>
      <c r="D17" s="179">
        <f>'Load out and silos'!G21</f>
        <v>0</v>
      </c>
      <c r="E17" s="180">
        <f>'Load out and silos'!O21</f>
        <v>0</v>
      </c>
      <c r="F17" s="180">
        <f>Generator!H44</f>
        <v>0</v>
      </c>
      <c r="G17" s="180">
        <f>'Natural gas (auxilary heat)'!H27</f>
        <v>0</v>
      </c>
      <c r="H17" s="180">
        <f>'Propane (auxilary heat)'!H27</f>
        <v>0</v>
      </c>
      <c r="I17" s="188"/>
      <c r="J17" s="190">
        <f t="shared" si="0"/>
        <v>0</v>
      </c>
      <c r="K17" s="191"/>
    </row>
    <row r="18" spans="2:11" ht="15" customHeight="1" x14ac:dyDescent="0.3">
      <c r="B18" s="89" t="s">
        <v>401</v>
      </c>
      <c r="C18" s="178"/>
      <c r="D18" s="179"/>
      <c r="E18" s="180"/>
      <c r="F18" s="180">
        <f>Generator!H45</f>
        <v>0</v>
      </c>
      <c r="G18" s="180">
        <f>'Natural gas (auxilary heat)'!H28</f>
        <v>0</v>
      </c>
      <c r="H18" s="180">
        <f>'Propane (auxilary heat)'!H28</f>
        <v>0</v>
      </c>
      <c r="I18" s="188"/>
      <c r="J18" s="190">
        <f t="shared" si="0"/>
        <v>0</v>
      </c>
      <c r="K18" s="192"/>
    </row>
    <row r="19" spans="2:11" ht="15" customHeight="1" thickBot="1" x14ac:dyDescent="0.35">
      <c r="B19" s="193" t="s">
        <v>402</v>
      </c>
      <c r="C19" s="194"/>
      <c r="D19" s="194"/>
      <c r="E19" s="194"/>
      <c r="F19" s="194"/>
      <c r="G19" s="194"/>
      <c r="H19" s="194"/>
      <c r="I19" s="194"/>
      <c r="J19" s="184">
        <f>(J16*1)+(J17*25)*(J18*298)</f>
        <v>0</v>
      </c>
      <c r="K19" s="195">
        <v>100000</v>
      </c>
    </row>
    <row r="20" spans="2:11" ht="15" customHeight="1" x14ac:dyDescent="0.25">
      <c r="B20" s="1170" t="s">
        <v>60</v>
      </c>
      <c r="C20" s="1171"/>
      <c r="D20" s="1171"/>
      <c r="E20" s="1171"/>
      <c r="F20" s="1171"/>
      <c r="G20" s="1171"/>
      <c r="H20" s="1171"/>
      <c r="I20" s="1171"/>
      <c r="J20" s="1171"/>
      <c r="K20" s="1172"/>
    </row>
    <row r="21" spans="2:11" ht="15" customHeight="1" x14ac:dyDescent="0.25">
      <c r="B21" s="571" t="s">
        <v>552</v>
      </c>
      <c r="C21" s="562"/>
      <c r="D21" s="135">
        <f>'Load out and silos'!G40</f>
        <v>0</v>
      </c>
      <c r="E21" s="563">
        <f>'Load out and silos'!O40</f>
        <v>0</v>
      </c>
      <c r="F21" s="563"/>
      <c r="G21" s="563"/>
      <c r="H21" s="563"/>
      <c r="I21" s="564"/>
      <c r="J21" s="196">
        <f>SUM(C21:I21)</f>
        <v>0</v>
      </c>
      <c r="K21" s="197"/>
    </row>
    <row r="22" spans="2:11" ht="15" customHeight="1" x14ac:dyDescent="0.25">
      <c r="B22" s="571" t="s">
        <v>116</v>
      </c>
      <c r="C22" s="565"/>
      <c r="D22" s="199"/>
      <c r="E22" s="200"/>
      <c r="F22" s="200">
        <f>Generator!H48</f>
        <v>0</v>
      </c>
      <c r="G22" s="200"/>
      <c r="H22" s="200"/>
      <c r="I22" s="201"/>
      <c r="J22" s="196">
        <f t="shared" ref="J22:J85" si="1">SUM(C22:I22)</f>
        <v>0</v>
      </c>
      <c r="K22" s="197"/>
    </row>
    <row r="23" spans="2:11" ht="15" customHeight="1" x14ac:dyDescent="0.25">
      <c r="B23" s="571" t="s">
        <v>117</v>
      </c>
      <c r="C23" s="565"/>
      <c r="D23" s="199"/>
      <c r="E23" s="200"/>
      <c r="F23" s="200">
        <f>Generator!H49</f>
        <v>0</v>
      </c>
      <c r="G23" s="200"/>
      <c r="H23" s="200"/>
      <c r="I23" s="201"/>
      <c r="J23" s="196">
        <f t="shared" si="1"/>
        <v>0</v>
      </c>
      <c r="K23" s="197"/>
    </row>
    <row r="24" spans="2:11" ht="15" customHeight="1" x14ac:dyDescent="0.25">
      <c r="B24" s="571" t="s">
        <v>118</v>
      </c>
      <c r="C24" s="565"/>
      <c r="D24" s="199"/>
      <c r="E24" s="200"/>
      <c r="F24" s="200">
        <f>Generator!H50</f>
        <v>0</v>
      </c>
      <c r="G24" s="200"/>
      <c r="H24" s="200"/>
      <c r="I24" s="201"/>
      <c r="J24" s="196">
        <f t="shared" si="1"/>
        <v>0</v>
      </c>
      <c r="K24" s="197"/>
    </row>
    <row r="25" spans="2:11" ht="15" customHeight="1" x14ac:dyDescent="0.25">
      <c r="B25" s="572" t="s">
        <v>119</v>
      </c>
      <c r="C25" s="506"/>
      <c r="D25" s="203"/>
      <c r="E25" s="204"/>
      <c r="F25" s="204">
        <f>Generator!H51</f>
        <v>0</v>
      </c>
      <c r="G25" s="204"/>
      <c r="H25" s="204"/>
      <c r="I25" s="205"/>
      <c r="J25" s="196">
        <f t="shared" si="1"/>
        <v>0</v>
      </c>
      <c r="K25" s="197"/>
    </row>
    <row r="26" spans="2:11" ht="15" customHeight="1" x14ac:dyDescent="0.25">
      <c r="B26" s="571" t="s">
        <v>542</v>
      </c>
      <c r="C26" s="570"/>
      <c r="D26" s="206">
        <f>'Load out and silos'!G26</f>
        <v>0</v>
      </c>
      <c r="E26" s="207">
        <f>'Load out and silos'!O26</f>
        <v>0</v>
      </c>
      <c r="F26" s="207"/>
      <c r="G26" s="207"/>
      <c r="H26" s="207"/>
      <c r="I26" s="208"/>
      <c r="J26" s="196">
        <f t="shared" si="1"/>
        <v>0</v>
      </c>
      <c r="K26" s="197"/>
    </row>
    <row r="27" spans="2:11" ht="15" customHeight="1" x14ac:dyDescent="0.25">
      <c r="B27" s="571" t="s">
        <v>573</v>
      </c>
      <c r="C27" s="565">
        <f>'Hot mix asphalt'!H55</f>
        <v>0</v>
      </c>
      <c r="D27" s="199">
        <f>'Load out and silos'!G59</f>
        <v>0</v>
      </c>
      <c r="E27" s="200">
        <f>'Load out and silos'!O59</f>
        <v>0</v>
      </c>
      <c r="F27" s="200"/>
      <c r="G27" s="200"/>
      <c r="H27" s="200"/>
      <c r="I27" s="201"/>
      <c r="J27" s="196">
        <f t="shared" si="1"/>
        <v>0</v>
      </c>
      <c r="K27" s="197"/>
    </row>
    <row r="28" spans="2:11" ht="15" customHeight="1" x14ac:dyDescent="0.25">
      <c r="B28" s="571" t="s">
        <v>559</v>
      </c>
      <c r="C28" s="565">
        <f>'Hot mix asphalt'!H56</f>
        <v>0</v>
      </c>
      <c r="D28" s="199">
        <f>'Load out and silos'!G45</f>
        <v>0</v>
      </c>
      <c r="E28" s="200">
        <f>'Load out and silos'!O45</f>
        <v>0</v>
      </c>
      <c r="F28" s="200"/>
      <c r="G28" s="200"/>
      <c r="H28" s="200"/>
      <c r="I28" s="201"/>
      <c r="J28" s="196">
        <f t="shared" si="1"/>
        <v>0</v>
      </c>
      <c r="K28" s="197"/>
    </row>
    <row r="29" spans="2:11" ht="15" customHeight="1" x14ac:dyDescent="0.25">
      <c r="B29" s="571" t="s">
        <v>560</v>
      </c>
      <c r="C29" s="565">
        <f>'Hot mix asphalt'!H57</f>
        <v>0</v>
      </c>
      <c r="D29" s="199">
        <f>'Load out and silos'!G46</f>
        <v>0</v>
      </c>
      <c r="E29" s="200">
        <f>'Load out and silos'!O46</f>
        <v>0</v>
      </c>
      <c r="F29" s="200"/>
      <c r="G29" s="200"/>
      <c r="H29" s="200"/>
      <c r="I29" s="201"/>
      <c r="J29" s="196">
        <f t="shared" si="1"/>
        <v>0</v>
      </c>
      <c r="K29" s="197"/>
    </row>
    <row r="30" spans="2:11" ht="15" customHeight="1" x14ac:dyDescent="0.25">
      <c r="B30" s="572" t="s">
        <v>120</v>
      </c>
      <c r="C30" s="506">
        <f>'Hot mix asphalt'!H42</f>
        <v>0</v>
      </c>
      <c r="D30" s="203"/>
      <c r="E30" s="204"/>
      <c r="F30" s="204">
        <f>Generator!H52</f>
        <v>0</v>
      </c>
      <c r="G30" s="204"/>
      <c r="H30" s="204"/>
      <c r="I30" s="205"/>
      <c r="J30" s="196">
        <f t="shared" si="1"/>
        <v>0</v>
      </c>
      <c r="K30" s="197"/>
    </row>
    <row r="31" spans="2:11" ht="15" customHeight="1" x14ac:dyDescent="0.25">
      <c r="B31" s="571" t="s">
        <v>120</v>
      </c>
      <c r="C31" s="570"/>
      <c r="D31" s="206"/>
      <c r="E31" s="207"/>
      <c r="F31" s="207"/>
      <c r="G31" s="207"/>
      <c r="H31" s="207"/>
      <c r="I31" s="208"/>
      <c r="J31" s="196">
        <f t="shared" si="1"/>
        <v>0</v>
      </c>
      <c r="K31" s="197"/>
    </row>
    <row r="32" spans="2:11" ht="15" customHeight="1" x14ac:dyDescent="0.25">
      <c r="B32" s="571" t="s">
        <v>121</v>
      </c>
      <c r="C32" s="565">
        <f>'Hot mix asphalt'!H52</f>
        <v>0</v>
      </c>
      <c r="D32" s="199"/>
      <c r="E32" s="200"/>
      <c r="F32" s="200">
        <f>Generator!H53</f>
        <v>0</v>
      </c>
      <c r="G32" s="200"/>
      <c r="H32" s="200"/>
      <c r="I32" s="201"/>
      <c r="J32" s="196">
        <f t="shared" si="1"/>
        <v>0</v>
      </c>
      <c r="K32" s="197"/>
    </row>
    <row r="33" spans="2:11" ht="15" customHeight="1" x14ac:dyDescent="0.25">
      <c r="B33" s="571" t="s">
        <v>581</v>
      </c>
      <c r="C33" s="565">
        <f>'Hot mix asphalt'!H58</f>
        <v>0</v>
      </c>
      <c r="D33" s="199">
        <f>'Load out and silos'!G47</f>
        <v>0</v>
      </c>
      <c r="E33" s="200">
        <f>'Load out and silos'!O47</f>
        <v>0</v>
      </c>
      <c r="F33" s="200"/>
      <c r="G33" s="200"/>
      <c r="H33" s="200"/>
      <c r="I33" s="201"/>
      <c r="J33" s="196">
        <f t="shared" si="1"/>
        <v>0</v>
      </c>
      <c r="K33" s="197"/>
    </row>
    <row r="34" spans="2:11" ht="15" customHeight="1" x14ac:dyDescent="0.25">
      <c r="B34" s="571" t="s">
        <v>43</v>
      </c>
      <c r="C34" s="565">
        <f>'Hot mix asphalt'!H43</f>
        <v>0</v>
      </c>
      <c r="D34" s="199">
        <f>'Load out and silos'!G24</f>
        <v>0</v>
      </c>
      <c r="E34" s="200">
        <f>'Load out and silos'!O24</f>
        <v>0</v>
      </c>
      <c r="F34" s="200">
        <f>Generator!H54</f>
        <v>0</v>
      </c>
      <c r="G34" s="200">
        <f>'Natural gas (auxilary heat)'!H31</f>
        <v>0</v>
      </c>
      <c r="H34" s="200">
        <f>'Propane (auxilary heat)'!H31</f>
        <v>0</v>
      </c>
      <c r="I34" s="201"/>
      <c r="J34" s="196">
        <f t="shared" si="1"/>
        <v>0</v>
      </c>
      <c r="K34" s="197"/>
    </row>
    <row r="35" spans="2:11" ht="15" customHeight="1" x14ac:dyDescent="0.25">
      <c r="B35" s="572" t="s">
        <v>562</v>
      </c>
      <c r="C35" s="506">
        <f>'Hot mix asphalt'!H59</f>
        <v>0</v>
      </c>
      <c r="D35" s="203">
        <f>'Load out and silos'!G48</f>
        <v>0</v>
      </c>
      <c r="E35" s="204">
        <f>'Load out and silos'!O48</f>
        <v>0</v>
      </c>
      <c r="F35" s="204"/>
      <c r="G35" s="204"/>
      <c r="H35" s="204"/>
      <c r="I35" s="205"/>
      <c r="J35" s="196">
        <f t="shared" si="1"/>
        <v>0</v>
      </c>
      <c r="K35" s="197"/>
    </row>
    <row r="36" spans="2:11" ht="15" customHeight="1" x14ac:dyDescent="0.25">
      <c r="B36" s="571" t="s">
        <v>566</v>
      </c>
      <c r="C36" s="570">
        <f>'Hot mix asphalt'!H60</f>
        <v>0</v>
      </c>
      <c r="D36" s="206">
        <f>'Load out and silos'!G49</f>
        <v>0</v>
      </c>
      <c r="E36" s="207">
        <f>'Load out and silos'!O49</f>
        <v>0</v>
      </c>
      <c r="F36" s="207"/>
      <c r="G36" s="207"/>
      <c r="H36" s="207"/>
      <c r="I36" s="208"/>
      <c r="J36" s="196">
        <f t="shared" si="1"/>
        <v>0</v>
      </c>
      <c r="K36" s="197"/>
    </row>
    <row r="37" spans="2:11" ht="15" customHeight="1" x14ac:dyDescent="0.25">
      <c r="B37" s="571" t="s">
        <v>563</v>
      </c>
      <c r="C37" s="565">
        <f>'Hot mix asphalt'!H61</f>
        <v>0</v>
      </c>
      <c r="D37" s="199">
        <f>'Load out and silos'!G50</f>
        <v>0</v>
      </c>
      <c r="E37" s="200">
        <f>'Load out and silos'!O50</f>
        <v>0</v>
      </c>
      <c r="F37" s="200"/>
      <c r="G37" s="200"/>
      <c r="H37" s="200"/>
      <c r="I37" s="201"/>
      <c r="J37" s="196">
        <f t="shared" si="1"/>
        <v>0</v>
      </c>
      <c r="K37" s="197"/>
    </row>
    <row r="38" spans="2:11" ht="15" customHeight="1" x14ac:dyDescent="0.25">
      <c r="B38" s="571" t="s">
        <v>567</v>
      </c>
      <c r="C38" s="565">
        <f>'Hot mix asphalt'!H62</f>
        <v>0</v>
      </c>
      <c r="D38" s="199">
        <f>'Load out and silos'!G51</f>
        <v>0</v>
      </c>
      <c r="E38" s="200">
        <f>'Load out and silos'!O51</f>
        <v>0</v>
      </c>
      <c r="F38" s="200"/>
      <c r="G38" s="200"/>
      <c r="H38" s="200"/>
      <c r="I38" s="201"/>
      <c r="J38" s="196">
        <f t="shared" si="1"/>
        <v>0</v>
      </c>
      <c r="K38" s="197"/>
    </row>
    <row r="39" spans="2:11" ht="15" customHeight="1" x14ac:dyDescent="0.25">
      <c r="B39" s="571" t="s">
        <v>565</v>
      </c>
      <c r="C39" s="565">
        <f>'Hot mix asphalt'!H63</f>
        <v>0</v>
      </c>
      <c r="D39" s="199">
        <f>'Load out and silos'!G52</f>
        <v>0</v>
      </c>
      <c r="E39" s="200">
        <f>'Load out and silos'!O52</f>
        <v>0</v>
      </c>
      <c r="F39" s="200"/>
      <c r="G39" s="200"/>
      <c r="H39" s="200"/>
      <c r="I39" s="201"/>
      <c r="J39" s="196">
        <f t="shared" si="1"/>
        <v>0</v>
      </c>
      <c r="K39" s="197"/>
    </row>
    <row r="40" spans="2:11" ht="15" customHeight="1" x14ac:dyDescent="0.25">
      <c r="B40" s="572" t="s">
        <v>564</v>
      </c>
      <c r="C40" s="506">
        <f>'Hot mix asphalt'!H64</f>
        <v>0</v>
      </c>
      <c r="D40" s="203">
        <f>'Load out and silos'!G53</f>
        <v>0</v>
      </c>
      <c r="E40" s="204">
        <f>'Load out and silos'!O53</f>
        <v>0</v>
      </c>
      <c r="F40" s="204"/>
      <c r="G40" s="204"/>
      <c r="H40" s="204"/>
      <c r="I40" s="205"/>
      <c r="J40" s="196">
        <f t="shared" si="1"/>
        <v>0</v>
      </c>
      <c r="K40" s="197"/>
    </row>
    <row r="41" spans="2:11" ht="15" customHeight="1" x14ac:dyDescent="0.25">
      <c r="B41" s="571" t="s">
        <v>122</v>
      </c>
      <c r="C41" s="570"/>
      <c r="D41" s="206"/>
      <c r="E41" s="207"/>
      <c r="F41" s="207">
        <f>Generator!H55</f>
        <v>0</v>
      </c>
      <c r="G41" s="207"/>
      <c r="H41" s="207"/>
      <c r="I41" s="208"/>
      <c r="J41" s="196">
        <f t="shared" si="1"/>
        <v>0</v>
      </c>
      <c r="K41" s="197"/>
    </row>
    <row r="42" spans="2:11" ht="15" customHeight="1" x14ac:dyDescent="0.25">
      <c r="B42" s="571" t="s">
        <v>541</v>
      </c>
      <c r="C42" s="565"/>
      <c r="D42" s="199">
        <f>'Load out and silos'!G25</f>
        <v>0</v>
      </c>
      <c r="E42" s="200">
        <f>'Load out and silos'!O25</f>
        <v>0</v>
      </c>
      <c r="F42" s="200"/>
      <c r="G42" s="200"/>
      <c r="H42" s="200"/>
      <c r="I42" s="201"/>
      <c r="J42" s="196">
        <f t="shared" si="1"/>
        <v>0</v>
      </c>
      <c r="K42" s="197"/>
    </row>
    <row r="43" spans="2:11" ht="15" customHeight="1" x14ac:dyDescent="0.25">
      <c r="B43" s="571" t="s">
        <v>543</v>
      </c>
      <c r="C43" s="565"/>
      <c r="D43" s="199">
        <f>'Load out and silos'!G27</f>
        <v>0</v>
      </c>
      <c r="E43" s="200">
        <f>'Load out and silos'!O27</f>
        <v>0</v>
      </c>
      <c r="F43" s="200"/>
      <c r="G43" s="200"/>
      <c r="H43" s="200"/>
      <c r="I43" s="201"/>
      <c r="J43" s="196">
        <f t="shared" si="1"/>
        <v>0</v>
      </c>
      <c r="K43" s="197"/>
    </row>
    <row r="44" spans="2:11" ht="15" customHeight="1" x14ac:dyDescent="0.25">
      <c r="B44" s="571" t="s">
        <v>123</v>
      </c>
      <c r="C44" s="565"/>
      <c r="D44" s="199"/>
      <c r="E44" s="200"/>
      <c r="F44" s="200">
        <f>Generator!H56</f>
        <v>0</v>
      </c>
      <c r="G44" s="200"/>
      <c r="H44" s="200"/>
      <c r="I44" s="201"/>
      <c r="J44" s="196">
        <f t="shared" si="1"/>
        <v>0</v>
      </c>
      <c r="K44" s="197"/>
    </row>
    <row r="45" spans="2:11" ht="15" customHeight="1" x14ac:dyDescent="0.25">
      <c r="B45" s="572" t="s">
        <v>124</v>
      </c>
      <c r="C45" s="506"/>
      <c r="D45" s="203"/>
      <c r="E45" s="204"/>
      <c r="F45" s="204">
        <f>Generator!H57</f>
        <v>0</v>
      </c>
      <c r="G45" s="204"/>
      <c r="H45" s="204"/>
      <c r="I45" s="205"/>
      <c r="J45" s="196">
        <f t="shared" si="1"/>
        <v>0</v>
      </c>
      <c r="K45" s="197"/>
    </row>
    <row r="46" spans="2:11" ht="15" customHeight="1" x14ac:dyDescent="0.25">
      <c r="B46" s="571" t="s">
        <v>544</v>
      </c>
      <c r="C46" s="570"/>
      <c r="D46" s="206">
        <f>'Load out and silos'!G28</f>
        <v>0</v>
      </c>
      <c r="E46" s="207">
        <f>'Load out and silos'!O28</f>
        <v>0</v>
      </c>
      <c r="F46" s="207"/>
      <c r="G46" s="207"/>
      <c r="H46" s="207"/>
      <c r="I46" s="208"/>
      <c r="J46" s="196">
        <f t="shared" si="1"/>
        <v>0</v>
      </c>
      <c r="K46" s="197"/>
    </row>
    <row r="47" spans="2:11" ht="15" customHeight="1" x14ac:dyDescent="0.25">
      <c r="B47" s="571" t="s">
        <v>125</v>
      </c>
      <c r="C47" s="565"/>
      <c r="D47" s="199"/>
      <c r="E47" s="200"/>
      <c r="F47" s="200">
        <f>Generator!H58</f>
        <v>0</v>
      </c>
      <c r="G47" s="200"/>
      <c r="H47" s="200"/>
      <c r="I47" s="201"/>
      <c r="J47" s="196">
        <f t="shared" si="1"/>
        <v>0</v>
      </c>
      <c r="K47" s="197"/>
    </row>
    <row r="48" spans="2:11" ht="15" customHeight="1" x14ac:dyDescent="0.25">
      <c r="B48" s="571" t="s">
        <v>545</v>
      </c>
      <c r="C48" s="565"/>
      <c r="D48" s="199">
        <f>'Load out and silos'!G29</f>
        <v>0</v>
      </c>
      <c r="E48" s="200">
        <f>'Load out and silos'!O29</f>
        <v>0</v>
      </c>
      <c r="F48" s="200"/>
      <c r="G48" s="200"/>
      <c r="H48" s="200"/>
      <c r="I48" s="201"/>
      <c r="J48" s="196">
        <f t="shared" si="1"/>
        <v>0</v>
      </c>
      <c r="K48" s="197"/>
    </row>
    <row r="49" spans="2:11" ht="15" customHeight="1" x14ac:dyDescent="0.25">
      <c r="B49" s="571" t="s">
        <v>568</v>
      </c>
      <c r="C49" s="565">
        <f>'Hot mix asphalt'!H64</f>
        <v>0</v>
      </c>
      <c r="D49" s="199">
        <f>'Load out and silos'!G54</f>
        <v>0</v>
      </c>
      <c r="E49" s="200">
        <f>'Load out and silos'!O54</f>
        <v>0</v>
      </c>
      <c r="F49" s="200"/>
      <c r="G49" s="200"/>
      <c r="H49" s="200"/>
      <c r="I49" s="201"/>
      <c r="J49" s="196">
        <f t="shared" si="1"/>
        <v>0</v>
      </c>
      <c r="K49" s="197"/>
    </row>
    <row r="50" spans="2:11" ht="15" customHeight="1" x14ac:dyDescent="0.25">
      <c r="B50" s="572" t="s">
        <v>546</v>
      </c>
      <c r="C50" s="506"/>
      <c r="D50" s="203">
        <f>'Load out and silos'!G30</f>
        <v>0</v>
      </c>
      <c r="E50" s="204">
        <f>'Load out and silos'!O30</f>
        <v>0</v>
      </c>
      <c r="F50" s="204"/>
      <c r="G50" s="204"/>
      <c r="H50" s="204"/>
      <c r="I50" s="205"/>
      <c r="J50" s="196">
        <f t="shared" si="1"/>
        <v>0</v>
      </c>
      <c r="K50" s="197"/>
    </row>
    <row r="51" spans="2:11" ht="15" customHeight="1" x14ac:dyDescent="0.25">
      <c r="B51" s="571" t="s">
        <v>569</v>
      </c>
      <c r="C51" s="570">
        <f>'Hot mix asphalt'!H65</f>
        <v>0</v>
      </c>
      <c r="D51" s="206">
        <f>'Load out and silos'!G55</f>
        <v>0</v>
      </c>
      <c r="E51" s="207">
        <f>'Load out and silos'!O55</f>
        <v>0</v>
      </c>
      <c r="F51" s="207"/>
      <c r="G51" s="207"/>
      <c r="H51" s="207"/>
      <c r="I51" s="208"/>
      <c r="J51" s="196">
        <f t="shared" si="1"/>
        <v>0</v>
      </c>
      <c r="K51" s="197"/>
    </row>
    <row r="52" spans="2:11" ht="15" customHeight="1" x14ac:dyDescent="0.25">
      <c r="B52" s="571" t="s">
        <v>126</v>
      </c>
      <c r="C52" s="565">
        <f>'Hot mix asphalt'!H44</f>
        <v>0</v>
      </c>
      <c r="D52" s="199">
        <f>'Load out and silos'!G31</f>
        <v>0</v>
      </c>
      <c r="E52" s="200">
        <f>'Load out and silos'!O31</f>
        <v>0</v>
      </c>
      <c r="F52" s="200">
        <f>Generator!H59</f>
        <v>0</v>
      </c>
      <c r="G52" s="200"/>
      <c r="H52" s="200"/>
      <c r="I52" s="201"/>
      <c r="J52" s="196">
        <f t="shared" si="1"/>
        <v>0</v>
      </c>
      <c r="K52" s="197"/>
    </row>
    <row r="53" spans="2:11" ht="15" customHeight="1" x14ac:dyDescent="0.25">
      <c r="B53" s="571" t="s">
        <v>127</v>
      </c>
      <c r="C53" s="565"/>
      <c r="D53" s="199"/>
      <c r="E53" s="200"/>
      <c r="F53" s="200">
        <f>Generator!H60</f>
        <v>0</v>
      </c>
      <c r="G53" s="200"/>
      <c r="H53" s="200"/>
      <c r="I53" s="201"/>
      <c r="J53" s="196">
        <f t="shared" si="1"/>
        <v>0</v>
      </c>
      <c r="K53" s="197"/>
    </row>
    <row r="54" spans="2:11" ht="15" customHeight="1" x14ac:dyDescent="0.25">
      <c r="B54" s="571" t="s">
        <v>570</v>
      </c>
      <c r="C54" s="565">
        <f>'Hot mix asphalt'!H66</f>
        <v>0</v>
      </c>
      <c r="D54" s="199">
        <f>'Load out and silos'!G56</f>
        <v>0</v>
      </c>
      <c r="E54" s="200">
        <f>'Load out and silos'!O56</f>
        <v>0</v>
      </c>
      <c r="F54" s="200"/>
      <c r="G54" s="200"/>
      <c r="H54" s="200"/>
      <c r="I54" s="201"/>
      <c r="J54" s="196">
        <f t="shared" si="1"/>
        <v>0</v>
      </c>
      <c r="K54" s="197"/>
    </row>
    <row r="55" spans="2:11" ht="15" customHeight="1" x14ac:dyDescent="0.25">
      <c r="B55" s="572" t="s">
        <v>571</v>
      </c>
      <c r="C55" s="506">
        <f>'Hot mix asphalt'!H67</f>
        <v>0</v>
      </c>
      <c r="D55" s="203">
        <f>'Load out and silos'!G57</f>
        <v>0</v>
      </c>
      <c r="E55" s="204">
        <f>'Load out and silos'!O57</f>
        <v>0</v>
      </c>
      <c r="F55" s="204"/>
      <c r="G55" s="204"/>
      <c r="H55" s="204"/>
      <c r="I55" s="205"/>
      <c r="J55" s="196">
        <f t="shared" si="1"/>
        <v>0</v>
      </c>
      <c r="K55" s="197"/>
    </row>
    <row r="56" spans="2:11" ht="15" customHeight="1" x14ac:dyDescent="0.25">
      <c r="B56" s="571" t="s">
        <v>44</v>
      </c>
      <c r="C56" s="570">
        <f>'Hot mix asphalt'!H45</f>
        <v>0</v>
      </c>
      <c r="D56" s="206">
        <f>'Load out and silos'!G32</f>
        <v>0</v>
      </c>
      <c r="E56" s="207">
        <f>'Load out and silos'!O32</f>
        <v>0</v>
      </c>
      <c r="F56" s="207">
        <f>Generator!H61</f>
        <v>0</v>
      </c>
      <c r="G56" s="207">
        <f>'Natural gas (auxilary heat)'!H32</f>
        <v>0</v>
      </c>
      <c r="H56" s="207">
        <f>'Propane (auxilary heat)'!H32</f>
        <v>0</v>
      </c>
      <c r="I56" s="208"/>
      <c r="J56" s="196">
        <f t="shared" si="1"/>
        <v>0</v>
      </c>
      <c r="K56" s="197"/>
    </row>
    <row r="57" spans="2:11" ht="15" customHeight="1" x14ac:dyDescent="0.25">
      <c r="B57" s="571" t="s">
        <v>45</v>
      </c>
      <c r="C57" s="565">
        <f>'Hot mix asphalt'!H49</f>
        <v>0</v>
      </c>
      <c r="D57" s="199"/>
      <c r="E57" s="200"/>
      <c r="F57" s="200">
        <f>Generator!H62</f>
        <v>0</v>
      </c>
      <c r="G57" s="200">
        <f>'Natural gas (auxilary heat)'!H33</f>
        <v>0</v>
      </c>
      <c r="H57" s="200">
        <f>'Propane (auxilary heat)'!H33</f>
        <v>0</v>
      </c>
      <c r="I57" s="201"/>
      <c r="J57" s="196">
        <f t="shared" si="1"/>
        <v>0</v>
      </c>
      <c r="K57" s="197"/>
    </row>
    <row r="58" spans="2:11" ht="15" customHeight="1" x14ac:dyDescent="0.25">
      <c r="B58" s="571" t="s">
        <v>572</v>
      </c>
      <c r="C58" s="565">
        <f>'Hot mix asphalt'!H68</f>
        <v>0</v>
      </c>
      <c r="D58" s="199">
        <f>'Load out and silos'!G58</f>
        <v>0</v>
      </c>
      <c r="E58" s="200">
        <f>'Load out and silos'!O58</f>
        <v>0</v>
      </c>
      <c r="F58" s="200"/>
      <c r="G58" s="200"/>
      <c r="H58" s="200"/>
      <c r="I58" s="201"/>
      <c r="J58" s="196">
        <f t="shared" si="1"/>
        <v>0</v>
      </c>
      <c r="K58" s="197"/>
    </row>
    <row r="59" spans="2:11" ht="15" customHeight="1" x14ac:dyDescent="0.25">
      <c r="B59" s="571" t="s">
        <v>548</v>
      </c>
      <c r="C59" s="565">
        <f>'Hot mix asphalt'!H50</f>
        <v>0</v>
      </c>
      <c r="D59" s="199">
        <f>'Load out and silos'!G34</f>
        <v>0</v>
      </c>
      <c r="E59" s="200">
        <f>'Load out and silos'!O34</f>
        <v>0</v>
      </c>
      <c r="F59" s="200"/>
      <c r="G59" s="200"/>
      <c r="H59" s="200"/>
      <c r="I59" s="201"/>
      <c r="J59" s="196">
        <f t="shared" si="1"/>
        <v>0</v>
      </c>
      <c r="K59" s="197"/>
    </row>
    <row r="60" spans="2:11" ht="15" customHeight="1" x14ac:dyDescent="0.25">
      <c r="B60" s="572" t="s">
        <v>128</v>
      </c>
      <c r="C60" s="506"/>
      <c r="D60" s="203"/>
      <c r="E60" s="204"/>
      <c r="F60" s="204">
        <f>Generator!H63</f>
        <v>0</v>
      </c>
      <c r="G60" s="204"/>
      <c r="H60" s="204"/>
      <c r="I60" s="205"/>
      <c r="J60" s="196">
        <f t="shared" si="1"/>
        <v>0</v>
      </c>
      <c r="K60" s="197"/>
    </row>
    <row r="61" spans="2:11" ht="15" customHeight="1" x14ac:dyDescent="0.25">
      <c r="B61" s="571" t="s">
        <v>579</v>
      </c>
      <c r="C61" s="570">
        <f>'Hot mix asphalt'!H51</f>
        <v>0</v>
      </c>
      <c r="D61" s="206"/>
      <c r="E61" s="207"/>
      <c r="F61" s="207"/>
      <c r="G61" s="207"/>
      <c r="H61" s="207"/>
      <c r="I61" s="208"/>
      <c r="J61" s="196">
        <f t="shared" si="1"/>
        <v>0</v>
      </c>
      <c r="K61" s="197"/>
    </row>
    <row r="62" spans="2:11" ht="15" customHeight="1" x14ac:dyDescent="0.25">
      <c r="B62" s="571" t="s">
        <v>549</v>
      </c>
      <c r="C62" s="565"/>
      <c r="D62" s="199">
        <f>'Load out and silos'!G35</f>
        <v>0</v>
      </c>
      <c r="E62" s="200">
        <f>'Load out and silos'!O35</f>
        <v>0</v>
      </c>
      <c r="F62" s="200">
        <f>Generator!H64</f>
        <v>0</v>
      </c>
      <c r="G62" s="200"/>
      <c r="H62" s="200"/>
      <c r="I62" s="201"/>
      <c r="J62" s="196">
        <f t="shared" si="1"/>
        <v>0</v>
      </c>
      <c r="K62" s="197"/>
    </row>
    <row r="63" spans="2:11" ht="15" customHeight="1" x14ac:dyDescent="0.25">
      <c r="B63" s="571" t="s">
        <v>550</v>
      </c>
      <c r="C63" s="565"/>
      <c r="D63" s="199">
        <f>'Load out and silos'!G36</f>
        <v>0</v>
      </c>
      <c r="E63" s="200">
        <f>'Load out and silos'!O36</f>
        <v>0</v>
      </c>
      <c r="F63" s="200"/>
      <c r="G63" s="200"/>
      <c r="H63" s="200"/>
      <c r="I63" s="201"/>
      <c r="J63" s="196">
        <f t="shared" si="1"/>
        <v>0</v>
      </c>
      <c r="K63" s="197"/>
    </row>
    <row r="64" spans="2:11" ht="15" customHeight="1" x14ac:dyDescent="0.25">
      <c r="B64" s="571" t="s">
        <v>46</v>
      </c>
      <c r="C64" s="565">
        <f>'Hot mix asphalt'!H69</f>
        <v>0</v>
      </c>
      <c r="D64" s="199">
        <f>'Load out and silos'!G60</f>
        <v>0</v>
      </c>
      <c r="E64" s="200">
        <f>'Load out and silos'!O60</f>
        <v>0</v>
      </c>
      <c r="F64" s="200">
        <f>Generator!H65</f>
        <v>0</v>
      </c>
      <c r="G64" s="200">
        <f>'Natural gas (auxilary heat)'!H34</f>
        <v>0</v>
      </c>
      <c r="H64" s="200">
        <f>'Propane (auxilary heat)'!H34</f>
        <v>0</v>
      </c>
      <c r="I64" s="201"/>
      <c r="J64" s="196">
        <f t="shared" si="1"/>
        <v>0</v>
      </c>
      <c r="K64" s="197"/>
    </row>
    <row r="65" spans="2:11" ht="15" customHeight="1" x14ac:dyDescent="0.25">
      <c r="B65" s="572" t="s">
        <v>547</v>
      </c>
      <c r="C65" s="506"/>
      <c r="D65" s="203">
        <f>'Load out and silos'!G33</f>
        <v>0</v>
      </c>
      <c r="E65" s="204">
        <f>'Load out and silos'!O33</f>
        <v>0</v>
      </c>
      <c r="F65" s="204"/>
      <c r="G65" s="204"/>
      <c r="H65" s="204"/>
      <c r="I65" s="205"/>
      <c r="J65" s="196">
        <f t="shared" si="1"/>
        <v>0</v>
      </c>
      <c r="K65" s="197"/>
    </row>
    <row r="66" spans="2:11" ht="15" customHeight="1" x14ac:dyDescent="0.25">
      <c r="B66" s="571" t="s">
        <v>574</v>
      </c>
      <c r="C66" s="570">
        <f>'Hot mix asphalt'!H73</f>
        <v>0</v>
      </c>
      <c r="D66" s="206">
        <f>'Load out and silos'!G61</f>
        <v>0</v>
      </c>
      <c r="E66" s="207">
        <f>'Load out and silos'!O61</f>
        <v>0</v>
      </c>
      <c r="F66" s="207"/>
      <c r="G66" s="207"/>
      <c r="H66" s="207"/>
      <c r="I66" s="208"/>
      <c r="J66" s="196">
        <f t="shared" si="1"/>
        <v>0</v>
      </c>
      <c r="K66" s="197"/>
    </row>
    <row r="67" spans="2:11" ht="15" customHeight="1" x14ac:dyDescent="0.25">
      <c r="B67" s="571" t="s">
        <v>575</v>
      </c>
      <c r="C67" s="565">
        <f>'Hot mix asphalt'!H70</f>
        <v>0</v>
      </c>
      <c r="D67" s="199">
        <f>'Load out and silos'!G62</f>
        <v>0</v>
      </c>
      <c r="E67" s="200">
        <f>'Load out and silos'!O62</f>
        <v>0</v>
      </c>
      <c r="F67" s="200"/>
      <c r="G67" s="200"/>
      <c r="H67" s="200"/>
      <c r="I67" s="201"/>
      <c r="J67" s="196">
        <f t="shared" si="1"/>
        <v>0</v>
      </c>
      <c r="K67" s="197"/>
    </row>
    <row r="68" spans="2:11" ht="15" customHeight="1" x14ac:dyDescent="0.25">
      <c r="B68" s="571" t="s">
        <v>130</v>
      </c>
      <c r="C68" s="565"/>
      <c r="D68" s="199"/>
      <c r="E68" s="200"/>
      <c r="F68" s="200">
        <f>Generator!H67</f>
        <v>0</v>
      </c>
      <c r="G68" s="200"/>
      <c r="H68" s="200"/>
      <c r="I68" s="201"/>
      <c r="J68" s="196">
        <f t="shared" si="1"/>
        <v>0</v>
      </c>
      <c r="K68" s="197"/>
    </row>
    <row r="69" spans="2:11" ht="15" customHeight="1" x14ac:dyDescent="0.25">
      <c r="B69" s="571" t="s">
        <v>580</v>
      </c>
      <c r="C69" s="565">
        <f>'Hot mix asphalt'!H53</f>
        <v>0</v>
      </c>
      <c r="D69" s="199"/>
      <c r="E69" s="200"/>
      <c r="F69" s="200"/>
      <c r="G69" s="200"/>
      <c r="H69" s="200"/>
      <c r="I69" s="201"/>
      <c r="J69" s="196">
        <f t="shared" si="1"/>
        <v>0</v>
      </c>
      <c r="K69" s="197"/>
    </row>
    <row r="70" spans="2:11" ht="15" customHeight="1" x14ac:dyDescent="0.25">
      <c r="B70" s="572" t="s">
        <v>576</v>
      </c>
      <c r="C70" s="506">
        <f>'Hot mix asphalt'!H73</f>
        <v>0</v>
      </c>
      <c r="D70" s="203">
        <f>'Load out and silos'!G63</f>
        <v>0</v>
      </c>
      <c r="E70" s="204">
        <f>'Load out and silos'!O63</f>
        <v>0</v>
      </c>
      <c r="F70" s="204"/>
      <c r="G70" s="204"/>
      <c r="H70" s="204"/>
      <c r="I70" s="205"/>
      <c r="J70" s="196">
        <f t="shared" si="1"/>
        <v>0</v>
      </c>
      <c r="K70" s="197"/>
    </row>
    <row r="71" spans="2:11" ht="15" customHeight="1" x14ac:dyDescent="0.25">
      <c r="B71" s="571" t="s">
        <v>218</v>
      </c>
      <c r="C71" s="570">
        <f>'Hot mix asphalt'!H46</f>
        <v>0</v>
      </c>
      <c r="D71" s="206"/>
      <c r="E71" s="207"/>
      <c r="F71" s="207"/>
      <c r="G71" s="207"/>
      <c r="H71" s="207"/>
      <c r="I71" s="208"/>
      <c r="J71" s="196">
        <f t="shared" si="1"/>
        <v>0</v>
      </c>
      <c r="K71" s="197"/>
    </row>
    <row r="72" spans="2:11" ht="15" customHeight="1" x14ac:dyDescent="0.25">
      <c r="B72" s="571" t="s">
        <v>131</v>
      </c>
      <c r="C72" s="565"/>
      <c r="D72" s="199">
        <f>'Load out and silos'!G37</f>
        <v>0</v>
      </c>
      <c r="E72" s="200">
        <f>'Load out and silos'!O37</f>
        <v>0</v>
      </c>
      <c r="F72" s="200">
        <f>Generator!H68</f>
        <v>0</v>
      </c>
      <c r="G72" s="200"/>
      <c r="H72" s="200"/>
      <c r="I72" s="201"/>
      <c r="J72" s="196">
        <f t="shared" si="1"/>
        <v>0</v>
      </c>
      <c r="K72" s="197"/>
    </row>
    <row r="73" spans="2:11" ht="15" customHeight="1" x14ac:dyDescent="0.25">
      <c r="B73" s="571" t="s">
        <v>132</v>
      </c>
      <c r="C73" s="565"/>
      <c r="D73" s="199"/>
      <c r="E73" s="200"/>
      <c r="F73" s="200">
        <f>Generator!H69</f>
        <v>0</v>
      </c>
      <c r="G73" s="200"/>
      <c r="H73" s="200"/>
      <c r="I73" s="201"/>
      <c r="J73" s="196">
        <f t="shared" si="1"/>
        <v>0</v>
      </c>
      <c r="K73" s="197"/>
    </row>
    <row r="74" spans="2:11" ht="15" customHeight="1" x14ac:dyDescent="0.25">
      <c r="B74" s="571" t="s">
        <v>551</v>
      </c>
      <c r="C74" s="565"/>
      <c r="D74" s="199">
        <f>'Load out and silos'!G38</f>
        <v>0</v>
      </c>
      <c r="E74" s="200">
        <f>'Load out and silos'!O38</f>
        <v>0</v>
      </c>
      <c r="F74" s="200"/>
      <c r="G74" s="200"/>
      <c r="H74" s="200"/>
      <c r="I74" s="201"/>
      <c r="J74" s="196">
        <f t="shared" si="1"/>
        <v>0</v>
      </c>
      <c r="K74" s="197"/>
    </row>
    <row r="75" spans="2:11" ht="15" customHeight="1" x14ac:dyDescent="0.25">
      <c r="B75" s="572" t="s">
        <v>47</v>
      </c>
      <c r="C75" s="506">
        <f>'Hot mix asphalt'!H47</f>
        <v>0</v>
      </c>
      <c r="D75" s="203">
        <f>'Load out and silos'!G39</f>
        <v>0</v>
      </c>
      <c r="E75" s="204">
        <f>'Load out and silos'!O39</f>
        <v>0</v>
      </c>
      <c r="F75" s="204">
        <f>Generator!H70</f>
        <v>0</v>
      </c>
      <c r="G75" s="204">
        <f>'Natural gas (auxilary heat)'!H35</f>
        <v>0</v>
      </c>
      <c r="H75" s="204">
        <f>'Propane (auxilary heat)'!H35</f>
        <v>0</v>
      </c>
      <c r="I75" s="205"/>
      <c r="J75" s="196">
        <f t="shared" si="1"/>
        <v>0</v>
      </c>
      <c r="K75" s="197"/>
    </row>
    <row r="76" spans="2:11" ht="15" customHeight="1" x14ac:dyDescent="0.25">
      <c r="B76" s="571" t="s">
        <v>553</v>
      </c>
      <c r="C76" s="570"/>
      <c r="D76" s="206">
        <f>'Load out and silos'!G41</f>
        <v>0</v>
      </c>
      <c r="E76" s="207">
        <f>'Load out and silos'!O41</f>
        <v>0</v>
      </c>
      <c r="F76" s="207"/>
      <c r="G76" s="207"/>
      <c r="H76" s="207"/>
      <c r="I76" s="208"/>
      <c r="J76" s="196">
        <f t="shared" si="1"/>
        <v>0</v>
      </c>
      <c r="K76" s="197"/>
    </row>
    <row r="77" spans="2:11" ht="15" customHeight="1" x14ac:dyDescent="0.25">
      <c r="B77" s="571" t="s">
        <v>554</v>
      </c>
      <c r="C77" s="565"/>
      <c r="D77" s="199">
        <f>'Load out and silos'!G42</f>
        <v>0</v>
      </c>
      <c r="E77" s="200">
        <f>'Load out and silos'!O42</f>
        <v>0</v>
      </c>
      <c r="F77" s="200"/>
      <c r="G77" s="200"/>
      <c r="H77" s="200"/>
      <c r="I77" s="201"/>
      <c r="J77" s="196">
        <f t="shared" si="1"/>
        <v>0</v>
      </c>
      <c r="K77" s="197"/>
    </row>
    <row r="78" spans="2:11" ht="15" customHeight="1" x14ac:dyDescent="0.25">
      <c r="B78" s="571" t="s">
        <v>133</v>
      </c>
      <c r="C78" s="565"/>
      <c r="D78" s="199"/>
      <c r="E78" s="200"/>
      <c r="F78" s="200">
        <f>Generator!H71</f>
        <v>0</v>
      </c>
      <c r="G78" s="200"/>
      <c r="H78" s="200"/>
      <c r="I78" s="201"/>
      <c r="J78" s="196">
        <f t="shared" si="1"/>
        <v>0</v>
      </c>
      <c r="K78" s="197"/>
    </row>
    <row r="79" spans="2:11" ht="15" customHeight="1" thickBot="1" x14ac:dyDescent="0.3">
      <c r="B79" s="571" t="s">
        <v>134</v>
      </c>
      <c r="C79" s="566">
        <f>'Hot mix asphalt'!H48</f>
        <v>0</v>
      </c>
      <c r="D79" s="567">
        <f>'Load out and silos'!G43</f>
        <v>0</v>
      </c>
      <c r="E79" s="568">
        <f>'Load out and silos'!O43</f>
        <v>0</v>
      </c>
      <c r="F79" s="568">
        <f>Generator!H72</f>
        <v>0</v>
      </c>
      <c r="G79" s="568"/>
      <c r="H79" s="568"/>
      <c r="I79" s="569"/>
      <c r="J79" s="196">
        <f t="shared" si="1"/>
        <v>0</v>
      </c>
      <c r="K79" s="197"/>
    </row>
    <row r="80" spans="2:11" ht="15" customHeight="1" x14ac:dyDescent="0.25">
      <c r="B80" s="1170" t="s">
        <v>599</v>
      </c>
      <c r="C80" s="1171"/>
      <c r="D80" s="1171"/>
      <c r="E80" s="1171"/>
      <c r="F80" s="1171"/>
      <c r="G80" s="1171"/>
      <c r="H80" s="1171"/>
      <c r="I80" s="1171"/>
      <c r="J80" s="1171"/>
      <c r="K80" s="1172"/>
    </row>
    <row r="81" spans="2:11" ht="15" customHeight="1" x14ac:dyDescent="0.25">
      <c r="B81" s="571" t="s">
        <v>221</v>
      </c>
      <c r="C81" s="565">
        <f>'Hot mix asphalt'!H75</f>
        <v>0</v>
      </c>
      <c r="D81" s="199"/>
      <c r="E81" s="200"/>
      <c r="F81" s="200"/>
      <c r="G81" s="200"/>
      <c r="H81" s="200"/>
      <c r="I81" s="201"/>
      <c r="J81" s="202">
        <f t="shared" si="1"/>
        <v>0</v>
      </c>
      <c r="K81" s="197"/>
    </row>
    <row r="82" spans="2:11" ht="15" customHeight="1" x14ac:dyDescent="0.25">
      <c r="B82" s="571" t="s">
        <v>48</v>
      </c>
      <c r="C82" s="565">
        <f>'Hot mix asphalt'!H76</f>
        <v>0</v>
      </c>
      <c r="D82" s="199"/>
      <c r="E82" s="200"/>
      <c r="F82" s="200"/>
      <c r="G82" s="200">
        <f>'Natural gas (auxilary heat)'!H36</f>
        <v>0</v>
      </c>
      <c r="H82" s="200">
        <f>'Propane (auxilary heat)'!H36</f>
        <v>0</v>
      </c>
      <c r="I82" s="201"/>
      <c r="J82" s="196">
        <f t="shared" si="1"/>
        <v>0</v>
      </c>
      <c r="K82" s="197"/>
    </row>
    <row r="83" spans="2:11" ht="15" customHeight="1" x14ac:dyDescent="0.25">
      <c r="B83" s="571" t="s">
        <v>49</v>
      </c>
      <c r="C83" s="565">
        <f>'Hot mix asphalt'!H77</f>
        <v>0</v>
      </c>
      <c r="D83" s="199"/>
      <c r="E83" s="200"/>
      <c r="F83" s="200"/>
      <c r="G83" s="200">
        <f>'Natural gas (auxilary heat)'!H37</f>
        <v>0</v>
      </c>
      <c r="H83" s="200">
        <f>'Propane (auxilary heat)'!H37</f>
        <v>0</v>
      </c>
      <c r="I83" s="201"/>
      <c r="J83" s="196">
        <f t="shared" si="1"/>
        <v>0</v>
      </c>
      <c r="K83" s="197"/>
    </row>
    <row r="84" spans="2:11" ht="15" customHeight="1" x14ac:dyDescent="0.25">
      <c r="B84" s="571" t="s">
        <v>50</v>
      </c>
      <c r="C84" s="565">
        <f>'Hot mix asphalt'!H78</f>
        <v>0</v>
      </c>
      <c r="D84" s="199"/>
      <c r="E84" s="200"/>
      <c r="F84" s="200"/>
      <c r="G84" s="200">
        <f>'Natural gas (auxilary heat)'!H38</f>
        <v>0</v>
      </c>
      <c r="H84" s="200">
        <f>'Propane (auxilary heat)'!H38</f>
        <v>0</v>
      </c>
      <c r="I84" s="201"/>
      <c r="J84" s="196">
        <f t="shared" si="1"/>
        <v>0</v>
      </c>
      <c r="K84" s="197"/>
    </row>
    <row r="85" spans="2:11" ht="15" customHeight="1" x14ac:dyDescent="0.25">
      <c r="B85" s="572" t="s">
        <v>51</v>
      </c>
      <c r="C85" s="506">
        <f>'Hot mix asphalt'!H79</f>
        <v>0</v>
      </c>
      <c r="D85" s="203"/>
      <c r="E85" s="204"/>
      <c r="F85" s="204"/>
      <c r="G85" s="204">
        <f>'Natural gas (auxilary heat)'!H39</f>
        <v>0</v>
      </c>
      <c r="H85" s="204">
        <f>'Propane (auxilary heat)'!H39</f>
        <v>0</v>
      </c>
      <c r="I85" s="205"/>
      <c r="J85" s="196">
        <f t="shared" si="1"/>
        <v>0</v>
      </c>
      <c r="K85" s="197"/>
    </row>
    <row r="86" spans="2:11" ht="15" customHeight="1" x14ac:dyDescent="0.25">
      <c r="B86" s="571" t="s">
        <v>219</v>
      </c>
      <c r="C86" s="570">
        <f>'Hot mix asphalt'!H80</f>
        <v>0</v>
      </c>
      <c r="D86" s="206"/>
      <c r="E86" s="207"/>
      <c r="F86" s="207"/>
      <c r="G86" s="207"/>
      <c r="H86" s="207"/>
      <c r="I86" s="208"/>
      <c r="J86" s="196">
        <f t="shared" ref="J86:J91" si="2">SUM(C86:I86)</f>
        <v>0</v>
      </c>
      <c r="K86" s="197"/>
    </row>
    <row r="87" spans="2:11" ht="15" customHeight="1" x14ac:dyDescent="0.25">
      <c r="B87" s="571" t="s">
        <v>52</v>
      </c>
      <c r="C87" s="565">
        <f>'Hot mix asphalt'!H81</f>
        <v>0</v>
      </c>
      <c r="D87" s="199"/>
      <c r="E87" s="200"/>
      <c r="F87" s="200"/>
      <c r="G87" s="200">
        <f>'Natural gas (auxilary heat)'!H40</f>
        <v>0</v>
      </c>
      <c r="H87" s="200">
        <f>'Propane (auxilary heat)'!H40</f>
        <v>0</v>
      </c>
      <c r="I87" s="201"/>
      <c r="J87" s="196">
        <f t="shared" si="2"/>
        <v>0</v>
      </c>
      <c r="K87" s="197"/>
    </row>
    <row r="88" spans="2:11" ht="15" customHeight="1" x14ac:dyDescent="0.25">
      <c r="B88" s="571" t="s">
        <v>53</v>
      </c>
      <c r="C88" s="565">
        <f>'Hot mix asphalt'!H82</f>
        <v>0</v>
      </c>
      <c r="D88" s="199"/>
      <c r="E88" s="200"/>
      <c r="F88" s="200"/>
      <c r="G88" s="200">
        <f>'Natural gas (auxilary heat)'!H41</f>
        <v>0</v>
      </c>
      <c r="H88" s="200">
        <f>'Propane (auxilary heat)'!H41</f>
        <v>0</v>
      </c>
      <c r="I88" s="201"/>
      <c r="J88" s="196">
        <f t="shared" si="2"/>
        <v>0</v>
      </c>
      <c r="K88" s="197"/>
    </row>
    <row r="89" spans="2:11" ht="15" customHeight="1" x14ac:dyDescent="0.25">
      <c r="B89" s="571" t="s">
        <v>54</v>
      </c>
      <c r="C89" s="565">
        <f>'Hot mix asphalt'!H83</f>
        <v>0</v>
      </c>
      <c r="D89" s="199"/>
      <c r="E89" s="200"/>
      <c r="F89" s="200"/>
      <c r="G89" s="200">
        <f>'Natural gas (auxilary heat)'!H42</f>
        <v>0</v>
      </c>
      <c r="H89" s="200">
        <f>'Propane (auxilary heat)'!H42</f>
        <v>0</v>
      </c>
      <c r="I89" s="201"/>
      <c r="J89" s="196">
        <f t="shared" si="2"/>
        <v>0</v>
      </c>
      <c r="K89" s="197"/>
    </row>
    <row r="90" spans="2:11" ht="15" customHeight="1" x14ac:dyDescent="0.25">
      <c r="B90" s="571" t="s">
        <v>55</v>
      </c>
      <c r="C90" s="565">
        <f>'Hot mix asphalt'!H84</f>
        <v>0</v>
      </c>
      <c r="D90" s="199"/>
      <c r="E90" s="200"/>
      <c r="F90" s="200"/>
      <c r="G90" s="200">
        <f>'Natural gas (auxilary heat)'!H43</f>
        <v>0</v>
      </c>
      <c r="H90" s="200">
        <f>'Propane (auxilary heat)'!H43</f>
        <v>0</v>
      </c>
      <c r="I90" s="201"/>
      <c r="J90" s="196">
        <f t="shared" si="2"/>
        <v>0</v>
      </c>
      <c r="K90" s="197"/>
    </row>
    <row r="91" spans="2:11" ht="15" customHeight="1" thickBot="1" x14ac:dyDescent="0.3">
      <c r="B91" s="573" t="s">
        <v>56</v>
      </c>
      <c r="C91" s="566">
        <f>'Hot mix asphalt'!H85</f>
        <v>0</v>
      </c>
      <c r="D91" s="567"/>
      <c r="E91" s="568"/>
      <c r="F91" s="568"/>
      <c r="G91" s="568">
        <f>'Natural gas (auxilary heat)'!H44</f>
        <v>0</v>
      </c>
      <c r="H91" s="568">
        <f>'Propane (auxilary heat)'!H44</f>
        <v>0</v>
      </c>
      <c r="I91" s="569"/>
      <c r="J91" s="196">
        <f t="shared" si="2"/>
        <v>0</v>
      </c>
      <c r="K91" s="197"/>
    </row>
    <row r="92" spans="2:11" ht="15" customHeight="1" x14ac:dyDescent="0.25">
      <c r="B92" s="647" t="s">
        <v>582</v>
      </c>
      <c r="C92" s="648"/>
      <c r="D92" s="648"/>
      <c r="E92" s="648"/>
      <c r="F92" s="648"/>
      <c r="G92" s="648"/>
      <c r="H92" s="648"/>
      <c r="I92" s="648"/>
      <c r="J92" s="648"/>
      <c r="K92" s="649"/>
    </row>
    <row r="93" spans="2:11" s="21" customFormat="1" ht="15" customHeight="1" x14ac:dyDescent="0.2">
      <c r="B93" s="571" t="s">
        <v>583</v>
      </c>
      <c r="C93" s="565">
        <f>'Hot mix asphalt'!H87</f>
        <v>0</v>
      </c>
      <c r="D93" s="199"/>
      <c r="E93" s="200"/>
      <c r="F93" s="200"/>
      <c r="G93" s="200"/>
      <c r="H93" s="200"/>
      <c r="I93" s="201"/>
      <c r="J93" s="196">
        <f>C93</f>
        <v>0</v>
      </c>
      <c r="K93" s="197"/>
    </row>
    <row r="94" spans="2:11" s="21" customFormat="1" ht="15" customHeight="1" x14ac:dyDescent="0.2">
      <c r="B94" s="571" t="s">
        <v>584</v>
      </c>
      <c r="C94" s="565">
        <f>'Hot mix asphalt'!H88</f>
        <v>0</v>
      </c>
      <c r="D94" s="1173" t="str">
        <f>IF('Hot mix asphalt'!$E$5=Ba,"No emission factors in AP-42 for a",IF(AND('Hot mix asphalt'!$E$5=Dr,NG),"No emission factors in AP-42 for a",""))</f>
        <v/>
      </c>
      <c r="E94" s="1173"/>
      <c r="F94" s="1174" t="str">
        <f>IF(D94="No emission factors in AP-42 for a",'Hot mix asphalt'!E5,"")</f>
        <v/>
      </c>
      <c r="G94" s="1174"/>
      <c r="I94" s="201"/>
      <c r="J94" s="196">
        <f t="shared" ref="J94:J96" si="3">C94</f>
        <v>0</v>
      </c>
      <c r="K94" s="197"/>
    </row>
    <row r="95" spans="2:11" s="21" customFormat="1" ht="15" customHeight="1" x14ac:dyDescent="0.2">
      <c r="B95" s="571" t="s">
        <v>585</v>
      </c>
      <c r="C95" s="565">
        <f>'Hot mix asphalt'!H89</f>
        <v>0</v>
      </c>
      <c r="D95" s="655"/>
      <c r="E95" s="653" t="str">
        <f>IF(D94="No emission factors in AP-42 for a","that is using","")</f>
        <v/>
      </c>
      <c r="F95" s="1175" t="str">
        <f>IF(D94="No emission factors in AP-42 for a",'Hot mix asphalt'!E6,"")</f>
        <v/>
      </c>
      <c r="G95" s="1175"/>
      <c r="I95" s="201"/>
      <c r="J95" s="196">
        <f t="shared" si="3"/>
        <v>0</v>
      </c>
      <c r="K95" s="209"/>
    </row>
    <row r="96" spans="2:11" s="21" customFormat="1" ht="15" customHeight="1" x14ac:dyDescent="0.2">
      <c r="B96" s="654" t="s">
        <v>586</v>
      </c>
      <c r="C96" s="565">
        <f>'Hot mix asphalt'!H90</f>
        <v>0</v>
      </c>
      <c r="H96" s="200"/>
      <c r="I96" s="201"/>
      <c r="J96" s="196">
        <f t="shared" si="3"/>
        <v>0</v>
      </c>
      <c r="K96" s="191"/>
    </row>
    <row r="97" spans="2:11" s="21" customFormat="1" ht="15" customHeight="1" thickBot="1" x14ac:dyDescent="0.25">
      <c r="B97" s="571" t="s">
        <v>593</v>
      </c>
      <c r="C97" s="566">
        <f>'Hot mix asphalt'!H91</f>
        <v>0</v>
      </c>
      <c r="D97" s="567"/>
      <c r="E97" s="568"/>
      <c r="F97" s="568"/>
      <c r="G97" s="568"/>
      <c r="H97" s="568"/>
      <c r="I97" s="569"/>
      <c r="J97" s="196">
        <f>C97</f>
        <v>0</v>
      </c>
      <c r="K97" s="191"/>
    </row>
    <row r="98" spans="2:11" ht="15" customHeight="1" x14ac:dyDescent="0.25">
      <c r="B98" s="647" t="s">
        <v>587</v>
      </c>
      <c r="C98" s="648"/>
      <c r="D98" s="648"/>
      <c r="E98" s="648"/>
      <c r="F98" s="648"/>
      <c r="G98" s="648"/>
      <c r="H98" s="648"/>
      <c r="I98" s="648"/>
      <c r="J98" s="648"/>
      <c r="K98" s="649"/>
    </row>
    <row r="99" spans="2:11" s="21" customFormat="1" ht="15" customHeight="1" x14ac:dyDescent="0.2">
      <c r="B99" s="571" t="s">
        <v>588</v>
      </c>
      <c r="C99" s="565">
        <f>'Hot mix asphalt'!H93</f>
        <v>0</v>
      </c>
      <c r="D99" s="925"/>
      <c r="E99" s="925"/>
      <c r="F99" s="925"/>
      <c r="G99" s="925"/>
      <c r="H99" s="200"/>
      <c r="I99" s="201"/>
      <c r="J99" s="196">
        <f>C99</f>
        <v>0</v>
      </c>
      <c r="K99" s="197"/>
    </row>
    <row r="100" spans="2:11" s="21" customFormat="1" ht="15" customHeight="1" x14ac:dyDescent="0.2">
      <c r="B100" s="571" t="s">
        <v>589</v>
      </c>
      <c r="C100" s="565">
        <f>'Hot mix asphalt'!H94</f>
        <v>0</v>
      </c>
      <c r="D100" s="1173" t="str">
        <f>IF('Hot mix asphalt'!$E$5=Ba,"No emission factors in AP-42 for a",IF(AND('Hot mix asphalt'!$E$5=Dr,NG),"No emission factors in AP-42 for a",""))</f>
        <v/>
      </c>
      <c r="E100" s="1173"/>
      <c r="F100" s="1174" t="str">
        <f>IF(D100="No emission factors in AP-42 for a",'Hot mix asphalt'!E5,"")</f>
        <v/>
      </c>
      <c r="G100" s="1174"/>
      <c r="H100" s="200"/>
      <c r="I100" s="201"/>
      <c r="J100" s="196">
        <f t="shared" ref="J100:J103" si="4">C100</f>
        <v>0</v>
      </c>
      <c r="K100" s="197"/>
    </row>
    <row r="101" spans="2:11" s="21" customFormat="1" ht="15" customHeight="1" x14ac:dyDescent="0.2">
      <c r="B101" s="571" t="s">
        <v>590</v>
      </c>
      <c r="C101" s="565">
        <f>'Hot mix asphalt'!H95</f>
        <v>0</v>
      </c>
      <c r="D101" s="655"/>
      <c r="E101" s="653" t="str">
        <f>IF(D100="No emission factors in AP-42 for a","that is using","")</f>
        <v/>
      </c>
      <c r="F101" s="1175" t="str">
        <f>IF(D100="No emission factors in AP-42 for a",'Hot mix asphalt'!E6,"")</f>
        <v/>
      </c>
      <c r="G101" s="1175"/>
      <c r="H101" s="200"/>
      <c r="I101" s="201"/>
      <c r="J101" s="196">
        <f t="shared" si="4"/>
        <v>0</v>
      </c>
      <c r="K101" s="197"/>
    </row>
    <row r="102" spans="2:11" s="21" customFormat="1" ht="15" customHeight="1" x14ac:dyDescent="0.2">
      <c r="B102" s="571" t="s">
        <v>591</v>
      </c>
      <c r="C102" s="565">
        <f>'Hot mix asphalt'!H96</f>
        <v>0</v>
      </c>
      <c r="D102" s="925"/>
      <c r="E102" s="925"/>
      <c r="F102" s="925"/>
      <c r="G102" s="925"/>
      <c r="H102" s="200"/>
      <c r="I102" s="201"/>
      <c r="J102" s="196">
        <f t="shared" si="4"/>
        <v>0</v>
      </c>
      <c r="K102" s="197"/>
    </row>
    <row r="103" spans="2:11" s="21" customFormat="1" ht="15" customHeight="1" x14ac:dyDescent="0.2">
      <c r="B103" s="571" t="s">
        <v>594</v>
      </c>
      <c r="C103" s="565">
        <f>'Hot mix asphalt'!H97</f>
        <v>0</v>
      </c>
      <c r="D103" s="925"/>
      <c r="E103" s="925"/>
      <c r="F103" s="925"/>
      <c r="G103" s="925"/>
      <c r="H103" s="200"/>
      <c r="I103" s="201"/>
      <c r="J103" s="196">
        <f t="shared" si="4"/>
        <v>0</v>
      </c>
      <c r="K103" s="197"/>
    </row>
    <row r="104" spans="2:11" ht="15" customHeight="1" x14ac:dyDescent="0.25">
      <c r="B104" s="210" t="s">
        <v>74</v>
      </c>
      <c r="C104" s="1169"/>
      <c r="D104" s="1169"/>
      <c r="E104" s="212"/>
      <c r="F104" s="211"/>
      <c r="G104" s="211"/>
      <c r="H104" s="211"/>
      <c r="I104" s="213"/>
      <c r="J104" s="190">
        <f>MAX(J21:J103)</f>
        <v>0</v>
      </c>
      <c r="K104" s="185">
        <v>5</v>
      </c>
    </row>
    <row r="105" spans="2:11" ht="15" customHeight="1" thickBot="1" x14ac:dyDescent="0.3">
      <c r="B105" s="214" t="s">
        <v>57</v>
      </c>
      <c r="C105" s="215"/>
      <c r="D105" s="215"/>
      <c r="E105" s="215"/>
      <c r="F105" s="215"/>
      <c r="G105" s="215"/>
      <c r="H105" s="215"/>
      <c r="I105" s="215"/>
      <c r="J105" s="216">
        <f>SUM(J21:J103)</f>
        <v>0</v>
      </c>
      <c r="K105" s="849">
        <v>12.5</v>
      </c>
    </row>
  </sheetData>
  <mergeCells count="16">
    <mergeCell ref="B2:K2"/>
    <mergeCell ref="B4:B5"/>
    <mergeCell ref="B3:K3"/>
    <mergeCell ref="B80:K80"/>
    <mergeCell ref="D100:E100"/>
    <mergeCell ref="F100:G100"/>
    <mergeCell ref="C104:D104"/>
    <mergeCell ref="B20:K20"/>
    <mergeCell ref="B15:K15"/>
    <mergeCell ref="D94:E94"/>
    <mergeCell ref="F94:G94"/>
    <mergeCell ref="F95:G95"/>
    <mergeCell ref="F101:G101"/>
    <mergeCell ref="D103:G103"/>
    <mergeCell ref="D99:G99"/>
    <mergeCell ref="D102:G102"/>
  </mergeCells>
  <conditionalFormatting sqref="C99:C104">
    <cfRule type="cellIs" dxfId="26" priority="4" operator="equal">
      <formula>0</formula>
    </cfRule>
  </conditionalFormatting>
  <conditionalFormatting sqref="C7:I14 C16:I18 C21:I79 C81:I91 C93:I93 I94:I95">
    <cfRule type="cellIs" dxfId="25" priority="8" operator="equal">
      <formula>0</formula>
    </cfRule>
  </conditionalFormatting>
  <conditionalFormatting sqref="D94 F94 C94:C96 E95:F95 H96:I96 C97:I97">
    <cfRule type="cellIs" dxfId="24" priority="74" operator="equal">
      <formula>0</formula>
    </cfRule>
  </conditionalFormatting>
  <conditionalFormatting sqref="D100 F100 E101:F101">
    <cfRule type="cellIs" dxfId="23" priority="2" operator="equal">
      <formula>0</formula>
    </cfRule>
  </conditionalFormatting>
  <conditionalFormatting sqref="H99:I103">
    <cfRule type="cellIs" dxfId="22" priority="3" operator="equal">
      <formula>0</formula>
    </cfRule>
  </conditionalFormatting>
  <conditionalFormatting sqref="J21:J79 J81:J91 J93:J97 J99:J105">
    <cfRule type="cellIs" dxfId="21" priority="1" operator="equal">
      <formula>0</formula>
    </cfRule>
  </conditionalFormatting>
  <conditionalFormatting sqref="K96:K97">
    <cfRule type="cellIs" dxfId="20" priority="128" operator="lessThan">
      <formula>9.99999999999999E+22</formula>
    </cfRule>
  </conditionalFormatting>
  <pageMargins left="0.25" right="0.25" top="0.5" bottom="0.5" header="0.3" footer="0.3"/>
  <pageSetup scale="80" fitToHeight="0" orientation="landscape" r:id="rId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legacyDrawing r:id="rId2"/>
  <extLst>
    <ext xmlns:x14="http://schemas.microsoft.com/office/spreadsheetml/2009/9/main" uri="{78C0D931-6437-407d-A8EE-F0AAD7539E65}">
      <x14:conditionalFormattings>
        <x14:conditionalFormatting xmlns:xm="http://schemas.microsoft.com/office/excel/2006/main">
          <x14:cfRule type="iconSet" priority="96" id="{1D1B3EF6-249A-4545-9037-8FF49640E71F}">
            <x14:iconSet iconSet="3Flags" custom="1">
              <x14:cfvo type="percent">
                <xm:f>0</xm:f>
              </x14:cfvo>
              <x14:cfvo type="num">
                <xm:f>0</xm:f>
              </x14:cfvo>
              <x14:cfvo type="num">
                <xm:f>100</xm:f>
              </x14:cfvo>
              <x14:cfIcon iconSet="NoIcons" iconId="0"/>
              <x14:cfIcon iconSet="NoIcons" iconId="0"/>
              <x14:cfIcon iconSet="3Flags" iconId="1"/>
            </x14:iconSet>
          </x14:cfRule>
          <xm:sqref>J7 J9 J11:J13</xm:sqref>
        </x14:conditionalFormatting>
        <x14:conditionalFormatting xmlns:xm="http://schemas.microsoft.com/office/excel/2006/main">
          <x14:cfRule type="iconSet" priority="95" id="{AB1892F4-7F51-40EC-9192-3EA46EF715CE}">
            <x14:iconSet iconSet="3Flags" custom="1">
              <x14:cfvo type="percent">
                <xm:f>0</xm:f>
              </x14:cfvo>
              <x14:cfvo type="num">
                <xm:f>0</xm:f>
              </x14:cfvo>
              <x14:cfvo type="num">
                <xm:f>25</xm:f>
              </x14:cfvo>
              <x14:cfIcon iconSet="NoIcons" iconId="0"/>
              <x14:cfIcon iconSet="NoIcons" iconId="0"/>
              <x14:cfIcon iconSet="3Flags" iconId="1"/>
            </x14:iconSet>
          </x14:cfRule>
          <xm:sqref>J8</xm:sqref>
        </x14:conditionalFormatting>
        <x14:conditionalFormatting xmlns:xm="http://schemas.microsoft.com/office/excel/2006/main">
          <x14:cfRule type="iconSet" priority="94" id="{6532E946-4322-4B62-BEBB-32A1CCFD446A}">
            <x14:iconSet iconSet="3Flags" custom="1">
              <x14:cfvo type="percent">
                <xm:f>0</xm:f>
              </x14:cfvo>
              <x14:cfvo type="num">
                <xm:f>0</xm:f>
              </x14:cfvo>
              <x14:cfvo type="num">
                <xm:f>50</xm:f>
              </x14:cfvo>
              <x14:cfIcon iconSet="NoIcons" iconId="0"/>
              <x14:cfIcon iconSet="NoIcons" iconId="0"/>
              <x14:cfIcon iconSet="3Flags" iconId="1"/>
            </x14:iconSet>
          </x14:cfRule>
          <xm:sqref>J10</xm:sqref>
        </x14:conditionalFormatting>
        <x14:conditionalFormatting xmlns:xm="http://schemas.microsoft.com/office/excel/2006/main">
          <x14:cfRule type="iconSet" priority="93" id="{2B385801-F58C-48C4-BFAA-1870786588A3}">
            <x14:iconSet iconSet="3Flags" custom="1">
              <x14:cfvo type="percent">
                <xm:f>0</xm:f>
              </x14:cfvo>
              <x14:cfvo type="num">
                <xm:f>0</xm:f>
              </x14:cfvo>
              <x14:cfvo type="num">
                <xm:f>0.5</xm:f>
              </x14:cfvo>
              <x14:cfIcon iconSet="NoIcons" iconId="0"/>
              <x14:cfIcon iconSet="NoIcons" iconId="0"/>
              <x14:cfIcon iconSet="3Flags" iconId="1"/>
            </x14:iconSet>
          </x14:cfRule>
          <xm:sqref>J14</xm:sqref>
        </x14:conditionalFormatting>
        <x14:conditionalFormatting xmlns:xm="http://schemas.microsoft.com/office/excel/2006/main">
          <x14:cfRule type="iconSet" priority="92" id="{187FB2AF-7317-4827-8732-A4DF2970E0F8}">
            <x14:iconSet iconSet="3Flags" custom="1">
              <x14:cfvo type="percent">
                <xm:f>0</xm:f>
              </x14:cfvo>
              <x14:cfvo type="num">
                <xm:f>0</xm:f>
              </x14:cfvo>
              <x14:cfvo type="num">
                <xm:f>100000</xm:f>
              </x14:cfvo>
              <x14:cfIcon iconSet="NoIcons" iconId="0"/>
              <x14:cfIcon iconSet="NoIcons" iconId="0"/>
              <x14:cfIcon iconSet="3Flags" iconId="1"/>
            </x14:iconSet>
          </x14:cfRule>
          <xm:sqref>J19</xm:sqref>
        </x14:conditionalFormatting>
        <x14:conditionalFormatting xmlns:xm="http://schemas.microsoft.com/office/excel/2006/main">
          <x14:cfRule type="iconSet" priority="90" id="{DB6A270C-46BB-457C-9DC4-8B2E5981CEC9}">
            <x14:iconSet iconSet="3Flags" custom="1">
              <x14:cfvo type="percent">
                <xm:f>0</xm:f>
              </x14:cfvo>
              <x14:cfvo type="num">
                <xm:f>0</xm:f>
              </x14:cfvo>
              <x14:cfvo type="num">
                <xm:f>10</xm:f>
              </x14:cfvo>
              <x14:cfIcon iconSet="NoIcons" iconId="0"/>
              <x14:cfIcon iconSet="NoIcons" iconId="0"/>
              <x14:cfIcon iconSet="3Flags" iconId="1"/>
            </x14:iconSet>
          </x14:cfRule>
          <xm:sqref>J104</xm:sqref>
        </x14:conditionalFormatting>
        <x14:conditionalFormatting xmlns:xm="http://schemas.microsoft.com/office/excel/2006/main">
          <x14:cfRule type="iconSet" priority="91" id="{B5984E28-C312-4586-9409-65EAC8334988}">
            <x14:iconSet iconSet="3Flags" custom="1">
              <x14:cfvo type="percent">
                <xm:f>0</xm:f>
              </x14:cfvo>
              <x14:cfvo type="num">
                <xm:f>0</xm:f>
              </x14:cfvo>
              <x14:cfvo type="num">
                <xm:f>25</xm:f>
              </x14:cfvo>
              <x14:cfIcon iconSet="NoIcons" iconId="0"/>
              <x14:cfIcon iconSet="NoIcons" iconId="0"/>
              <x14:cfIcon iconSet="3Flags" iconId="1"/>
            </x14:iconSet>
          </x14:cfRule>
          <xm:sqref>J105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tabColor rgb="FFEAF8D8"/>
    <pageSetUpPr fitToPage="1"/>
  </sheetPr>
  <dimension ref="B1:K107"/>
  <sheetViews>
    <sheetView showGridLines="0" zoomScaleNormal="100" zoomScaleSheetLayoutView="100" zoomScalePageLayoutView="85" workbookViewId="0">
      <selection activeCell="B2" sqref="B2:K2"/>
    </sheetView>
  </sheetViews>
  <sheetFormatPr defaultColWidth="9.42578125" defaultRowHeight="15" x14ac:dyDescent="0.25"/>
  <cols>
    <col min="1" max="1" width="5.42578125" style="2" customWidth="1"/>
    <col min="2" max="2" width="23.5703125" style="2" customWidth="1"/>
    <col min="3" max="11" width="15.5703125" style="2" customWidth="1"/>
    <col min="12" max="13" width="12" style="2" customWidth="1"/>
    <col min="14" max="16384" width="9.42578125" style="2"/>
  </cols>
  <sheetData>
    <row r="1" spans="2:11" x14ac:dyDescent="0.25">
      <c r="B1" s="670"/>
      <c r="C1" s="670"/>
      <c r="D1" s="670"/>
      <c r="E1" s="670"/>
      <c r="F1" s="670"/>
      <c r="G1" s="670"/>
      <c r="H1" s="670"/>
      <c r="I1" s="670"/>
      <c r="J1" s="670"/>
      <c r="K1" s="671" t="str">
        <f>Instructions!$H$2</f>
        <v>p-sbap5-20  •  7/28/2025</v>
      </c>
    </row>
    <row r="2" spans="2:11" ht="19.5" thickBot="1" x14ac:dyDescent="0.3">
      <c r="B2" s="1176" t="s">
        <v>411</v>
      </c>
      <c r="C2" s="1176"/>
      <c r="D2" s="1176"/>
      <c r="E2" s="1176"/>
      <c r="F2" s="1176"/>
      <c r="G2" s="1176"/>
      <c r="H2" s="1176"/>
      <c r="I2" s="1176"/>
      <c r="J2" s="1176"/>
      <c r="K2" s="1176"/>
    </row>
    <row r="3" spans="2:11" ht="15.75" thickBot="1" x14ac:dyDescent="0.3">
      <c r="B3" s="1179" t="str">
        <f>IF('Data Validation'!A39="yes","The flag next to your actual emissions total indicates that your business exceeds the Option D limit and an individual permit is required.","These pollutant totals represent the information you entered into this calculator.")</f>
        <v>These pollutant totals represent the information you entered into this calculator.</v>
      </c>
      <c r="C3" s="1179"/>
      <c r="D3" s="1179"/>
      <c r="E3" s="1179"/>
      <c r="F3" s="1179"/>
      <c r="G3" s="1179"/>
      <c r="H3" s="1179"/>
      <c r="I3" s="1179"/>
      <c r="J3" s="1179"/>
      <c r="K3" s="1179"/>
    </row>
    <row r="4" spans="2:11" ht="25.5" x14ac:dyDescent="0.25">
      <c r="B4" s="1177" t="s">
        <v>23</v>
      </c>
      <c r="C4" s="172" t="s">
        <v>233</v>
      </c>
      <c r="D4" s="173" t="s">
        <v>234</v>
      </c>
      <c r="E4" s="174" t="s">
        <v>235</v>
      </c>
      <c r="F4" s="173" t="s">
        <v>236</v>
      </c>
      <c r="G4" s="173" t="s">
        <v>237</v>
      </c>
      <c r="H4" s="173" t="s">
        <v>238</v>
      </c>
      <c r="I4" s="173" t="s">
        <v>72</v>
      </c>
      <c r="J4" s="175" t="s">
        <v>28</v>
      </c>
      <c r="K4" s="176" t="s">
        <v>75</v>
      </c>
    </row>
    <row r="5" spans="2:11" ht="15.75" thickBot="1" x14ac:dyDescent="0.3">
      <c r="B5" s="1178"/>
      <c r="C5" s="69" t="s">
        <v>33</v>
      </c>
      <c r="D5" s="69" t="s">
        <v>33</v>
      </c>
      <c r="E5" s="69" t="s">
        <v>33</v>
      </c>
      <c r="F5" s="69" t="s">
        <v>33</v>
      </c>
      <c r="G5" s="170" t="s">
        <v>33</v>
      </c>
      <c r="H5" s="170" t="s">
        <v>33</v>
      </c>
      <c r="I5" s="69" t="s">
        <v>33</v>
      </c>
      <c r="J5" s="69" t="s">
        <v>33</v>
      </c>
      <c r="K5" s="217" t="s">
        <v>33</v>
      </c>
    </row>
    <row r="6" spans="2:11" ht="15" customHeight="1" x14ac:dyDescent="0.25">
      <c r="B6" s="221" t="s">
        <v>62</v>
      </c>
      <c r="C6" s="222"/>
      <c r="D6" s="223"/>
      <c r="E6" s="224"/>
      <c r="F6" s="225"/>
      <c r="G6" s="225"/>
      <c r="H6" s="225"/>
      <c r="I6" s="226"/>
      <c r="J6" s="227"/>
      <c r="K6" s="228"/>
    </row>
    <row r="7" spans="2:11" ht="15" customHeight="1" x14ac:dyDescent="0.25">
      <c r="B7" s="76" t="s">
        <v>36</v>
      </c>
      <c r="C7" s="178">
        <f>'Hot mix asphalt'!J28</f>
        <v>0</v>
      </c>
      <c r="D7" s="179">
        <f>'Load out and silos'!H15</f>
        <v>0</v>
      </c>
      <c r="E7" s="180">
        <f>'Load out and silos'!P15</f>
        <v>0</v>
      </c>
      <c r="F7" s="180">
        <f>Generator!I34</f>
        <v>0</v>
      </c>
      <c r="G7" s="180">
        <f>'Natural gas (auxilary heat)'!I17</f>
        <v>0</v>
      </c>
      <c r="H7" s="180">
        <f>'Propane (auxilary heat)'!I17</f>
        <v>0</v>
      </c>
      <c r="I7" s="181">
        <f>Fugitive!I72</f>
        <v>0</v>
      </c>
      <c r="J7" s="182">
        <f>SUM(C7:I7)</f>
        <v>0</v>
      </c>
      <c r="K7" s="183">
        <v>50</v>
      </c>
    </row>
    <row r="8" spans="2:11" ht="15" customHeight="1" x14ac:dyDescent="0.25">
      <c r="B8" s="76" t="s">
        <v>37</v>
      </c>
      <c r="C8" s="178">
        <f>'Hot mix asphalt'!J29</f>
        <v>0</v>
      </c>
      <c r="D8" s="179">
        <f>'Load out and silos'!H16</f>
        <v>0</v>
      </c>
      <c r="E8" s="180">
        <f>'Load out and silos'!P16</f>
        <v>0</v>
      </c>
      <c r="F8" s="180">
        <f>Generator!I35</f>
        <v>0</v>
      </c>
      <c r="G8" s="180">
        <f>'Natural gas (auxilary heat)'!I18</f>
        <v>0</v>
      </c>
      <c r="H8" s="180">
        <f>'Propane (auxilary heat)'!I18</f>
        <v>0</v>
      </c>
      <c r="I8" s="181">
        <f>Fugitive!I73</f>
        <v>0</v>
      </c>
      <c r="J8" s="184">
        <f t="shared" ref="J8:J14" si="0">SUM(C8:I8)</f>
        <v>0</v>
      </c>
      <c r="K8" s="185">
        <v>50</v>
      </c>
    </row>
    <row r="9" spans="2:11" ht="15" customHeight="1" x14ac:dyDescent="0.25">
      <c r="B9" s="76" t="s">
        <v>97</v>
      </c>
      <c r="C9" s="178">
        <f>'Hot mix asphalt'!J30</f>
        <v>0</v>
      </c>
      <c r="D9" s="179">
        <f>'Load out and silos'!H17</f>
        <v>0</v>
      </c>
      <c r="E9" s="180">
        <f>'Load out and silos'!P17</f>
        <v>0</v>
      </c>
      <c r="F9" s="180">
        <f>Generator!I36</f>
        <v>0</v>
      </c>
      <c r="G9" s="180">
        <f>'Natural gas (auxilary heat)'!I19</f>
        <v>0</v>
      </c>
      <c r="H9" s="180">
        <f>'Propane (auxilary heat)'!I19</f>
        <v>0</v>
      </c>
      <c r="I9" s="181">
        <f>Fugitive!I74</f>
        <v>0</v>
      </c>
      <c r="J9" s="184">
        <f>SUM(C9:I9)</f>
        <v>0</v>
      </c>
      <c r="K9" s="683"/>
    </row>
    <row r="10" spans="2:11" ht="15" customHeight="1" x14ac:dyDescent="0.25">
      <c r="B10" s="76" t="s">
        <v>38</v>
      </c>
      <c r="C10" s="178">
        <f>'Hot mix asphalt'!J31</f>
        <v>0</v>
      </c>
      <c r="D10" s="179"/>
      <c r="E10" s="180"/>
      <c r="F10" s="180">
        <f>Generator!I37</f>
        <v>0</v>
      </c>
      <c r="G10" s="180">
        <f>'Natural gas (auxilary heat)'!I20</f>
        <v>0</v>
      </c>
      <c r="H10" s="180">
        <f>'Propane (auxilary heat)'!I20</f>
        <v>0</v>
      </c>
      <c r="I10" s="181"/>
      <c r="J10" s="184">
        <f t="shared" si="0"/>
        <v>0</v>
      </c>
      <c r="K10" s="185">
        <v>50</v>
      </c>
    </row>
    <row r="11" spans="2:11" ht="15" customHeight="1" x14ac:dyDescent="0.25">
      <c r="B11" s="76" t="s">
        <v>39</v>
      </c>
      <c r="C11" s="178">
        <f>'Hot mix asphalt'!J32</f>
        <v>0</v>
      </c>
      <c r="D11" s="179"/>
      <c r="E11" s="180"/>
      <c r="F11" s="180">
        <f>Generator!I38</f>
        <v>0</v>
      </c>
      <c r="G11" s="180">
        <f>'Natural gas (auxilary heat)'!I21</f>
        <v>0</v>
      </c>
      <c r="H11" s="180">
        <f>'Propane (auxilary heat)'!I21</f>
        <v>0</v>
      </c>
      <c r="I11" s="181"/>
      <c r="J11" s="184">
        <f t="shared" si="0"/>
        <v>0</v>
      </c>
      <c r="K11" s="185">
        <v>50</v>
      </c>
    </row>
    <row r="12" spans="2:11" ht="15" customHeight="1" x14ac:dyDescent="0.25">
      <c r="B12" s="76" t="s">
        <v>40</v>
      </c>
      <c r="C12" s="178">
        <f>'Hot mix asphalt'!J33</f>
        <v>0</v>
      </c>
      <c r="D12" s="179">
        <f>'Load out and silos'!H18</f>
        <v>0</v>
      </c>
      <c r="E12" s="180">
        <f>'Load out and silos'!P18</f>
        <v>0</v>
      </c>
      <c r="F12" s="180">
        <f>Generator!I39</f>
        <v>0</v>
      </c>
      <c r="G12" s="180">
        <f>'Natural gas (auxilary heat)'!I22</f>
        <v>0</v>
      </c>
      <c r="H12" s="180">
        <f>'Propane (auxilary heat)'!I22</f>
        <v>0</v>
      </c>
      <c r="I12" s="181"/>
      <c r="J12" s="184">
        <f t="shared" si="0"/>
        <v>0</v>
      </c>
      <c r="K12" s="185">
        <v>50</v>
      </c>
    </row>
    <row r="13" spans="2:11" ht="15" customHeight="1" x14ac:dyDescent="0.25">
      <c r="B13" s="76" t="s">
        <v>41</v>
      </c>
      <c r="C13" s="178">
        <f>'Hot mix asphalt'!J34</f>
        <v>0</v>
      </c>
      <c r="D13" s="179">
        <f>'Load out and silos'!H19</f>
        <v>0</v>
      </c>
      <c r="E13" s="180">
        <f>'Load out and silos'!P19</f>
        <v>0</v>
      </c>
      <c r="F13" s="180">
        <f>Generator!I40</f>
        <v>0</v>
      </c>
      <c r="G13" s="180">
        <f>'Natural gas (auxilary heat)'!I23</f>
        <v>0</v>
      </c>
      <c r="H13" s="180">
        <f>'Propane (auxilary heat)'!I23</f>
        <v>0</v>
      </c>
      <c r="I13" s="181"/>
      <c r="J13" s="184">
        <f t="shared" si="0"/>
        <v>0</v>
      </c>
      <c r="K13" s="185">
        <v>50</v>
      </c>
    </row>
    <row r="14" spans="2:11" ht="15" customHeight="1" thickBot="1" x14ac:dyDescent="0.3">
      <c r="B14" s="84" t="s">
        <v>42</v>
      </c>
      <c r="C14" s="178">
        <f>'Hot mix asphalt'!J35</f>
        <v>0</v>
      </c>
      <c r="D14" s="186"/>
      <c r="E14" s="180"/>
      <c r="F14" s="180">
        <f>Generator!I41</f>
        <v>0</v>
      </c>
      <c r="G14" s="180">
        <f>'Natural gas (auxilary heat)'!I24</f>
        <v>0</v>
      </c>
      <c r="H14" s="180">
        <f>'Propane (auxilary heat)'!I24</f>
        <v>0</v>
      </c>
      <c r="I14" s="181"/>
      <c r="J14" s="184">
        <f t="shared" si="0"/>
        <v>0</v>
      </c>
      <c r="K14" s="187">
        <v>0.5</v>
      </c>
    </row>
    <row r="15" spans="2:11" ht="15" customHeight="1" x14ac:dyDescent="0.25">
      <c r="B15" s="1170" t="s">
        <v>400</v>
      </c>
      <c r="C15" s="1171"/>
      <c r="D15" s="1171"/>
      <c r="E15" s="1171"/>
      <c r="F15" s="1171"/>
      <c r="G15" s="1171"/>
      <c r="H15" s="1171"/>
      <c r="I15" s="1171"/>
      <c r="J15" s="1171"/>
      <c r="K15" s="1172"/>
    </row>
    <row r="16" spans="2:11" ht="15" customHeight="1" x14ac:dyDescent="0.3">
      <c r="B16" s="89" t="s">
        <v>352</v>
      </c>
      <c r="C16" s="178">
        <f>'Hot mix asphalt'!J37</f>
        <v>0</v>
      </c>
      <c r="D16" s="179"/>
      <c r="E16" s="180"/>
      <c r="F16" s="180">
        <f>Generator!I43</f>
        <v>0</v>
      </c>
      <c r="G16" s="180">
        <f>'Natural gas (auxilary heat)'!I26</f>
        <v>0</v>
      </c>
      <c r="H16" s="180">
        <f>'Propane (auxilary heat)'!I26</f>
        <v>0</v>
      </c>
      <c r="I16" s="188"/>
      <c r="J16" s="182">
        <f>SUM(C16:I16)</f>
        <v>0</v>
      </c>
      <c r="K16" s="189"/>
    </row>
    <row r="17" spans="2:11" ht="15" customHeight="1" x14ac:dyDescent="0.3">
      <c r="B17" s="89" t="s">
        <v>353</v>
      </c>
      <c r="C17" s="178">
        <f>'Hot mix asphalt'!J38</f>
        <v>0</v>
      </c>
      <c r="D17" s="179">
        <f>'Load out and silos'!H21</f>
        <v>0</v>
      </c>
      <c r="E17" s="180">
        <f>'Load out and silos'!P21</f>
        <v>0</v>
      </c>
      <c r="F17" s="180">
        <f>Generator!I44</f>
        <v>0</v>
      </c>
      <c r="G17" s="180">
        <f>'Natural gas (auxilary heat)'!I27</f>
        <v>0</v>
      </c>
      <c r="H17" s="180">
        <f>'Propane (auxilary heat)'!I27</f>
        <v>0</v>
      </c>
      <c r="I17" s="188"/>
      <c r="J17" s="190">
        <f>SUM(C17:I17)</f>
        <v>0</v>
      </c>
      <c r="K17" s="191"/>
    </row>
    <row r="18" spans="2:11" ht="15" customHeight="1" x14ac:dyDescent="0.3">
      <c r="B18" s="89" t="s">
        <v>401</v>
      </c>
      <c r="C18" s="178"/>
      <c r="D18" s="179"/>
      <c r="E18" s="180"/>
      <c r="F18" s="180">
        <f>Generator!I45</f>
        <v>0</v>
      </c>
      <c r="G18" s="180">
        <f>'Natural gas (auxilary heat)'!I28</f>
        <v>0</v>
      </c>
      <c r="H18" s="180">
        <f>'Propane (auxilary heat)'!I28</f>
        <v>0</v>
      </c>
      <c r="I18" s="188"/>
      <c r="J18" s="190">
        <f>SUM(C18:I18)</f>
        <v>0</v>
      </c>
      <c r="K18" s="192"/>
    </row>
    <row r="19" spans="2:11" ht="15" customHeight="1" thickBot="1" x14ac:dyDescent="0.35">
      <c r="B19" s="193" t="s">
        <v>402</v>
      </c>
      <c r="C19" s="194"/>
      <c r="D19" s="194"/>
      <c r="E19" s="194"/>
      <c r="F19" s="194"/>
      <c r="G19" s="194"/>
      <c r="H19" s="194"/>
      <c r="I19" s="194"/>
      <c r="J19" s="184">
        <f>SUM(J16:J18)</f>
        <v>0</v>
      </c>
      <c r="K19" s="195">
        <v>50000</v>
      </c>
    </row>
    <row r="20" spans="2:11" ht="15" customHeight="1" x14ac:dyDescent="0.25">
      <c r="B20" s="1170" t="s">
        <v>60</v>
      </c>
      <c r="C20" s="1171"/>
      <c r="D20" s="1171"/>
      <c r="E20" s="1171"/>
      <c r="F20" s="1171"/>
      <c r="G20" s="1171"/>
      <c r="H20" s="1171"/>
      <c r="I20" s="1171"/>
      <c r="J20" s="1171"/>
      <c r="K20" s="1172"/>
    </row>
    <row r="21" spans="2:11" ht="15" customHeight="1" x14ac:dyDescent="0.25">
      <c r="B21" s="571" t="s">
        <v>552</v>
      </c>
      <c r="C21" s="562"/>
      <c r="D21" s="135">
        <f>'Load out and silos'!H40</f>
        <v>0</v>
      </c>
      <c r="E21" s="563">
        <f>'Load out and silos'!P40</f>
        <v>0</v>
      </c>
      <c r="F21" s="563"/>
      <c r="G21" s="563"/>
      <c r="H21" s="563"/>
      <c r="I21" s="564"/>
      <c r="J21" s="196">
        <f>SUM(C21:I21)</f>
        <v>0</v>
      </c>
      <c r="K21" s="197"/>
    </row>
    <row r="22" spans="2:11" ht="15" customHeight="1" x14ac:dyDescent="0.25">
      <c r="B22" s="571" t="s">
        <v>116</v>
      </c>
      <c r="C22" s="565"/>
      <c r="D22" s="199"/>
      <c r="E22" s="200"/>
      <c r="F22" s="200">
        <f>Generator!I48</f>
        <v>0</v>
      </c>
      <c r="G22" s="200"/>
      <c r="H22" s="200"/>
      <c r="I22" s="201"/>
      <c r="J22" s="196">
        <f t="shared" ref="J22:J85" si="1">SUM(C22:I22)</f>
        <v>0</v>
      </c>
      <c r="K22" s="197"/>
    </row>
    <row r="23" spans="2:11" ht="15" customHeight="1" x14ac:dyDescent="0.25">
      <c r="B23" s="571" t="s">
        <v>117</v>
      </c>
      <c r="C23" s="565"/>
      <c r="D23" s="199"/>
      <c r="E23" s="200"/>
      <c r="F23" s="200">
        <f>Generator!I49</f>
        <v>0</v>
      </c>
      <c r="G23" s="200"/>
      <c r="H23" s="200"/>
      <c r="I23" s="201"/>
      <c r="J23" s="196">
        <f t="shared" si="1"/>
        <v>0</v>
      </c>
      <c r="K23" s="197"/>
    </row>
    <row r="24" spans="2:11" ht="15" customHeight="1" x14ac:dyDescent="0.25">
      <c r="B24" s="571" t="s">
        <v>118</v>
      </c>
      <c r="C24" s="565"/>
      <c r="D24" s="199"/>
      <c r="E24" s="200"/>
      <c r="F24" s="200">
        <f>Generator!I50</f>
        <v>0</v>
      </c>
      <c r="G24" s="200"/>
      <c r="H24" s="200"/>
      <c r="I24" s="201"/>
      <c r="J24" s="196">
        <f t="shared" si="1"/>
        <v>0</v>
      </c>
      <c r="K24" s="197"/>
    </row>
    <row r="25" spans="2:11" ht="15" customHeight="1" x14ac:dyDescent="0.25">
      <c r="B25" s="572" t="s">
        <v>119</v>
      </c>
      <c r="C25" s="506"/>
      <c r="D25" s="203"/>
      <c r="E25" s="204"/>
      <c r="F25" s="204">
        <f>Generator!I51</f>
        <v>0</v>
      </c>
      <c r="G25" s="204"/>
      <c r="H25" s="204"/>
      <c r="I25" s="205"/>
      <c r="J25" s="196">
        <f t="shared" si="1"/>
        <v>0</v>
      </c>
      <c r="K25" s="197"/>
    </row>
    <row r="26" spans="2:11" ht="15" customHeight="1" x14ac:dyDescent="0.25">
      <c r="B26" s="571" t="s">
        <v>542</v>
      </c>
      <c r="C26" s="570"/>
      <c r="D26" s="206">
        <f>'Load out and silos'!H26</f>
        <v>0</v>
      </c>
      <c r="E26" s="207">
        <f>'Load out and silos'!P26</f>
        <v>0</v>
      </c>
      <c r="F26" s="207"/>
      <c r="G26" s="207"/>
      <c r="H26" s="207"/>
      <c r="I26" s="208"/>
      <c r="J26" s="196">
        <f t="shared" si="1"/>
        <v>0</v>
      </c>
      <c r="K26" s="197"/>
    </row>
    <row r="27" spans="2:11" ht="15" customHeight="1" x14ac:dyDescent="0.25">
      <c r="B27" s="571" t="s">
        <v>573</v>
      </c>
      <c r="C27" s="565">
        <f>'Hot mix asphalt'!J55</f>
        <v>0</v>
      </c>
      <c r="D27" s="199">
        <f>'Load out and silos'!H59</f>
        <v>0</v>
      </c>
      <c r="E27" s="200">
        <f>'Load out and silos'!P59</f>
        <v>0</v>
      </c>
      <c r="F27" s="200"/>
      <c r="G27" s="200"/>
      <c r="H27" s="200"/>
      <c r="I27" s="201"/>
      <c r="J27" s="196">
        <f t="shared" si="1"/>
        <v>0</v>
      </c>
      <c r="K27" s="197"/>
    </row>
    <row r="28" spans="2:11" ht="15" customHeight="1" x14ac:dyDescent="0.25">
      <c r="B28" s="571" t="s">
        <v>559</v>
      </c>
      <c r="C28" s="565">
        <f>'Hot mix asphalt'!J56</f>
        <v>0</v>
      </c>
      <c r="D28" s="199">
        <f>'Load out and silos'!H45</f>
        <v>0</v>
      </c>
      <c r="E28" s="200">
        <f>'Load out and silos'!P45</f>
        <v>0</v>
      </c>
      <c r="F28" s="200"/>
      <c r="G28" s="200"/>
      <c r="H28" s="200"/>
      <c r="I28" s="201"/>
      <c r="J28" s="196">
        <f t="shared" si="1"/>
        <v>0</v>
      </c>
      <c r="K28" s="197"/>
    </row>
    <row r="29" spans="2:11" ht="15" customHeight="1" x14ac:dyDescent="0.25">
      <c r="B29" s="571" t="s">
        <v>560</v>
      </c>
      <c r="C29" s="565">
        <f>'Hot mix asphalt'!J57</f>
        <v>0</v>
      </c>
      <c r="D29" s="199">
        <f>'Load out and silos'!H46</f>
        <v>0</v>
      </c>
      <c r="E29" s="200">
        <f>'Load out and silos'!P46</f>
        <v>0</v>
      </c>
      <c r="F29" s="200"/>
      <c r="G29" s="200"/>
      <c r="H29" s="200"/>
      <c r="I29" s="201"/>
      <c r="J29" s="196">
        <f t="shared" si="1"/>
        <v>0</v>
      </c>
      <c r="K29" s="197"/>
    </row>
    <row r="30" spans="2:11" ht="15" customHeight="1" x14ac:dyDescent="0.25">
      <c r="B30" s="572" t="s">
        <v>120</v>
      </c>
      <c r="C30" s="506">
        <f>'Hot mix asphalt'!J42</f>
        <v>0</v>
      </c>
      <c r="D30" s="203"/>
      <c r="E30" s="204"/>
      <c r="F30" s="204">
        <f>Generator!I52</f>
        <v>0</v>
      </c>
      <c r="G30" s="204"/>
      <c r="H30" s="204"/>
      <c r="I30" s="205"/>
      <c r="J30" s="196">
        <f t="shared" si="1"/>
        <v>0</v>
      </c>
      <c r="K30" s="197"/>
    </row>
    <row r="31" spans="2:11" ht="15" customHeight="1" x14ac:dyDescent="0.25">
      <c r="B31" s="571" t="s">
        <v>120</v>
      </c>
      <c r="C31" s="570"/>
      <c r="D31" s="206"/>
      <c r="E31" s="207"/>
      <c r="F31" s="207"/>
      <c r="G31" s="207"/>
      <c r="H31" s="207"/>
      <c r="I31" s="208"/>
      <c r="J31" s="196">
        <f t="shared" si="1"/>
        <v>0</v>
      </c>
      <c r="K31" s="197"/>
    </row>
    <row r="32" spans="2:11" ht="15" customHeight="1" x14ac:dyDescent="0.25">
      <c r="B32" s="571" t="s">
        <v>121</v>
      </c>
      <c r="C32" s="565">
        <f>'Hot mix asphalt'!J52</f>
        <v>0</v>
      </c>
      <c r="D32" s="199"/>
      <c r="E32" s="200"/>
      <c r="F32" s="200">
        <f>Generator!I53</f>
        <v>0</v>
      </c>
      <c r="G32" s="200"/>
      <c r="H32" s="200"/>
      <c r="I32" s="201"/>
      <c r="J32" s="196">
        <f t="shared" si="1"/>
        <v>0</v>
      </c>
      <c r="K32" s="197"/>
    </row>
    <row r="33" spans="2:11" ht="15" customHeight="1" x14ac:dyDescent="0.25">
      <c r="B33" s="571" t="s">
        <v>581</v>
      </c>
      <c r="C33" s="565">
        <f>'Hot mix asphalt'!J58</f>
        <v>0</v>
      </c>
      <c r="D33" s="199">
        <f>'Load out and silos'!H47</f>
        <v>0</v>
      </c>
      <c r="E33" s="200">
        <f>'Load out and silos'!P47</f>
        <v>0</v>
      </c>
      <c r="F33" s="200"/>
      <c r="G33" s="200"/>
      <c r="H33" s="200"/>
      <c r="I33" s="201"/>
      <c r="J33" s="196">
        <f t="shared" si="1"/>
        <v>0</v>
      </c>
      <c r="K33" s="197"/>
    </row>
    <row r="34" spans="2:11" ht="15" customHeight="1" x14ac:dyDescent="0.25">
      <c r="B34" s="571" t="s">
        <v>43</v>
      </c>
      <c r="C34" s="565">
        <f>'Hot mix asphalt'!J43</f>
        <v>0</v>
      </c>
      <c r="D34" s="199">
        <f>'Load out and silos'!H24</f>
        <v>0</v>
      </c>
      <c r="E34" s="200">
        <f>'Load out and silos'!P24</f>
        <v>0</v>
      </c>
      <c r="F34" s="200">
        <f>Generator!I54</f>
        <v>0</v>
      </c>
      <c r="G34" s="200">
        <f>'Natural gas (auxilary heat)'!I31</f>
        <v>0</v>
      </c>
      <c r="H34" s="200">
        <f>'Propane (auxilary heat)'!I31</f>
        <v>0</v>
      </c>
      <c r="I34" s="201"/>
      <c r="J34" s="196">
        <f t="shared" si="1"/>
        <v>0</v>
      </c>
      <c r="K34" s="197"/>
    </row>
    <row r="35" spans="2:11" ht="15" customHeight="1" x14ac:dyDescent="0.25">
      <c r="B35" s="572" t="s">
        <v>562</v>
      </c>
      <c r="C35" s="506">
        <f>'Hot mix asphalt'!J59</f>
        <v>0</v>
      </c>
      <c r="D35" s="203">
        <f>'Load out and silos'!H48</f>
        <v>0</v>
      </c>
      <c r="E35" s="204">
        <f>'Load out and silos'!P48</f>
        <v>0</v>
      </c>
      <c r="F35" s="204"/>
      <c r="G35" s="204"/>
      <c r="H35" s="204"/>
      <c r="I35" s="205"/>
      <c r="J35" s="196">
        <f t="shared" si="1"/>
        <v>0</v>
      </c>
      <c r="K35" s="197"/>
    </row>
    <row r="36" spans="2:11" ht="15" customHeight="1" x14ac:dyDescent="0.25">
      <c r="B36" s="571" t="s">
        <v>566</v>
      </c>
      <c r="C36" s="570">
        <f>'Hot mix asphalt'!J60</f>
        <v>0</v>
      </c>
      <c r="D36" s="206">
        <f>'Load out and silos'!H49</f>
        <v>0</v>
      </c>
      <c r="E36" s="207">
        <f>'Load out and silos'!P49</f>
        <v>0</v>
      </c>
      <c r="F36" s="207"/>
      <c r="G36" s="207"/>
      <c r="H36" s="207"/>
      <c r="I36" s="208"/>
      <c r="J36" s="196">
        <f t="shared" si="1"/>
        <v>0</v>
      </c>
      <c r="K36" s="197"/>
    </row>
    <row r="37" spans="2:11" ht="15" customHeight="1" x14ac:dyDescent="0.25">
      <c r="B37" s="571" t="s">
        <v>563</v>
      </c>
      <c r="C37" s="565">
        <f>'Hot mix asphalt'!J61</f>
        <v>0</v>
      </c>
      <c r="D37" s="199">
        <f>'Load out and silos'!H50</f>
        <v>0</v>
      </c>
      <c r="E37" s="200">
        <f>'Load out and silos'!P50</f>
        <v>0</v>
      </c>
      <c r="F37" s="200"/>
      <c r="G37" s="200"/>
      <c r="H37" s="200"/>
      <c r="I37" s="201"/>
      <c r="J37" s="196">
        <f t="shared" si="1"/>
        <v>0</v>
      </c>
      <c r="K37" s="197"/>
    </row>
    <row r="38" spans="2:11" ht="15" customHeight="1" x14ac:dyDescent="0.25">
      <c r="B38" s="571" t="s">
        <v>567</v>
      </c>
      <c r="C38" s="565">
        <f>'Hot mix asphalt'!J62</f>
        <v>0</v>
      </c>
      <c r="D38" s="199">
        <f>'Load out and silos'!H51</f>
        <v>0</v>
      </c>
      <c r="E38" s="200">
        <f>'Load out and silos'!P51</f>
        <v>0</v>
      </c>
      <c r="F38" s="200"/>
      <c r="G38" s="200"/>
      <c r="H38" s="200"/>
      <c r="I38" s="201"/>
      <c r="J38" s="196">
        <f t="shared" si="1"/>
        <v>0</v>
      </c>
      <c r="K38" s="197"/>
    </row>
    <row r="39" spans="2:11" ht="15" customHeight="1" x14ac:dyDescent="0.25">
      <c r="B39" s="571" t="s">
        <v>565</v>
      </c>
      <c r="C39" s="565">
        <f>'Hot mix asphalt'!J63</f>
        <v>0</v>
      </c>
      <c r="D39" s="199">
        <f>'Load out and silos'!H52</f>
        <v>0</v>
      </c>
      <c r="E39" s="200">
        <f>'Load out and silos'!P52</f>
        <v>0</v>
      </c>
      <c r="F39" s="200"/>
      <c r="G39" s="200"/>
      <c r="H39" s="200"/>
      <c r="I39" s="201"/>
      <c r="J39" s="196">
        <f t="shared" si="1"/>
        <v>0</v>
      </c>
      <c r="K39" s="197"/>
    </row>
    <row r="40" spans="2:11" ht="15" customHeight="1" x14ac:dyDescent="0.25">
      <c r="B40" s="572" t="s">
        <v>564</v>
      </c>
      <c r="C40" s="506">
        <f>'Hot mix asphalt'!J64</f>
        <v>0</v>
      </c>
      <c r="D40" s="203">
        <f>'Load out and silos'!H53</f>
        <v>0</v>
      </c>
      <c r="E40" s="204">
        <f>'Load out and silos'!P53</f>
        <v>0</v>
      </c>
      <c r="F40" s="204"/>
      <c r="G40" s="204"/>
      <c r="H40" s="204"/>
      <c r="I40" s="205"/>
      <c r="J40" s="196">
        <f t="shared" si="1"/>
        <v>0</v>
      </c>
      <c r="K40" s="197"/>
    </row>
    <row r="41" spans="2:11" ht="15" customHeight="1" x14ac:dyDescent="0.25">
      <c r="B41" s="571" t="s">
        <v>122</v>
      </c>
      <c r="C41" s="570"/>
      <c r="D41" s="206"/>
      <c r="E41" s="207"/>
      <c r="F41" s="207">
        <f>Generator!I55</f>
        <v>0</v>
      </c>
      <c r="G41" s="207"/>
      <c r="H41" s="207"/>
      <c r="I41" s="208"/>
      <c r="J41" s="196">
        <f t="shared" si="1"/>
        <v>0</v>
      </c>
      <c r="K41" s="197"/>
    </row>
    <row r="42" spans="2:11" ht="15" customHeight="1" x14ac:dyDescent="0.25">
      <c r="B42" s="571" t="s">
        <v>541</v>
      </c>
      <c r="C42" s="565"/>
      <c r="D42" s="199">
        <f>'Load out and silos'!H25</f>
        <v>0</v>
      </c>
      <c r="E42" s="200">
        <f>'Load out and silos'!P25</f>
        <v>0</v>
      </c>
      <c r="F42" s="200"/>
      <c r="G42" s="200"/>
      <c r="H42" s="200"/>
      <c r="I42" s="201"/>
      <c r="J42" s="196">
        <f t="shared" si="1"/>
        <v>0</v>
      </c>
      <c r="K42" s="197"/>
    </row>
    <row r="43" spans="2:11" ht="15" customHeight="1" x14ac:dyDescent="0.25">
      <c r="B43" s="571" t="s">
        <v>543</v>
      </c>
      <c r="C43" s="565"/>
      <c r="D43" s="199">
        <f>'Load out and silos'!H27</f>
        <v>0</v>
      </c>
      <c r="E43" s="200">
        <f>'Load out and silos'!P27</f>
        <v>0</v>
      </c>
      <c r="F43" s="200"/>
      <c r="G43" s="200"/>
      <c r="H43" s="200"/>
      <c r="I43" s="201"/>
      <c r="J43" s="196">
        <f t="shared" si="1"/>
        <v>0</v>
      </c>
      <c r="K43" s="197"/>
    </row>
    <row r="44" spans="2:11" ht="15" customHeight="1" x14ac:dyDescent="0.25">
      <c r="B44" s="571" t="s">
        <v>123</v>
      </c>
      <c r="C44" s="565"/>
      <c r="D44" s="199"/>
      <c r="E44" s="200"/>
      <c r="F44" s="200">
        <f>Generator!I56</f>
        <v>0</v>
      </c>
      <c r="G44" s="200"/>
      <c r="H44" s="200"/>
      <c r="I44" s="201"/>
      <c r="J44" s="196">
        <f t="shared" si="1"/>
        <v>0</v>
      </c>
      <c r="K44" s="197"/>
    </row>
    <row r="45" spans="2:11" ht="15" customHeight="1" x14ac:dyDescent="0.25">
      <c r="B45" s="572" t="s">
        <v>124</v>
      </c>
      <c r="C45" s="506"/>
      <c r="D45" s="203"/>
      <c r="E45" s="204"/>
      <c r="F45" s="204">
        <f>Generator!I57</f>
        <v>0</v>
      </c>
      <c r="G45" s="204"/>
      <c r="H45" s="204"/>
      <c r="I45" s="205"/>
      <c r="J45" s="196">
        <f t="shared" si="1"/>
        <v>0</v>
      </c>
      <c r="K45" s="197"/>
    </row>
    <row r="46" spans="2:11" ht="15" customHeight="1" x14ac:dyDescent="0.25">
      <c r="B46" s="571" t="s">
        <v>544</v>
      </c>
      <c r="C46" s="570"/>
      <c r="D46" s="206">
        <f>'Load out and silos'!H28</f>
        <v>0</v>
      </c>
      <c r="E46" s="207">
        <f>'Load out and silos'!P28</f>
        <v>0</v>
      </c>
      <c r="F46" s="207"/>
      <c r="G46" s="207"/>
      <c r="H46" s="207"/>
      <c r="I46" s="208"/>
      <c r="J46" s="196">
        <f t="shared" si="1"/>
        <v>0</v>
      </c>
      <c r="K46" s="197"/>
    </row>
    <row r="47" spans="2:11" ht="15" customHeight="1" x14ac:dyDescent="0.25">
      <c r="B47" s="571" t="s">
        <v>125</v>
      </c>
      <c r="C47" s="565"/>
      <c r="D47" s="199"/>
      <c r="E47" s="200"/>
      <c r="F47" s="200">
        <f>Generator!I58</f>
        <v>0</v>
      </c>
      <c r="G47" s="200"/>
      <c r="H47" s="200"/>
      <c r="I47" s="201"/>
      <c r="J47" s="196">
        <f t="shared" si="1"/>
        <v>0</v>
      </c>
      <c r="K47" s="197"/>
    </row>
    <row r="48" spans="2:11" ht="15" customHeight="1" x14ac:dyDescent="0.25">
      <c r="B48" s="571" t="s">
        <v>545</v>
      </c>
      <c r="C48" s="565"/>
      <c r="D48" s="199">
        <f>'Load out and silos'!H29</f>
        <v>0</v>
      </c>
      <c r="E48" s="200">
        <f>'Load out and silos'!P29</f>
        <v>0</v>
      </c>
      <c r="F48" s="200"/>
      <c r="G48" s="200"/>
      <c r="H48" s="200"/>
      <c r="I48" s="201"/>
      <c r="J48" s="196">
        <f t="shared" si="1"/>
        <v>0</v>
      </c>
      <c r="K48" s="197"/>
    </row>
    <row r="49" spans="2:11" ht="15" customHeight="1" x14ac:dyDescent="0.25">
      <c r="B49" s="571" t="s">
        <v>568</v>
      </c>
      <c r="C49" s="565">
        <f>'Hot mix asphalt'!J64</f>
        <v>0</v>
      </c>
      <c r="D49" s="199">
        <f>'Load out and silos'!H54</f>
        <v>0</v>
      </c>
      <c r="E49" s="200">
        <f>'Load out and silos'!P54</f>
        <v>0</v>
      </c>
      <c r="F49" s="200"/>
      <c r="G49" s="200"/>
      <c r="H49" s="200"/>
      <c r="I49" s="201"/>
      <c r="J49" s="196">
        <f t="shared" si="1"/>
        <v>0</v>
      </c>
      <c r="K49" s="197"/>
    </row>
    <row r="50" spans="2:11" ht="15" customHeight="1" x14ac:dyDescent="0.25">
      <c r="B50" s="572" t="s">
        <v>546</v>
      </c>
      <c r="C50" s="506"/>
      <c r="D50" s="203">
        <f>'Load out and silos'!H30</f>
        <v>0</v>
      </c>
      <c r="E50" s="204">
        <f>'Load out and silos'!P30</f>
        <v>0</v>
      </c>
      <c r="F50" s="204"/>
      <c r="G50" s="204"/>
      <c r="H50" s="204"/>
      <c r="I50" s="205"/>
      <c r="J50" s="196">
        <f t="shared" si="1"/>
        <v>0</v>
      </c>
      <c r="K50" s="197"/>
    </row>
    <row r="51" spans="2:11" ht="15" customHeight="1" x14ac:dyDescent="0.25">
      <c r="B51" s="571" t="s">
        <v>569</v>
      </c>
      <c r="C51" s="570">
        <f>'Hot mix asphalt'!J65</f>
        <v>0</v>
      </c>
      <c r="D51" s="206">
        <f>'Load out and silos'!H55</f>
        <v>0</v>
      </c>
      <c r="E51" s="207">
        <f>'Load out and silos'!P55</f>
        <v>0</v>
      </c>
      <c r="F51" s="207"/>
      <c r="G51" s="207"/>
      <c r="H51" s="207"/>
      <c r="I51" s="208"/>
      <c r="J51" s="196">
        <f t="shared" si="1"/>
        <v>0</v>
      </c>
      <c r="K51" s="197"/>
    </row>
    <row r="52" spans="2:11" ht="15" customHeight="1" x14ac:dyDescent="0.25">
      <c r="B52" s="571" t="s">
        <v>126</v>
      </c>
      <c r="C52" s="565">
        <f>'Hot mix asphalt'!J44</f>
        <v>0</v>
      </c>
      <c r="D52" s="199">
        <f>'Load out and silos'!H31</f>
        <v>0</v>
      </c>
      <c r="E52" s="200">
        <f>'Load out and silos'!P31</f>
        <v>0</v>
      </c>
      <c r="F52" s="200">
        <f>Generator!I59</f>
        <v>0</v>
      </c>
      <c r="G52" s="200"/>
      <c r="H52" s="200"/>
      <c r="I52" s="201"/>
      <c r="J52" s="196">
        <f t="shared" si="1"/>
        <v>0</v>
      </c>
      <c r="K52" s="197"/>
    </row>
    <row r="53" spans="2:11" ht="15" customHeight="1" x14ac:dyDescent="0.25">
      <c r="B53" s="571" t="s">
        <v>127</v>
      </c>
      <c r="C53" s="565"/>
      <c r="D53" s="199"/>
      <c r="E53" s="200"/>
      <c r="F53" s="200">
        <f>Generator!I60</f>
        <v>0</v>
      </c>
      <c r="G53" s="200"/>
      <c r="H53" s="200"/>
      <c r="I53" s="201"/>
      <c r="J53" s="196">
        <f t="shared" si="1"/>
        <v>0</v>
      </c>
      <c r="K53" s="197"/>
    </row>
    <row r="54" spans="2:11" ht="15" customHeight="1" x14ac:dyDescent="0.25">
      <c r="B54" s="571" t="s">
        <v>570</v>
      </c>
      <c r="C54" s="565">
        <f>'Hot mix asphalt'!J66</f>
        <v>0</v>
      </c>
      <c r="D54" s="199">
        <f>'Load out and silos'!H56</f>
        <v>0</v>
      </c>
      <c r="E54" s="200">
        <f>'Load out and silos'!P56</f>
        <v>0</v>
      </c>
      <c r="F54" s="200"/>
      <c r="G54" s="200"/>
      <c r="H54" s="200"/>
      <c r="I54" s="201"/>
      <c r="J54" s="196">
        <f t="shared" si="1"/>
        <v>0</v>
      </c>
      <c r="K54" s="197"/>
    </row>
    <row r="55" spans="2:11" ht="15" customHeight="1" x14ac:dyDescent="0.25">
      <c r="B55" s="572" t="s">
        <v>571</v>
      </c>
      <c r="C55" s="506">
        <f>'Hot mix asphalt'!J67</f>
        <v>0</v>
      </c>
      <c r="D55" s="203">
        <f>'Load out and silos'!H57</f>
        <v>0</v>
      </c>
      <c r="E55" s="204">
        <f>'Load out and silos'!P57</f>
        <v>0</v>
      </c>
      <c r="F55" s="204"/>
      <c r="G55" s="204"/>
      <c r="H55" s="204"/>
      <c r="I55" s="205"/>
      <c r="J55" s="196">
        <f t="shared" si="1"/>
        <v>0</v>
      </c>
      <c r="K55" s="197"/>
    </row>
    <row r="56" spans="2:11" ht="15" customHeight="1" x14ac:dyDescent="0.25">
      <c r="B56" s="571" t="s">
        <v>44</v>
      </c>
      <c r="C56" s="570">
        <f>'Hot mix asphalt'!J45</f>
        <v>0</v>
      </c>
      <c r="D56" s="206">
        <f>'Load out and silos'!H32</f>
        <v>0</v>
      </c>
      <c r="E56" s="207">
        <f>'Load out and silos'!P32</f>
        <v>0</v>
      </c>
      <c r="F56" s="207">
        <f>Generator!I61</f>
        <v>0</v>
      </c>
      <c r="G56" s="207">
        <f>'Natural gas (auxilary heat)'!I32</f>
        <v>0</v>
      </c>
      <c r="H56" s="207">
        <f>'Propane (auxilary heat)'!I32</f>
        <v>0</v>
      </c>
      <c r="I56" s="208"/>
      <c r="J56" s="196">
        <f t="shared" si="1"/>
        <v>0</v>
      </c>
      <c r="K56" s="197"/>
    </row>
    <row r="57" spans="2:11" ht="15" customHeight="1" x14ac:dyDescent="0.25">
      <c r="B57" s="571" t="s">
        <v>45</v>
      </c>
      <c r="C57" s="565">
        <f>'Hot mix asphalt'!J49</f>
        <v>0</v>
      </c>
      <c r="D57" s="199"/>
      <c r="E57" s="200"/>
      <c r="F57" s="200">
        <f>Generator!I62</f>
        <v>0</v>
      </c>
      <c r="G57" s="200">
        <f>'Natural gas (auxilary heat)'!I33</f>
        <v>0</v>
      </c>
      <c r="H57" s="200">
        <f>'Propane (auxilary heat)'!I33</f>
        <v>0</v>
      </c>
      <c r="I57" s="201"/>
      <c r="J57" s="196">
        <f t="shared" si="1"/>
        <v>0</v>
      </c>
      <c r="K57" s="197"/>
    </row>
    <row r="58" spans="2:11" ht="15" customHeight="1" x14ac:dyDescent="0.25">
      <c r="B58" s="571" t="s">
        <v>572</v>
      </c>
      <c r="C58" s="565">
        <f>'Hot mix asphalt'!J68</f>
        <v>0</v>
      </c>
      <c r="D58" s="199">
        <f>'Load out and silos'!H58</f>
        <v>0</v>
      </c>
      <c r="E58" s="200">
        <f>'Load out and silos'!P58</f>
        <v>0</v>
      </c>
      <c r="F58" s="200"/>
      <c r="G58" s="200"/>
      <c r="H58" s="200"/>
      <c r="I58" s="201"/>
      <c r="J58" s="196">
        <f t="shared" si="1"/>
        <v>0</v>
      </c>
      <c r="K58" s="197"/>
    </row>
    <row r="59" spans="2:11" ht="15" customHeight="1" x14ac:dyDescent="0.25">
      <c r="B59" s="571" t="s">
        <v>548</v>
      </c>
      <c r="C59" s="565">
        <f>'Hot mix asphalt'!J50</f>
        <v>0</v>
      </c>
      <c r="D59" s="199">
        <f>'Load out and silos'!H34</f>
        <v>0</v>
      </c>
      <c r="E59" s="200">
        <f>'Load out and silos'!P34</f>
        <v>0</v>
      </c>
      <c r="F59" s="200"/>
      <c r="G59" s="200"/>
      <c r="H59" s="200"/>
      <c r="I59" s="201"/>
      <c r="J59" s="196">
        <f t="shared" si="1"/>
        <v>0</v>
      </c>
      <c r="K59" s="197"/>
    </row>
    <row r="60" spans="2:11" ht="15" customHeight="1" x14ac:dyDescent="0.25">
      <c r="B60" s="572" t="s">
        <v>128</v>
      </c>
      <c r="C60" s="506"/>
      <c r="D60" s="203"/>
      <c r="E60" s="204"/>
      <c r="F60" s="204">
        <f>Generator!I63</f>
        <v>0</v>
      </c>
      <c r="G60" s="204"/>
      <c r="H60" s="204"/>
      <c r="I60" s="205"/>
      <c r="J60" s="196">
        <f t="shared" si="1"/>
        <v>0</v>
      </c>
      <c r="K60" s="197"/>
    </row>
    <row r="61" spans="2:11" ht="15" customHeight="1" x14ac:dyDescent="0.25">
      <c r="B61" s="571" t="s">
        <v>579</v>
      </c>
      <c r="C61" s="570">
        <f>'Hot mix asphalt'!J51</f>
        <v>0</v>
      </c>
      <c r="D61" s="206"/>
      <c r="E61" s="207"/>
      <c r="F61" s="207"/>
      <c r="G61" s="207"/>
      <c r="H61" s="207"/>
      <c r="I61" s="208"/>
      <c r="J61" s="196">
        <f t="shared" si="1"/>
        <v>0</v>
      </c>
      <c r="K61" s="197"/>
    </row>
    <row r="62" spans="2:11" ht="15" customHeight="1" x14ac:dyDescent="0.25">
      <c r="B62" s="571" t="s">
        <v>549</v>
      </c>
      <c r="C62" s="565"/>
      <c r="D62" s="199">
        <f>'Load out and silos'!H35</f>
        <v>0</v>
      </c>
      <c r="E62" s="200">
        <f>'Load out and silos'!P35</f>
        <v>0</v>
      </c>
      <c r="F62" s="200">
        <f>Generator!I64</f>
        <v>0</v>
      </c>
      <c r="G62" s="200"/>
      <c r="H62" s="200"/>
      <c r="I62" s="201"/>
      <c r="J62" s="196">
        <f t="shared" si="1"/>
        <v>0</v>
      </c>
      <c r="K62" s="197"/>
    </row>
    <row r="63" spans="2:11" ht="15" customHeight="1" x14ac:dyDescent="0.25">
      <c r="B63" s="571" t="s">
        <v>550</v>
      </c>
      <c r="C63" s="565"/>
      <c r="D63" s="199">
        <f>'Load out and silos'!H36</f>
        <v>0</v>
      </c>
      <c r="E63" s="200">
        <f>'Load out and silos'!P36</f>
        <v>0</v>
      </c>
      <c r="F63" s="200"/>
      <c r="G63" s="200"/>
      <c r="H63" s="200"/>
      <c r="I63" s="201"/>
      <c r="J63" s="196">
        <f t="shared" si="1"/>
        <v>0</v>
      </c>
      <c r="K63" s="197"/>
    </row>
    <row r="64" spans="2:11" ht="15" customHeight="1" x14ac:dyDescent="0.25">
      <c r="B64" s="571" t="s">
        <v>46</v>
      </c>
      <c r="C64" s="565">
        <f>'Hot mix asphalt'!J69</f>
        <v>0</v>
      </c>
      <c r="D64" s="199">
        <f>'Load out and silos'!H60</f>
        <v>0</v>
      </c>
      <c r="E64" s="200">
        <f>'Load out and silos'!P60</f>
        <v>0</v>
      </c>
      <c r="F64" s="200">
        <f>Generator!I65</f>
        <v>0</v>
      </c>
      <c r="G64" s="200">
        <f>'Natural gas (auxilary heat)'!I34</f>
        <v>0</v>
      </c>
      <c r="H64" s="200">
        <f>'Propane (auxilary heat)'!I34</f>
        <v>0</v>
      </c>
      <c r="I64" s="201"/>
      <c r="J64" s="196">
        <f t="shared" si="1"/>
        <v>0</v>
      </c>
      <c r="K64" s="197"/>
    </row>
    <row r="65" spans="2:11" ht="15" customHeight="1" x14ac:dyDescent="0.25">
      <c r="B65" s="572" t="s">
        <v>547</v>
      </c>
      <c r="C65" s="506"/>
      <c r="D65" s="203">
        <f>'Load out and silos'!H33</f>
        <v>0</v>
      </c>
      <c r="E65" s="204">
        <f>'Load out and silos'!P33</f>
        <v>0</v>
      </c>
      <c r="F65" s="204"/>
      <c r="G65" s="204"/>
      <c r="H65" s="204"/>
      <c r="I65" s="205"/>
      <c r="J65" s="196">
        <f t="shared" si="1"/>
        <v>0</v>
      </c>
      <c r="K65" s="197"/>
    </row>
    <row r="66" spans="2:11" ht="15" customHeight="1" x14ac:dyDescent="0.25">
      <c r="B66" s="571" t="s">
        <v>574</v>
      </c>
      <c r="C66" s="570">
        <f>'Hot mix asphalt'!J73</f>
        <v>0</v>
      </c>
      <c r="D66" s="206">
        <f>'Load out and silos'!H61</f>
        <v>0</v>
      </c>
      <c r="E66" s="207">
        <f>'Load out and silos'!P61</f>
        <v>0</v>
      </c>
      <c r="F66" s="207"/>
      <c r="G66" s="207"/>
      <c r="H66" s="207"/>
      <c r="I66" s="208"/>
      <c r="J66" s="196">
        <f t="shared" si="1"/>
        <v>0</v>
      </c>
      <c r="K66" s="197"/>
    </row>
    <row r="67" spans="2:11" ht="15" customHeight="1" x14ac:dyDescent="0.25">
      <c r="B67" s="571" t="s">
        <v>575</v>
      </c>
      <c r="C67" s="565">
        <f>'Hot mix asphalt'!J70</f>
        <v>0</v>
      </c>
      <c r="D67" s="199">
        <f>'Load out and silos'!H62</f>
        <v>0</v>
      </c>
      <c r="E67" s="200">
        <f>'Load out and silos'!P62</f>
        <v>0</v>
      </c>
      <c r="F67" s="200"/>
      <c r="G67" s="200"/>
      <c r="H67" s="200"/>
      <c r="I67" s="201"/>
      <c r="J67" s="196">
        <f t="shared" si="1"/>
        <v>0</v>
      </c>
      <c r="K67" s="197"/>
    </row>
    <row r="68" spans="2:11" ht="15" customHeight="1" x14ac:dyDescent="0.25">
      <c r="B68" s="571" t="s">
        <v>130</v>
      </c>
      <c r="C68" s="565"/>
      <c r="D68" s="199"/>
      <c r="E68" s="200"/>
      <c r="F68" s="200">
        <f>Generator!I67</f>
        <v>0</v>
      </c>
      <c r="G68" s="200"/>
      <c r="H68" s="200"/>
      <c r="I68" s="201"/>
      <c r="J68" s="196">
        <f t="shared" si="1"/>
        <v>0</v>
      </c>
      <c r="K68" s="197"/>
    </row>
    <row r="69" spans="2:11" ht="15" customHeight="1" x14ac:dyDescent="0.25">
      <c r="B69" s="571" t="s">
        <v>580</v>
      </c>
      <c r="C69" s="565">
        <f>'Hot mix asphalt'!J53</f>
        <v>0</v>
      </c>
      <c r="D69" s="199"/>
      <c r="E69" s="200"/>
      <c r="F69" s="200"/>
      <c r="G69" s="200"/>
      <c r="H69" s="200"/>
      <c r="I69" s="201"/>
      <c r="J69" s="196">
        <f t="shared" si="1"/>
        <v>0</v>
      </c>
      <c r="K69" s="197"/>
    </row>
    <row r="70" spans="2:11" ht="15" customHeight="1" x14ac:dyDescent="0.25">
      <c r="B70" s="572" t="s">
        <v>576</v>
      </c>
      <c r="C70" s="506">
        <f>'Hot mix asphalt'!J73</f>
        <v>0</v>
      </c>
      <c r="D70" s="203">
        <f>'Load out and silos'!H63</f>
        <v>0</v>
      </c>
      <c r="E70" s="204">
        <f>'Load out and silos'!P63</f>
        <v>0</v>
      </c>
      <c r="F70" s="204"/>
      <c r="G70" s="204"/>
      <c r="H70" s="204"/>
      <c r="I70" s="205"/>
      <c r="J70" s="196">
        <f t="shared" si="1"/>
        <v>0</v>
      </c>
      <c r="K70" s="197"/>
    </row>
    <row r="71" spans="2:11" ht="15" customHeight="1" x14ac:dyDescent="0.25">
      <c r="B71" s="571" t="s">
        <v>218</v>
      </c>
      <c r="C71" s="570">
        <f>'Hot mix asphalt'!J46</f>
        <v>0</v>
      </c>
      <c r="D71" s="206"/>
      <c r="E71" s="207"/>
      <c r="F71" s="207"/>
      <c r="G71" s="207"/>
      <c r="H71" s="207"/>
      <c r="I71" s="208"/>
      <c r="J71" s="196">
        <f t="shared" si="1"/>
        <v>0</v>
      </c>
      <c r="K71" s="197"/>
    </row>
    <row r="72" spans="2:11" ht="15" customHeight="1" x14ac:dyDescent="0.25">
      <c r="B72" s="571" t="s">
        <v>131</v>
      </c>
      <c r="C72" s="565"/>
      <c r="D72" s="199">
        <f>'Load out and silos'!H37</f>
        <v>0</v>
      </c>
      <c r="E72" s="200">
        <f>'Load out and silos'!P37</f>
        <v>0</v>
      </c>
      <c r="F72" s="200">
        <f>Generator!I68</f>
        <v>0</v>
      </c>
      <c r="G72" s="200"/>
      <c r="H72" s="200"/>
      <c r="I72" s="201"/>
      <c r="J72" s="196">
        <f t="shared" si="1"/>
        <v>0</v>
      </c>
      <c r="K72" s="197"/>
    </row>
    <row r="73" spans="2:11" ht="15" customHeight="1" x14ac:dyDescent="0.25">
      <c r="B73" s="571" t="s">
        <v>132</v>
      </c>
      <c r="C73" s="565"/>
      <c r="D73" s="199"/>
      <c r="E73" s="200"/>
      <c r="F73" s="200">
        <f>Generator!I69</f>
        <v>0</v>
      </c>
      <c r="G73" s="200"/>
      <c r="H73" s="200"/>
      <c r="I73" s="201"/>
      <c r="J73" s="196">
        <f t="shared" si="1"/>
        <v>0</v>
      </c>
      <c r="K73" s="197"/>
    </row>
    <row r="74" spans="2:11" ht="15" customHeight="1" x14ac:dyDescent="0.25">
      <c r="B74" s="571" t="s">
        <v>551</v>
      </c>
      <c r="C74" s="565"/>
      <c r="D74" s="199">
        <f>'Load out and silos'!H38</f>
        <v>0</v>
      </c>
      <c r="E74" s="200">
        <f>'Load out and silos'!P38</f>
        <v>0</v>
      </c>
      <c r="F74" s="200"/>
      <c r="G74" s="200"/>
      <c r="H74" s="200"/>
      <c r="I74" s="201"/>
      <c r="J74" s="196">
        <f t="shared" si="1"/>
        <v>0</v>
      </c>
      <c r="K74" s="197"/>
    </row>
    <row r="75" spans="2:11" ht="15" customHeight="1" x14ac:dyDescent="0.25">
      <c r="B75" s="572" t="s">
        <v>47</v>
      </c>
      <c r="C75" s="506">
        <f>'Hot mix asphalt'!J47</f>
        <v>0</v>
      </c>
      <c r="D75" s="203">
        <f>'Load out and silos'!H39</f>
        <v>0</v>
      </c>
      <c r="E75" s="204">
        <f>'Load out and silos'!P39</f>
        <v>0</v>
      </c>
      <c r="F75" s="204">
        <f>Generator!I70</f>
        <v>0</v>
      </c>
      <c r="G75" s="204">
        <f>'Natural gas (auxilary heat)'!I35</f>
        <v>0</v>
      </c>
      <c r="H75" s="204">
        <f>'Propane (auxilary heat)'!I35</f>
        <v>0</v>
      </c>
      <c r="I75" s="205"/>
      <c r="J75" s="196">
        <f t="shared" si="1"/>
        <v>0</v>
      </c>
      <c r="K75" s="197"/>
    </row>
    <row r="76" spans="2:11" ht="15" customHeight="1" x14ac:dyDescent="0.25">
      <c r="B76" s="571" t="s">
        <v>553</v>
      </c>
      <c r="C76" s="570"/>
      <c r="D76" s="206">
        <f>'Load out and silos'!H41</f>
        <v>0</v>
      </c>
      <c r="E76" s="207">
        <f>'Load out and silos'!P41</f>
        <v>0</v>
      </c>
      <c r="F76" s="207"/>
      <c r="G76" s="207"/>
      <c r="H76" s="207"/>
      <c r="I76" s="208"/>
      <c r="J76" s="196">
        <f t="shared" si="1"/>
        <v>0</v>
      </c>
      <c r="K76" s="197"/>
    </row>
    <row r="77" spans="2:11" ht="15" customHeight="1" x14ac:dyDescent="0.25">
      <c r="B77" s="571" t="s">
        <v>554</v>
      </c>
      <c r="C77" s="565"/>
      <c r="D77" s="199">
        <f>'Load out and silos'!H42</f>
        <v>0</v>
      </c>
      <c r="E77" s="200">
        <f>'Load out and silos'!P42</f>
        <v>0</v>
      </c>
      <c r="F77" s="200"/>
      <c r="G77" s="200"/>
      <c r="H77" s="200"/>
      <c r="I77" s="201"/>
      <c r="J77" s="196">
        <f t="shared" si="1"/>
        <v>0</v>
      </c>
      <c r="K77" s="197"/>
    </row>
    <row r="78" spans="2:11" ht="15" customHeight="1" x14ac:dyDescent="0.25">
      <c r="B78" s="571" t="s">
        <v>133</v>
      </c>
      <c r="C78" s="565"/>
      <c r="D78" s="199"/>
      <c r="E78" s="200"/>
      <c r="F78" s="200">
        <f>Generator!I71</f>
        <v>0</v>
      </c>
      <c r="G78" s="200"/>
      <c r="H78" s="200"/>
      <c r="I78" s="201"/>
      <c r="J78" s="196">
        <f t="shared" si="1"/>
        <v>0</v>
      </c>
      <c r="K78" s="197"/>
    </row>
    <row r="79" spans="2:11" ht="15" customHeight="1" thickBot="1" x14ac:dyDescent="0.3">
      <c r="B79" s="571" t="s">
        <v>134</v>
      </c>
      <c r="C79" s="566">
        <f>'Hot mix asphalt'!J48</f>
        <v>0</v>
      </c>
      <c r="D79" s="567">
        <f>'Load out and silos'!H43</f>
        <v>0</v>
      </c>
      <c r="E79" s="568">
        <f>'Load out and silos'!P43</f>
        <v>0</v>
      </c>
      <c r="F79" s="568">
        <f>Generator!I72</f>
        <v>0</v>
      </c>
      <c r="G79" s="568"/>
      <c r="H79" s="568"/>
      <c r="I79" s="569"/>
      <c r="J79" s="196">
        <f t="shared" si="1"/>
        <v>0</v>
      </c>
      <c r="K79" s="197"/>
    </row>
    <row r="80" spans="2:11" ht="15" customHeight="1" x14ac:dyDescent="0.25">
      <c r="B80" s="1170" t="s">
        <v>599</v>
      </c>
      <c r="C80" s="1171"/>
      <c r="D80" s="1171"/>
      <c r="E80" s="1171"/>
      <c r="F80" s="1171"/>
      <c r="G80" s="1171"/>
      <c r="H80" s="1171"/>
      <c r="I80" s="1171"/>
      <c r="J80" s="1171"/>
      <c r="K80" s="1172"/>
    </row>
    <row r="81" spans="2:11" ht="15" customHeight="1" x14ac:dyDescent="0.25">
      <c r="B81" s="571" t="s">
        <v>221</v>
      </c>
      <c r="C81" s="565">
        <f>'Hot mix asphalt'!J75</f>
        <v>0</v>
      </c>
      <c r="D81" s="199"/>
      <c r="E81" s="200"/>
      <c r="F81" s="200"/>
      <c r="G81" s="200"/>
      <c r="H81" s="200"/>
      <c r="I81" s="201"/>
      <c r="J81" s="202">
        <f t="shared" si="1"/>
        <v>0</v>
      </c>
      <c r="K81" s="197"/>
    </row>
    <row r="82" spans="2:11" ht="15" customHeight="1" x14ac:dyDescent="0.25">
      <c r="B82" s="571" t="s">
        <v>48</v>
      </c>
      <c r="C82" s="565">
        <f>'Hot mix asphalt'!J76</f>
        <v>0</v>
      </c>
      <c r="D82" s="199"/>
      <c r="E82" s="200"/>
      <c r="F82" s="200"/>
      <c r="G82" s="200">
        <f>'Natural gas (auxilary heat)'!I36</f>
        <v>0</v>
      </c>
      <c r="H82" s="200">
        <f>'Propane (auxilary heat)'!I36</f>
        <v>0</v>
      </c>
      <c r="I82" s="201"/>
      <c r="J82" s="196">
        <f t="shared" si="1"/>
        <v>0</v>
      </c>
      <c r="K82" s="197"/>
    </row>
    <row r="83" spans="2:11" ht="15" customHeight="1" x14ac:dyDescent="0.25">
      <c r="B83" s="571" t="s">
        <v>49</v>
      </c>
      <c r="C83" s="565">
        <f>'Hot mix asphalt'!J77</f>
        <v>0</v>
      </c>
      <c r="D83" s="199"/>
      <c r="E83" s="200"/>
      <c r="F83" s="200"/>
      <c r="G83" s="200">
        <f>'Natural gas (auxilary heat)'!I37</f>
        <v>0</v>
      </c>
      <c r="H83" s="200">
        <f>'Propane (auxilary heat)'!I37</f>
        <v>0</v>
      </c>
      <c r="I83" s="201"/>
      <c r="J83" s="196">
        <f t="shared" si="1"/>
        <v>0</v>
      </c>
      <c r="K83" s="197"/>
    </row>
    <row r="84" spans="2:11" ht="15" customHeight="1" x14ac:dyDescent="0.25">
      <c r="B84" s="571" t="s">
        <v>50</v>
      </c>
      <c r="C84" s="565">
        <f>'Hot mix asphalt'!J78</f>
        <v>0</v>
      </c>
      <c r="D84" s="199"/>
      <c r="E84" s="200"/>
      <c r="F84" s="200"/>
      <c r="G84" s="200">
        <f>'Natural gas (auxilary heat)'!I38</f>
        <v>0</v>
      </c>
      <c r="H84" s="200">
        <f>'Propane (auxilary heat)'!I38</f>
        <v>0</v>
      </c>
      <c r="I84" s="201"/>
      <c r="J84" s="196">
        <f t="shared" si="1"/>
        <v>0</v>
      </c>
      <c r="K84" s="197"/>
    </row>
    <row r="85" spans="2:11" ht="15" customHeight="1" x14ac:dyDescent="0.25">
      <c r="B85" s="572" t="s">
        <v>51</v>
      </c>
      <c r="C85" s="203">
        <f>'Hot mix asphalt'!J79</f>
        <v>0</v>
      </c>
      <c r="D85" s="203"/>
      <c r="E85" s="204"/>
      <c r="F85" s="204"/>
      <c r="G85" s="204">
        <f>'Natural gas (auxilary heat)'!I39</f>
        <v>0</v>
      </c>
      <c r="H85" s="204">
        <f>'Propane (auxilary heat)'!I39</f>
        <v>0</v>
      </c>
      <c r="I85" s="205"/>
      <c r="J85" s="196">
        <f t="shared" si="1"/>
        <v>0</v>
      </c>
      <c r="K85" s="197"/>
    </row>
    <row r="86" spans="2:11" ht="15" customHeight="1" x14ac:dyDescent="0.25">
      <c r="B86" s="571" t="s">
        <v>219</v>
      </c>
      <c r="C86" s="565">
        <f>'Hot mix asphalt'!J80</f>
        <v>0</v>
      </c>
      <c r="D86" s="206"/>
      <c r="E86" s="207"/>
      <c r="F86" s="207"/>
      <c r="G86" s="207"/>
      <c r="H86" s="207"/>
      <c r="I86" s="208"/>
      <c r="J86" s="196">
        <f t="shared" ref="J86:J103" si="2">SUM(C86:I86)</f>
        <v>0</v>
      </c>
      <c r="K86" s="197"/>
    </row>
    <row r="87" spans="2:11" ht="15" customHeight="1" x14ac:dyDescent="0.25">
      <c r="B87" s="571" t="s">
        <v>52</v>
      </c>
      <c r="C87" s="565">
        <f>'Hot mix asphalt'!J81</f>
        <v>0</v>
      </c>
      <c r="D87" s="199"/>
      <c r="E87" s="200"/>
      <c r="F87" s="200"/>
      <c r="G87" s="200">
        <f>'Natural gas (auxilary heat)'!I40</f>
        <v>0</v>
      </c>
      <c r="H87" s="200">
        <f>'Propane (auxilary heat)'!I40</f>
        <v>0</v>
      </c>
      <c r="I87" s="201"/>
      <c r="J87" s="196">
        <f t="shared" si="2"/>
        <v>0</v>
      </c>
      <c r="K87" s="197"/>
    </row>
    <row r="88" spans="2:11" ht="15" customHeight="1" x14ac:dyDescent="0.25">
      <c r="B88" s="571" t="s">
        <v>53</v>
      </c>
      <c r="C88" s="565">
        <f>'Hot mix asphalt'!J82</f>
        <v>0</v>
      </c>
      <c r="D88" s="199"/>
      <c r="E88" s="200"/>
      <c r="F88" s="200"/>
      <c r="G88" s="200">
        <f>'Natural gas (auxilary heat)'!I41</f>
        <v>0</v>
      </c>
      <c r="H88" s="200">
        <f>'Propane (auxilary heat)'!I41</f>
        <v>0</v>
      </c>
      <c r="I88" s="201"/>
      <c r="J88" s="196">
        <f t="shared" si="2"/>
        <v>0</v>
      </c>
      <c r="K88" s="197"/>
    </row>
    <row r="89" spans="2:11" ht="15" customHeight="1" x14ac:dyDescent="0.25">
      <c r="B89" s="571" t="s">
        <v>54</v>
      </c>
      <c r="C89" s="565">
        <f>'Hot mix asphalt'!J83</f>
        <v>0</v>
      </c>
      <c r="D89" s="199"/>
      <c r="E89" s="200"/>
      <c r="F89" s="200"/>
      <c r="G89" s="200">
        <f>'Natural gas (auxilary heat)'!I42</f>
        <v>0</v>
      </c>
      <c r="H89" s="200">
        <f>'Propane (auxilary heat)'!I42</f>
        <v>0</v>
      </c>
      <c r="I89" s="201"/>
      <c r="J89" s="196">
        <f t="shared" si="2"/>
        <v>0</v>
      </c>
      <c r="K89" s="197"/>
    </row>
    <row r="90" spans="2:11" ht="15" customHeight="1" x14ac:dyDescent="0.25">
      <c r="B90" s="571" t="s">
        <v>55</v>
      </c>
      <c r="C90" s="565">
        <f>'Hot mix asphalt'!J84</f>
        <v>0</v>
      </c>
      <c r="D90" s="199"/>
      <c r="E90" s="200"/>
      <c r="F90" s="200"/>
      <c r="G90" s="200">
        <f>'Natural gas (auxilary heat)'!I43</f>
        <v>0</v>
      </c>
      <c r="H90" s="200">
        <f>'Propane (auxilary heat)'!I43</f>
        <v>0</v>
      </c>
      <c r="I90" s="201"/>
      <c r="J90" s="196">
        <f t="shared" si="2"/>
        <v>0</v>
      </c>
      <c r="K90" s="197"/>
    </row>
    <row r="91" spans="2:11" ht="15" customHeight="1" thickBot="1" x14ac:dyDescent="0.3">
      <c r="B91" s="573" t="s">
        <v>56</v>
      </c>
      <c r="C91" s="565">
        <f>'Hot mix asphalt'!J85</f>
        <v>0</v>
      </c>
      <c r="D91" s="567"/>
      <c r="E91" s="568"/>
      <c r="F91" s="568"/>
      <c r="G91" s="568">
        <f>'Natural gas (auxilary heat)'!I44</f>
        <v>0</v>
      </c>
      <c r="H91" s="568">
        <f>'Propane (auxilary heat)'!I44</f>
        <v>0</v>
      </c>
      <c r="I91" s="569"/>
      <c r="J91" s="196">
        <f t="shared" si="2"/>
        <v>0</v>
      </c>
      <c r="K91" s="197"/>
    </row>
    <row r="92" spans="2:11" ht="15" customHeight="1" x14ac:dyDescent="0.25">
      <c r="B92" s="1170" t="s">
        <v>582</v>
      </c>
      <c r="C92" s="1171"/>
      <c r="D92" s="1171"/>
      <c r="E92" s="1171"/>
      <c r="F92" s="1171"/>
      <c r="G92" s="1171"/>
      <c r="H92" s="1171"/>
      <c r="I92" s="1171"/>
      <c r="J92" s="1171"/>
      <c r="K92" s="1172"/>
    </row>
    <row r="93" spans="2:11" ht="15" customHeight="1" x14ac:dyDescent="0.25">
      <c r="B93" s="574" t="s">
        <v>583</v>
      </c>
      <c r="C93" s="565">
        <f>'Hot mix asphalt'!J87</f>
        <v>0</v>
      </c>
      <c r="D93" s="199"/>
      <c r="E93" s="200"/>
      <c r="F93" s="200"/>
      <c r="G93" s="200"/>
      <c r="H93" s="200"/>
      <c r="I93" s="201"/>
      <c r="J93" s="196">
        <f t="shared" si="2"/>
        <v>0</v>
      </c>
      <c r="K93" s="197"/>
    </row>
    <row r="94" spans="2:11" ht="15" customHeight="1" x14ac:dyDescent="0.25">
      <c r="B94" s="574" t="s">
        <v>584</v>
      </c>
      <c r="C94" s="565">
        <f>'Hot mix asphalt'!J88</f>
        <v>0</v>
      </c>
      <c r="D94" s="199"/>
      <c r="E94" s="200"/>
      <c r="F94" s="200"/>
      <c r="G94" s="200"/>
      <c r="H94" s="200"/>
      <c r="I94" s="201"/>
      <c r="J94" s="196">
        <f t="shared" si="2"/>
        <v>0</v>
      </c>
      <c r="K94" s="197"/>
    </row>
    <row r="95" spans="2:11" ht="15" customHeight="1" x14ac:dyDescent="0.25">
      <c r="B95" s="574" t="s">
        <v>585</v>
      </c>
      <c r="C95" s="565">
        <f>'Hot mix asphalt'!J89</f>
        <v>0</v>
      </c>
      <c r="D95" s="199"/>
      <c r="E95" s="200"/>
      <c r="F95" s="200"/>
      <c r="G95" s="200"/>
      <c r="H95" s="200"/>
      <c r="I95" s="201"/>
      <c r="J95" s="196">
        <f t="shared" si="2"/>
        <v>0</v>
      </c>
      <c r="K95" s="209"/>
    </row>
    <row r="96" spans="2:11" ht="15" customHeight="1" x14ac:dyDescent="0.25">
      <c r="B96" s="575" t="s">
        <v>586</v>
      </c>
      <c r="C96" s="565">
        <f>'Hot mix asphalt'!J90</f>
        <v>0</v>
      </c>
      <c r="D96" s="199"/>
      <c r="E96" s="200"/>
      <c r="F96" s="200"/>
      <c r="G96" s="200"/>
      <c r="H96" s="200"/>
      <c r="I96" s="201"/>
      <c r="J96" s="196">
        <f t="shared" si="2"/>
        <v>0</v>
      </c>
      <c r="K96" s="191"/>
    </row>
    <row r="97" spans="2:11" ht="15" customHeight="1" thickBot="1" x14ac:dyDescent="0.3">
      <c r="B97" s="574" t="s">
        <v>593</v>
      </c>
      <c r="C97" s="565">
        <f>'Hot mix asphalt'!J91</f>
        <v>0</v>
      </c>
      <c r="D97" s="567"/>
      <c r="E97" s="568"/>
      <c r="F97" s="568"/>
      <c r="G97" s="568"/>
      <c r="H97" s="568"/>
      <c r="I97" s="569"/>
      <c r="J97" s="196">
        <f t="shared" si="2"/>
        <v>0</v>
      </c>
      <c r="K97" s="191"/>
    </row>
    <row r="98" spans="2:11" ht="15" customHeight="1" x14ac:dyDescent="0.25">
      <c r="B98" s="1170" t="s">
        <v>587</v>
      </c>
      <c r="C98" s="1171"/>
      <c r="D98" s="1171"/>
      <c r="E98" s="1171"/>
      <c r="F98" s="1171"/>
      <c r="G98" s="1171"/>
      <c r="H98" s="1171"/>
      <c r="I98" s="1171"/>
      <c r="J98" s="1171"/>
      <c r="K98" s="1172"/>
    </row>
    <row r="99" spans="2:11" ht="15" customHeight="1" x14ac:dyDescent="0.25">
      <c r="B99" s="574" t="s">
        <v>588</v>
      </c>
      <c r="C99" s="198">
        <f>'Hot mix asphalt'!J93</f>
        <v>0</v>
      </c>
      <c r="D99" s="178"/>
      <c r="E99" s="180"/>
      <c r="F99" s="178"/>
      <c r="G99" s="178"/>
      <c r="H99" s="178"/>
      <c r="I99" s="199"/>
      <c r="J99" s="196">
        <f t="shared" si="2"/>
        <v>0</v>
      </c>
      <c r="K99" s="191"/>
    </row>
    <row r="100" spans="2:11" ht="15" customHeight="1" x14ac:dyDescent="0.25">
      <c r="B100" s="574" t="s">
        <v>589</v>
      </c>
      <c r="C100" s="198">
        <f>'Hot mix asphalt'!J94</f>
        <v>0</v>
      </c>
      <c r="D100" s="178"/>
      <c r="E100" s="180"/>
      <c r="F100" s="178"/>
      <c r="G100" s="178"/>
      <c r="H100" s="178"/>
      <c r="I100" s="199"/>
      <c r="J100" s="196">
        <f t="shared" si="2"/>
        <v>0</v>
      </c>
      <c r="K100" s="191"/>
    </row>
    <row r="101" spans="2:11" ht="15" customHeight="1" x14ac:dyDescent="0.25">
      <c r="B101" s="574" t="s">
        <v>590</v>
      </c>
      <c r="C101" s="198">
        <f>'Hot mix asphalt'!J95</f>
        <v>0</v>
      </c>
      <c r="D101" s="178"/>
      <c r="E101" s="180"/>
      <c r="F101" s="178"/>
      <c r="G101" s="178"/>
      <c r="H101" s="178"/>
      <c r="I101" s="199"/>
      <c r="J101" s="196">
        <f t="shared" si="2"/>
        <v>0</v>
      </c>
      <c r="K101" s="191"/>
    </row>
    <row r="102" spans="2:11" ht="15" customHeight="1" x14ac:dyDescent="0.25">
      <c r="B102" s="574" t="s">
        <v>591</v>
      </c>
      <c r="C102" s="198">
        <f>'Hot mix asphalt'!J96</f>
        <v>0</v>
      </c>
      <c r="D102" s="178"/>
      <c r="E102" s="180"/>
      <c r="F102" s="178"/>
      <c r="G102" s="178"/>
      <c r="H102" s="178"/>
      <c r="I102" s="199"/>
      <c r="J102" s="196">
        <f t="shared" si="2"/>
        <v>0</v>
      </c>
      <c r="K102" s="191"/>
    </row>
    <row r="103" spans="2:11" ht="15" customHeight="1" x14ac:dyDescent="0.25">
      <c r="B103" s="576" t="s">
        <v>594</v>
      </c>
      <c r="C103" s="198">
        <f>'Hot mix asphalt'!J97</f>
        <v>0</v>
      </c>
      <c r="D103" s="178"/>
      <c r="E103" s="180"/>
      <c r="F103" s="178"/>
      <c r="G103" s="178"/>
      <c r="H103" s="178"/>
      <c r="I103" s="199"/>
      <c r="J103" s="196">
        <f t="shared" si="2"/>
        <v>0</v>
      </c>
      <c r="K103" s="192"/>
    </row>
    <row r="104" spans="2:11" ht="15" customHeight="1" x14ac:dyDescent="0.25">
      <c r="B104" s="210" t="s">
        <v>74</v>
      </c>
      <c r="C104" s="1169"/>
      <c r="D104" s="1169"/>
      <c r="E104" s="212"/>
      <c r="F104" s="211"/>
      <c r="G104" s="211"/>
      <c r="H104" s="211"/>
      <c r="I104" s="213"/>
      <c r="J104" s="190">
        <f>MAX(J21:J103)</f>
        <v>0</v>
      </c>
      <c r="K104" s="185">
        <v>5</v>
      </c>
    </row>
    <row r="105" spans="2:11" ht="15" customHeight="1" thickBot="1" x14ac:dyDescent="0.3">
      <c r="B105" s="214" t="s">
        <v>57</v>
      </c>
      <c r="C105" s="215"/>
      <c r="D105" s="215"/>
      <c r="E105" s="215"/>
      <c r="F105" s="215"/>
      <c r="G105" s="215"/>
      <c r="H105" s="215"/>
      <c r="I105" s="215"/>
      <c r="J105" s="216">
        <f>SUM(J21:J103)</f>
        <v>0</v>
      </c>
      <c r="K105" s="849">
        <v>12.5</v>
      </c>
    </row>
    <row r="106" spans="2:11" ht="15" customHeight="1" x14ac:dyDescent="0.25"/>
    <row r="107" spans="2:11" ht="15" customHeight="1" x14ac:dyDescent="0.25"/>
  </sheetData>
  <mergeCells count="9">
    <mergeCell ref="B80:K80"/>
    <mergeCell ref="B92:K92"/>
    <mergeCell ref="B98:K98"/>
    <mergeCell ref="C104:D104"/>
    <mergeCell ref="B2:K2"/>
    <mergeCell ref="B4:B5"/>
    <mergeCell ref="B15:K15"/>
    <mergeCell ref="B20:K20"/>
    <mergeCell ref="B3:K3"/>
  </mergeCells>
  <conditionalFormatting sqref="C104">
    <cfRule type="cellIs" dxfId="19" priority="3" operator="equal">
      <formula>0</formula>
    </cfRule>
  </conditionalFormatting>
  <conditionalFormatting sqref="C7:I14 C16:I18 C21:I79 C81:I91 C93:I97 C99:I103">
    <cfRule type="cellIs" dxfId="18" priority="2" operator="equal">
      <formula>0</formula>
    </cfRule>
  </conditionalFormatting>
  <conditionalFormatting sqref="J21:J79 J81:J91 J93:J97 J99:J105">
    <cfRule type="cellIs" dxfId="17" priority="1" operator="equal">
      <formula>0</formula>
    </cfRule>
  </conditionalFormatting>
  <conditionalFormatting sqref="K96:K97 K99:K103">
    <cfRule type="cellIs" dxfId="16" priority="6" operator="lessThan">
      <formula>9.99999999999999E+22</formula>
    </cfRule>
  </conditionalFormatting>
  <pageMargins left="0.25" right="0.25" top="0.5" bottom="0.5" header="0.3" footer="0.3"/>
  <pageSetup scale="80" fitToHeight="0" orientation="landscape" r:id="rId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legacyDrawing r:id="rId2"/>
  <extLst>
    <ext xmlns:x14="http://schemas.microsoft.com/office/spreadsheetml/2009/9/main" uri="{78C0D931-6437-407d-A8EE-F0AAD7539E65}">
      <x14:conditionalFormattings>
        <x14:conditionalFormatting xmlns:xm="http://schemas.microsoft.com/office/excel/2006/main">
          <x14:cfRule type="iconSet" priority="78" id="{3BE7B190-8B53-423B-B0A3-71798BDB6DA4}">
            <x14:iconSet iconSet="3Flags" custom="1">
              <x14:cfvo type="percent">
                <xm:f>0</xm:f>
              </x14:cfvo>
              <x14:cfvo type="num">
                <xm:f>0</xm:f>
              </x14:cfvo>
              <x14:cfvo type="num">
                <xm:f>50</xm:f>
              </x14:cfvo>
              <x14:cfIcon iconSet="NoIcons" iconId="0"/>
              <x14:cfIcon iconSet="NoIcons" iconId="0"/>
              <x14:cfIcon iconSet="3Flags" iconId="1"/>
            </x14:iconSet>
          </x14:cfRule>
          <xm:sqref>J7:J13</xm:sqref>
        </x14:conditionalFormatting>
        <x14:conditionalFormatting xmlns:xm="http://schemas.microsoft.com/office/excel/2006/main">
          <x14:cfRule type="iconSet" priority="77" id="{662D43AA-CC58-4C0F-B674-C4EB87E3C498}">
            <x14:iconSet iconSet="3Flags" custom="1">
              <x14:cfvo type="percent">
                <xm:f>0</xm:f>
              </x14:cfvo>
              <x14:cfvo type="num">
                <xm:f>0</xm:f>
              </x14:cfvo>
              <x14:cfvo type="num">
                <xm:f>0.25</xm:f>
              </x14:cfvo>
              <x14:cfIcon iconSet="NoIcons" iconId="0"/>
              <x14:cfIcon iconSet="NoIcons" iconId="0"/>
              <x14:cfIcon iconSet="3Flags" iconId="1"/>
            </x14:iconSet>
          </x14:cfRule>
          <xm:sqref>J14</xm:sqref>
        </x14:conditionalFormatting>
        <x14:conditionalFormatting xmlns:xm="http://schemas.microsoft.com/office/excel/2006/main">
          <x14:cfRule type="iconSet" priority="76" id="{52D2B1AC-1DF8-4F3A-AC52-9E6B2AA19D71}">
            <x14:iconSet iconSet="3Flags" custom="1">
              <x14:cfvo type="percent">
                <xm:f>0</xm:f>
              </x14:cfvo>
              <x14:cfvo type="num">
                <xm:f>0</xm:f>
              </x14:cfvo>
              <x14:cfvo type="num">
                <xm:f>50000</xm:f>
              </x14:cfvo>
              <x14:cfIcon iconSet="NoIcons" iconId="0"/>
              <x14:cfIcon iconSet="NoIcons" iconId="0"/>
              <x14:cfIcon iconSet="3Flags" iconId="1"/>
            </x14:iconSet>
          </x14:cfRule>
          <xm:sqref>J19</xm:sqref>
        </x14:conditionalFormatting>
        <x14:conditionalFormatting xmlns:xm="http://schemas.microsoft.com/office/excel/2006/main">
          <x14:cfRule type="iconSet" priority="4" id="{FF25C70C-A9C8-46DF-A734-8C6C7067B3BC}">
            <x14:iconSet iconSet="3Flags" custom="1">
              <x14:cfvo type="percent">
                <xm:f>0</xm:f>
              </x14:cfvo>
              <x14:cfvo type="num">
                <xm:f>0</xm:f>
              </x14:cfvo>
              <x14:cfvo type="num">
                <xm:f>10</xm:f>
              </x14:cfvo>
              <x14:cfIcon iconSet="NoIcons" iconId="0"/>
              <x14:cfIcon iconSet="NoIcons" iconId="0"/>
              <x14:cfIcon iconSet="3Flags" iconId="1"/>
            </x14:iconSet>
          </x14:cfRule>
          <xm:sqref>J104</xm:sqref>
        </x14:conditionalFormatting>
        <x14:conditionalFormatting xmlns:xm="http://schemas.microsoft.com/office/excel/2006/main">
          <x14:cfRule type="iconSet" priority="5" id="{17CF4789-E848-4F0C-BB67-974CD78FF22E}">
            <x14:iconSet iconSet="3Flags" custom="1">
              <x14:cfvo type="percent">
                <xm:f>0</xm:f>
              </x14:cfvo>
              <x14:cfvo type="num">
                <xm:f>0</xm:f>
              </x14:cfvo>
              <x14:cfvo type="num">
                <xm:f>25</xm:f>
              </x14:cfvo>
              <x14:cfIcon iconSet="NoIcons" iconId="0"/>
              <x14:cfIcon iconSet="NoIcons" iconId="0"/>
              <x14:cfIcon iconSet="3Flags" iconId="1"/>
            </x14:iconSet>
          </x14:cfRule>
          <xm:sqref>J105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FFFFCC"/>
  </sheetPr>
  <dimension ref="A1:U80"/>
  <sheetViews>
    <sheetView showGridLines="0" zoomScaleNormal="100" zoomScaleSheetLayoutView="100" zoomScalePageLayoutView="85" workbookViewId="0">
      <selection activeCell="B2" sqref="B2:I2"/>
    </sheetView>
  </sheetViews>
  <sheetFormatPr defaultColWidth="9.42578125" defaultRowHeight="15" x14ac:dyDescent="0.25"/>
  <cols>
    <col min="1" max="1" width="2.5703125" style="2" customWidth="1"/>
    <col min="2" max="9" width="18" style="2" customWidth="1"/>
    <col min="10" max="16384" width="9.42578125" style="2"/>
  </cols>
  <sheetData>
    <row r="1" spans="2:9" x14ac:dyDescent="0.25">
      <c r="B1" s="670"/>
      <c r="C1" s="670"/>
      <c r="D1" s="670"/>
      <c r="E1" s="670"/>
      <c r="F1" s="670"/>
      <c r="G1" s="670"/>
      <c r="H1" s="670"/>
      <c r="I1" s="671" t="str">
        <f>Instructions!$H$2</f>
        <v>p-sbap5-20  •  7/28/2025</v>
      </c>
    </row>
    <row r="2" spans="2:9" ht="19.5" thickBot="1" x14ac:dyDescent="0.3">
      <c r="B2" s="1203" t="s">
        <v>322</v>
      </c>
      <c r="C2" s="1203"/>
      <c r="D2" s="1203"/>
      <c r="E2" s="1203"/>
      <c r="F2" s="1203"/>
      <c r="G2" s="1203"/>
      <c r="H2" s="1203"/>
      <c r="I2" s="1203"/>
    </row>
    <row r="3" spans="2:9" s="26" customFormat="1" ht="15" customHeight="1" x14ac:dyDescent="0.2">
      <c r="B3" s="1214" t="s">
        <v>836</v>
      </c>
      <c r="C3" s="1214"/>
      <c r="D3" s="1214"/>
      <c r="E3" s="1214"/>
      <c r="F3" s="1214"/>
      <c r="G3" s="1214"/>
      <c r="H3" s="1214"/>
      <c r="I3" s="1214"/>
    </row>
    <row r="4" spans="2:9" s="26" customFormat="1" ht="15" customHeight="1" x14ac:dyDescent="0.2">
      <c r="B4" s="1215"/>
      <c r="C4" s="1215"/>
      <c r="D4" s="1215"/>
      <c r="E4" s="1215"/>
      <c r="F4" s="1215"/>
      <c r="G4" s="1215"/>
      <c r="H4" s="1215"/>
      <c r="I4" s="1215"/>
    </row>
    <row r="5" spans="2:9" s="26" customFormat="1" ht="15" customHeight="1" x14ac:dyDescent="0.2">
      <c r="B5" s="1215"/>
      <c r="C5" s="1215"/>
      <c r="D5" s="1215"/>
      <c r="E5" s="1215"/>
      <c r="F5" s="1215"/>
      <c r="G5" s="1215"/>
      <c r="H5" s="1215"/>
      <c r="I5" s="1215"/>
    </row>
    <row r="6" spans="2:9" s="26" customFormat="1" ht="15" customHeight="1" x14ac:dyDescent="0.2">
      <c r="B6" s="1212" t="s">
        <v>837</v>
      </c>
      <c r="C6" s="1212"/>
      <c r="D6" s="1212"/>
      <c r="E6" s="1212"/>
      <c r="F6" s="1212"/>
      <c r="G6" s="1212"/>
      <c r="H6" s="1212"/>
      <c r="I6" s="1212"/>
    </row>
    <row r="7" spans="2:9" s="26" customFormat="1" ht="14.25" customHeight="1" x14ac:dyDescent="0.2">
      <c r="B7" s="1212"/>
      <c r="C7" s="1212"/>
      <c r="D7" s="1212"/>
      <c r="E7" s="1212"/>
      <c r="F7" s="1212"/>
      <c r="G7" s="1212"/>
      <c r="H7" s="1212"/>
      <c r="I7" s="1212"/>
    </row>
    <row r="8" spans="2:9" s="26" customFormat="1" ht="15" customHeight="1" x14ac:dyDescent="0.2">
      <c r="B8" s="1216"/>
      <c r="C8" s="1216"/>
      <c r="D8" s="1216"/>
      <c r="E8" s="1216"/>
      <c r="F8" s="1216"/>
      <c r="G8" s="1216"/>
      <c r="H8" s="1216"/>
      <c r="I8" s="1216"/>
    </row>
    <row r="9" spans="2:9" s="26" customFormat="1" ht="15" customHeight="1" x14ac:dyDescent="0.2">
      <c r="B9" s="1204" t="s">
        <v>273</v>
      </c>
      <c r="C9" s="1204"/>
      <c r="D9" s="1204"/>
      <c r="E9" s="1205"/>
      <c r="F9" s="1206" t="s">
        <v>518</v>
      </c>
      <c r="G9" s="1204"/>
      <c r="H9" s="1204"/>
      <c r="I9" s="1204"/>
    </row>
    <row r="10" spans="2:9" s="26" customFormat="1" ht="15" customHeight="1" x14ac:dyDescent="0.2">
      <c r="B10" s="1210" t="s">
        <v>417</v>
      </c>
      <c r="C10" s="1210"/>
      <c r="D10" s="1210"/>
      <c r="E10" s="1211"/>
      <c r="F10" s="1207"/>
      <c r="G10" s="1204"/>
      <c r="H10" s="1204"/>
      <c r="I10" s="1204"/>
    </row>
    <row r="11" spans="2:9" s="26" customFormat="1" ht="15" customHeight="1" x14ac:dyDescent="0.2">
      <c r="B11" s="1187" t="s">
        <v>418</v>
      </c>
      <c r="C11" s="1187" t="s">
        <v>419</v>
      </c>
      <c r="D11" s="1187" t="s">
        <v>290</v>
      </c>
      <c r="E11" s="1187" t="s">
        <v>291</v>
      </c>
      <c r="F11" s="1207"/>
      <c r="G11" s="1204"/>
      <c r="H11" s="1204"/>
      <c r="I11" s="1204"/>
    </row>
    <row r="12" spans="2:9" s="26" customFormat="1" ht="15" customHeight="1" x14ac:dyDescent="0.2">
      <c r="B12" s="1187"/>
      <c r="C12" s="1187"/>
      <c r="D12" s="1187"/>
      <c r="E12" s="1187"/>
      <c r="F12" s="1207"/>
      <c r="G12" s="1204"/>
      <c r="H12" s="1204"/>
      <c r="I12" s="1204"/>
    </row>
    <row r="13" spans="2:9" s="26" customFormat="1" ht="15" customHeight="1" x14ac:dyDescent="0.2">
      <c r="B13" s="1213" t="str">
        <f>IF('Data Validation'!A36="yes","do","do not")</f>
        <v>do not</v>
      </c>
      <c r="C13" s="1213" t="str">
        <f>IF('Data Validation'!A39="yes","do","do not")</f>
        <v>do not</v>
      </c>
      <c r="D13" s="1213" t="str">
        <f>IF('Data Validation'!A28&gt;0,"Return to Federal tab and answer all Y/N questions",IF(AND('Data Validation'!A28=0,'Data Validation'!A20&gt;0),"does","does not"))</f>
        <v>Return to Federal tab and answer all Y/N questions</v>
      </c>
      <c r="E13" s="1213" t="str">
        <f>IF('Federal standards'!N48="Choose Y/N","Return to Federal tab and answer all Y/N questions",IF('Federal standards'!N48="Yes","does",IF('Federal standards'!N48="No","does not")))</f>
        <v>Return to Federal tab and answer all Y/N questions</v>
      </c>
      <c r="F13" s="1207"/>
      <c r="G13" s="1204"/>
      <c r="H13" s="1204"/>
      <c r="I13" s="1204"/>
    </row>
    <row r="14" spans="2:9" s="26" customFormat="1" ht="15" customHeight="1" x14ac:dyDescent="0.2">
      <c r="B14" s="1213"/>
      <c r="C14" s="1213"/>
      <c r="D14" s="1213"/>
      <c r="E14" s="1213"/>
      <c r="F14" s="1207"/>
      <c r="G14" s="1204"/>
      <c r="H14" s="1204"/>
      <c r="I14" s="1204"/>
    </row>
    <row r="15" spans="2:9" s="26" customFormat="1" ht="15" customHeight="1" x14ac:dyDescent="0.2">
      <c r="B15" s="1213"/>
      <c r="C15" s="1213"/>
      <c r="D15" s="1213"/>
      <c r="E15" s="1213"/>
      <c r="F15" s="1207"/>
      <c r="G15" s="1204"/>
      <c r="H15" s="1204"/>
      <c r="I15" s="1204"/>
    </row>
    <row r="16" spans="2:9" s="26" customFormat="1" ht="15" customHeight="1" x14ac:dyDescent="0.2">
      <c r="B16" s="1187" t="s">
        <v>287</v>
      </c>
      <c r="C16" s="1187" t="s">
        <v>288</v>
      </c>
      <c r="D16" s="1187" t="s">
        <v>289</v>
      </c>
      <c r="E16" s="1187" t="s">
        <v>289</v>
      </c>
      <c r="F16" s="1207"/>
      <c r="G16" s="1204"/>
      <c r="H16" s="1204"/>
      <c r="I16" s="1204"/>
    </row>
    <row r="17" spans="1:21" s="26" customFormat="1" ht="15" customHeight="1" x14ac:dyDescent="0.2">
      <c r="B17" s="1188"/>
      <c r="C17" s="1188"/>
      <c r="D17" s="1188"/>
      <c r="E17" s="1188"/>
      <c r="F17" s="1208"/>
      <c r="G17" s="1209"/>
      <c r="H17" s="1209"/>
      <c r="I17" s="1209"/>
    </row>
    <row r="18" spans="1:21" s="26" customFormat="1" ht="15" customHeight="1" x14ac:dyDescent="0.2">
      <c r="B18" s="1224" t="s">
        <v>323</v>
      </c>
      <c r="C18" s="1227" t="s">
        <v>324</v>
      </c>
      <c r="D18" s="1227" t="s">
        <v>618</v>
      </c>
      <c r="E18" s="1227" t="s">
        <v>325</v>
      </c>
      <c r="F18" s="1189" t="s">
        <v>519</v>
      </c>
      <c r="G18" s="1231"/>
      <c r="H18" s="1184" t="s">
        <v>420</v>
      </c>
      <c r="I18" s="1189" t="s">
        <v>81</v>
      </c>
    </row>
    <row r="19" spans="1:21" s="26" customFormat="1" ht="15" customHeight="1" x14ac:dyDescent="0.2">
      <c r="B19" s="1225"/>
      <c r="C19" s="1228"/>
      <c r="D19" s="1228"/>
      <c r="E19" s="1228"/>
      <c r="F19" s="1190"/>
      <c r="G19" s="1232"/>
      <c r="H19" s="1185"/>
      <c r="I19" s="1190"/>
    </row>
    <row r="20" spans="1:21" s="26" customFormat="1" ht="15" customHeight="1" x14ac:dyDescent="0.2">
      <c r="B20" s="1226"/>
      <c r="C20" s="1229"/>
      <c r="D20" s="1229"/>
      <c r="E20" s="1229"/>
      <c r="F20" s="1191"/>
      <c r="G20" s="1233"/>
      <c r="H20" s="1186"/>
      <c r="I20" s="1191"/>
    </row>
    <row r="21" spans="1:21" s="26" customFormat="1" ht="15" customHeight="1" x14ac:dyDescent="0.2">
      <c r="B21" s="778" t="s">
        <v>76</v>
      </c>
      <c r="C21" s="323" t="s">
        <v>68</v>
      </c>
      <c r="D21" s="323" t="s">
        <v>76</v>
      </c>
      <c r="E21" s="1192" t="s">
        <v>279</v>
      </c>
      <c r="F21" s="1195" t="s">
        <v>520</v>
      </c>
      <c r="G21" s="1195"/>
      <c r="H21" s="324" t="s">
        <v>68</v>
      </c>
      <c r="I21" s="507" t="s">
        <v>68</v>
      </c>
    </row>
    <row r="22" spans="1:21" s="26" customFormat="1" ht="15" customHeight="1" x14ac:dyDescent="0.2">
      <c r="B22" s="779" t="s">
        <v>76</v>
      </c>
      <c r="C22" s="323" t="s">
        <v>68</v>
      </c>
      <c r="D22" s="323" t="s">
        <v>77</v>
      </c>
      <c r="E22" s="1193"/>
      <c r="F22" s="1195" t="s">
        <v>78</v>
      </c>
      <c r="G22" s="1195"/>
      <c r="H22" s="1196" t="s">
        <v>79</v>
      </c>
      <c r="I22" s="1196" t="s">
        <v>798</v>
      </c>
    </row>
    <row r="23" spans="1:21" s="26" customFormat="1" ht="15" customHeight="1" x14ac:dyDescent="0.2">
      <c r="B23" s="508" t="s">
        <v>77</v>
      </c>
      <c r="C23" s="324" t="s">
        <v>76</v>
      </c>
      <c r="D23" s="323" t="s">
        <v>76</v>
      </c>
      <c r="E23" s="1193"/>
      <c r="F23" s="1195" t="s">
        <v>80</v>
      </c>
      <c r="G23" s="1195"/>
      <c r="H23" s="1197"/>
      <c r="I23" s="1197"/>
    </row>
    <row r="24" spans="1:21" s="26" customFormat="1" ht="15" customHeight="1" x14ac:dyDescent="0.2">
      <c r="B24" s="508" t="s">
        <v>77</v>
      </c>
      <c r="C24" s="324" t="s">
        <v>76</v>
      </c>
      <c r="D24" s="323" t="s">
        <v>77</v>
      </c>
      <c r="E24" s="1193"/>
      <c r="F24" s="1195" t="s">
        <v>80</v>
      </c>
      <c r="G24" s="1195"/>
      <c r="H24" s="1198"/>
      <c r="I24" s="1198"/>
    </row>
    <row r="25" spans="1:21" s="26" customFormat="1" ht="15" customHeight="1" x14ac:dyDescent="0.2">
      <c r="B25" s="508" t="s">
        <v>77</v>
      </c>
      <c r="C25" s="324" t="s">
        <v>77</v>
      </c>
      <c r="D25" s="323" t="s">
        <v>76</v>
      </c>
      <c r="E25" s="1193"/>
      <c r="F25" s="1195" t="s">
        <v>521</v>
      </c>
      <c r="G25" s="1195"/>
      <c r="H25" s="1230" t="s">
        <v>522</v>
      </c>
      <c r="I25" s="1230" t="s">
        <v>874</v>
      </c>
    </row>
    <row r="26" spans="1:21" s="26" customFormat="1" ht="15" customHeight="1" x14ac:dyDescent="0.2">
      <c r="B26" s="508" t="s">
        <v>77</v>
      </c>
      <c r="C26" s="324" t="s">
        <v>77</v>
      </c>
      <c r="D26" s="323" t="s">
        <v>77</v>
      </c>
      <c r="E26" s="1194"/>
      <c r="F26" s="1195" t="s">
        <v>521</v>
      </c>
      <c r="G26" s="1195"/>
      <c r="H26" s="1230"/>
      <c r="I26" s="1230"/>
    </row>
    <row r="27" spans="1:21" s="26" customFormat="1" ht="15" customHeight="1" x14ac:dyDescent="0.2">
      <c r="B27" s="1180" t="s">
        <v>621</v>
      </c>
      <c r="C27" s="1180"/>
      <c r="D27" s="1180"/>
      <c r="E27" s="1180"/>
      <c r="F27" s="1180"/>
      <c r="G27" s="1180"/>
      <c r="H27" s="1182" t="s">
        <v>603</v>
      </c>
      <c r="I27" s="1182"/>
    </row>
    <row r="28" spans="1:21" s="26" customFormat="1" ht="15" customHeight="1" x14ac:dyDescent="0.2">
      <c r="B28" s="1181"/>
      <c r="C28" s="1181"/>
      <c r="D28" s="1181"/>
      <c r="E28" s="1181"/>
      <c r="F28" s="1181"/>
      <c r="G28" s="1181"/>
      <c r="H28" s="1183"/>
      <c r="I28" s="1183"/>
    </row>
    <row r="29" spans="1:21" s="513" customFormat="1" ht="14.25" x14ac:dyDescent="0.2">
      <c r="A29" s="140"/>
      <c r="B29" s="509"/>
      <c r="C29" s="509"/>
      <c r="D29" s="510"/>
      <c r="E29" s="500"/>
      <c r="F29" s="509"/>
      <c r="G29" s="509"/>
      <c r="H29" s="511"/>
      <c r="I29" s="511"/>
      <c r="J29" s="512"/>
      <c r="K29" s="512"/>
      <c r="L29" s="512"/>
      <c r="M29" s="512"/>
      <c r="N29" s="512"/>
      <c r="O29" s="512"/>
      <c r="P29" s="512"/>
      <c r="Q29" s="512"/>
      <c r="R29" s="512"/>
      <c r="S29" s="512"/>
      <c r="T29" s="512"/>
      <c r="U29" s="512"/>
    </row>
    <row r="30" spans="1:21" s="26" customFormat="1" ht="15" customHeight="1" x14ac:dyDescent="0.2">
      <c r="B30" s="1200" t="s">
        <v>523</v>
      </c>
      <c r="C30" s="1200"/>
      <c r="D30" s="1201" t="s">
        <v>460</v>
      </c>
      <c r="E30" s="1201"/>
      <c r="F30" s="514"/>
      <c r="G30" s="514"/>
      <c r="H30" s="514"/>
      <c r="I30" s="514"/>
      <c r="J30" s="420"/>
      <c r="K30" s="420"/>
      <c r="L30" s="420"/>
      <c r="M30" s="420"/>
      <c r="N30" s="420"/>
      <c r="O30" s="420"/>
      <c r="P30" s="420"/>
      <c r="Q30" s="420"/>
      <c r="R30" s="420"/>
      <c r="S30" s="420"/>
      <c r="T30" s="420"/>
      <c r="U30" s="420"/>
    </row>
    <row r="31" spans="1:21" s="26" customFormat="1" ht="15" customHeight="1" x14ac:dyDescent="0.2">
      <c r="B31" s="515" t="s">
        <v>524</v>
      </c>
      <c r="C31" s="1202" t="s">
        <v>525</v>
      </c>
      <c r="D31" s="1202"/>
      <c r="E31" s="1202"/>
      <c r="F31" s="1202"/>
      <c r="G31" s="1202"/>
      <c r="H31" s="1202"/>
      <c r="I31" s="1202"/>
      <c r="J31" s="420"/>
      <c r="K31" s="420"/>
      <c r="L31" s="420"/>
      <c r="M31" s="420"/>
      <c r="N31" s="420"/>
      <c r="O31" s="420"/>
      <c r="P31" s="420"/>
      <c r="Q31" s="420"/>
      <c r="R31" s="420"/>
      <c r="S31" s="420"/>
      <c r="T31" s="420"/>
      <c r="U31" s="420"/>
    </row>
    <row r="32" spans="1:21" s="26" customFormat="1" ht="15" customHeight="1" x14ac:dyDescent="0.2">
      <c r="B32" s="515" t="s">
        <v>526</v>
      </c>
      <c r="C32" s="1202" t="s">
        <v>527</v>
      </c>
      <c r="D32" s="1202"/>
      <c r="E32" s="1202"/>
      <c r="F32" s="1202"/>
      <c r="G32" s="1202"/>
      <c r="H32" s="1202"/>
      <c r="I32" s="1202"/>
      <c r="J32" s="420"/>
      <c r="K32" s="420"/>
      <c r="L32" s="420"/>
      <c r="M32" s="420"/>
      <c r="N32" s="420"/>
      <c r="O32" s="420"/>
      <c r="P32" s="420"/>
      <c r="Q32" s="420"/>
      <c r="R32" s="420"/>
      <c r="S32" s="420"/>
      <c r="T32" s="420"/>
      <c r="U32" s="420"/>
    </row>
    <row r="33" spans="1:21" x14ac:dyDescent="0.25">
      <c r="A33" s="26"/>
      <c r="B33" s="515" t="s">
        <v>528</v>
      </c>
      <c r="C33" s="1068" t="s">
        <v>529</v>
      </c>
      <c r="D33" s="1068"/>
      <c r="E33" s="1068"/>
      <c r="F33" s="1068"/>
      <c r="G33" s="1068"/>
      <c r="H33" s="1068"/>
      <c r="I33" s="1068"/>
      <c r="J33" s="140"/>
      <c r="K33" s="140"/>
      <c r="L33" s="140"/>
      <c r="M33" s="140"/>
      <c r="N33" s="140"/>
      <c r="O33" s="140"/>
      <c r="P33" s="140"/>
      <c r="Q33" s="140"/>
      <c r="R33" s="140"/>
      <c r="S33" s="140"/>
      <c r="T33" s="140"/>
      <c r="U33" s="140"/>
    </row>
    <row r="34" spans="1:21" x14ac:dyDescent="0.25">
      <c r="A34" s="26"/>
      <c r="B34" s="515"/>
      <c r="C34" s="1068"/>
      <c r="D34" s="1068"/>
      <c r="E34" s="1068"/>
      <c r="F34" s="1068"/>
      <c r="G34" s="1068"/>
      <c r="H34" s="1068"/>
      <c r="I34" s="1068"/>
      <c r="J34" s="140"/>
      <c r="K34" s="140"/>
      <c r="L34" s="140"/>
      <c r="M34" s="140"/>
      <c r="N34" s="140"/>
      <c r="O34" s="140"/>
      <c r="P34" s="140"/>
      <c r="Q34" s="140"/>
      <c r="R34" s="140"/>
      <c r="S34" s="140"/>
      <c r="T34" s="140"/>
      <c r="U34" s="140"/>
    </row>
    <row r="35" spans="1:21" x14ac:dyDescent="0.25">
      <c r="A35" s="26"/>
      <c r="B35" s="1199" t="s">
        <v>530</v>
      </c>
      <c r="C35" s="1199"/>
      <c r="D35" s="1199"/>
      <c r="E35" s="1199"/>
      <c r="F35" s="1199"/>
      <c r="G35" s="1199"/>
      <c r="H35" s="1199"/>
      <c r="I35" s="1199"/>
      <c r="J35" s="140"/>
      <c r="K35" s="140"/>
      <c r="L35" s="140"/>
      <c r="M35" s="140"/>
      <c r="N35" s="140"/>
      <c r="O35" s="140"/>
      <c r="P35" s="140"/>
      <c r="Q35" s="140"/>
      <c r="R35" s="140"/>
      <c r="S35" s="140"/>
      <c r="T35" s="140"/>
      <c r="U35" s="140"/>
    </row>
    <row r="36" spans="1:21" x14ac:dyDescent="0.25">
      <c r="A36" s="26"/>
      <c r="B36" s="1199"/>
      <c r="C36" s="1199"/>
      <c r="D36" s="1199"/>
      <c r="E36" s="1199"/>
      <c r="F36" s="1199"/>
      <c r="G36" s="1199"/>
      <c r="H36" s="1199"/>
      <c r="I36" s="1199"/>
      <c r="J36" s="140"/>
      <c r="K36" s="140"/>
      <c r="L36" s="140"/>
      <c r="M36" s="140"/>
      <c r="N36" s="140"/>
      <c r="O36" s="140"/>
      <c r="P36" s="140"/>
      <c r="Q36" s="140"/>
      <c r="R36" s="140"/>
      <c r="S36" s="140"/>
      <c r="T36" s="140"/>
      <c r="U36" s="140"/>
    </row>
    <row r="37" spans="1:21" x14ac:dyDescent="0.25">
      <c r="A37" s="26"/>
      <c r="B37" s="1199"/>
      <c r="C37" s="1199"/>
      <c r="D37" s="1199"/>
      <c r="E37" s="1199"/>
      <c r="F37" s="1199"/>
      <c r="G37" s="1199"/>
      <c r="H37" s="1199"/>
      <c r="I37" s="1199"/>
      <c r="J37" s="140"/>
      <c r="K37" s="140"/>
      <c r="L37" s="140"/>
      <c r="M37" s="140"/>
      <c r="N37" s="140"/>
      <c r="O37" s="140"/>
      <c r="P37" s="140"/>
      <c r="Q37" s="140"/>
      <c r="R37" s="140"/>
      <c r="S37" s="140"/>
      <c r="T37" s="140"/>
      <c r="U37" s="140"/>
    </row>
    <row r="38" spans="1:21" ht="15" customHeight="1" x14ac:dyDescent="0.25">
      <c r="A38" s="47"/>
      <c r="B38" s="1222" t="s">
        <v>531</v>
      </c>
      <c r="C38" s="1222"/>
      <c r="D38" s="1222"/>
      <c r="E38" s="1222"/>
      <c r="F38" s="1222"/>
      <c r="G38" s="1222"/>
      <c r="H38" s="1222"/>
      <c r="I38" s="1222"/>
      <c r="J38" s="140"/>
      <c r="K38" s="140"/>
      <c r="L38" s="140"/>
      <c r="M38" s="140"/>
      <c r="N38" s="140"/>
      <c r="O38" s="140"/>
      <c r="P38" s="140"/>
      <c r="Q38" s="140"/>
      <c r="R38" s="140"/>
      <c r="S38" s="140"/>
      <c r="T38" s="140"/>
      <c r="U38" s="140"/>
    </row>
    <row r="39" spans="1:21" x14ac:dyDescent="0.25">
      <c r="A39" s="26"/>
      <c r="B39" s="651"/>
      <c r="C39" s="651"/>
      <c r="D39" s="651"/>
      <c r="E39" s="651"/>
      <c r="F39" s="651"/>
      <c r="G39" s="651"/>
      <c r="H39" s="651"/>
      <c r="I39" s="651"/>
      <c r="J39" s="140"/>
      <c r="K39" s="140"/>
      <c r="L39" s="140"/>
      <c r="M39" s="140"/>
      <c r="N39" s="140"/>
      <c r="O39" s="140"/>
      <c r="P39" s="140"/>
      <c r="Q39" s="140"/>
      <c r="R39" s="140"/>
      <c r="S39" s="140"/>
      <c r="T39" s="140"/>
      <c r="U39" s="140"/>
    </row>
    <row r="40" spans="1:21" s="26" customFormat="1" ht="15" customHeight="1" x14ac:dyDescent="0.2">
      <c r="B40" s="1200" t="s">
        <v>326</v>
      </c>
      <c r="C40" s="1200"/>
      <c r="D40" s="1200"/>
      <c r="E40" s="1200"/>
      <c r="F40" s="646"/>
    </row>
    <row r="41" spans="1:21" s="26" customFormat="1" ht="15" customHeight="1" x14ac:dyDescent="0.2">
      <c r="B41" s="1223" t="s">
        <v>327</v>
      </c>
      <c r="C41" s="1223"/>
      <c r="D41" s="1223"/>
      <c r="E41" s="1223"/>
      <c r="F41" s="1223"/>
    </row>
    <row r="42" spans="1:21" s="26" customFormat="1" ht="15" customHeight="1" x14ac:dyDescent="0.2">
      <c r="B42" s="1234" t="s">
        <v>208</v>
      </c>
      <c r="C42" s="1234"/>
      <c r="D42" s="1234"/>
      <c r="E42" s="1234"/>
      <c r="F42" s="1234"/>
    </row>
    <row r="43" spans="1:21" s="26" customFormat="1" ht="15" customHeight="1" x14ac:dyDescent="0.2">
      <c r="B43" s="1234" t="s">
        <v>209</v>
      </c>
      <c r="C43" s="1234"/>
      <c r="D43" s="1234"/>
      <c r="E43" s="1234"/>
      <c r="F43" s="325"/>
    </row>
    <row r="44" spans="1:21" s="26" customFormat="1" ht="15" customHeight="1" x14ac:dyDescent="0.2">
      <c r="B44" s="1234" t="s">
        <v>210</v>
      </c>
      <c r="C44" s="1234"/>
      <c r="D44" s="1234"/>
      <c r="E44" s="1234"/>
      <c r="F44" s="325"/>
    </row>
    <row r="45" spans="1:21" s="26" customFormat="1" ht="15" customHeight="1" x14ac:dyDescent="0.2">
      <c r="B45" s="325"/>
      <c r="C45" s="325"/>
      <c r="D45" s="325"/>
      <c r="E45" s="325"/>
      <c r="F45" s="325"/>
    </row>
    <row r="46" spans="1:21" s="26" customFormat="1" ht="14.25" x14ac:dyDescent="0.2">
      <c r="B46" s="1223" t="s">
        <v>211</v>
      </c>
      <c r="C46" s="1223"/>
      <c r="D46" s="1223"/>
      <c r="E46" s="1223"/>
      <c r="F46" s="1223"/>
      <c r="G46" s="1223"/>
      <c r="H46" s="1223"/>
      <c r="I46" s="1223"/>
    </row>
    <row r="47" spans="1:21" s="26" customFormat="1" ht="15" customHeight="1" x14ac:dyDescent="0.2">
      <c r="B47" s="1219" t="s">
        <v>212</v>
      </c>
      <c r="C47" s="1219"/>
      <c r="D47" s="1219"/>
      <c r="E47" s="1219"/>
      <c r="F47" s="1219"/>
    </row>
    <row r="48" spans="1:21" s="26" customFormat="1" ht="15" customHeight="1" x14ac:dyDescent="0.2">
      <c r="B48" s="1220" t="s">
        <v>213</v>
      </c>
      <c r="C48" s="1220"/>
      <c r="D48" s="1220"/>
      <c r="E48" s="1220"/>
      <c r="F48" s="1220"/>
    </row>
    <row r="49" spans="2:6" s="26" customFormat="1" ht="15" customHeight="1" x14ac:dyDescent="0.2">
      <c r="B49" s="1219" t="s">
        <v>876</v>
      </c>
      <c r="C49" s="1219"/>
      <c r="D49" s="1219"/>
      <c r="E49" s="1219"/>
      <c r="F49" s="1219"/>
    </row>
    <row r="50" spans="2:6" s="26" customFormat="1" ht="15" customHeight="1" x14ac:dyDescent="0.2">
      <c r="B50" s="1221"/>
      <c r="C50" s="1221"/>
      <c r="D50" s="1221"/>
      <c r="E50" s="1221"/>
      <c r="F50" s="1221"/>
    </row>
    <row r="51" spans="2:6" s="26" customFormat="1" ht="15" customHeight="1" x14ac:dyDescent="0.2">
      <c r="B51" s="1217" t="s">
        <v>328</v>
      </c>
      <c r="C51" s="1217"/>
      <c r="D51" s="1218" t="s">
        <v>101</v>
      </c>
      <c r="E51" s="1218"/>
      <c r="F51" s="1218"/>
    </row>
    <row r="52" spans="2:6" s="26" customFormat="1" ht="15" customHeight="1" x14ac:dyDescent="0.2">
      <c r="B52" s="47"/>
      <c r="C52" s="47"/>
      <c r="D52" s="47"/>
      <c r="E52" s="47"/>
      <c r="F52" s="47"/>
    </row>
    <row r="53" spans="2:6" s="26" customFormat="1" ht="15" customHeight="1" x14ac:dyDescent="0.2"/>
    <row r="54" spans="2:6" ht="15" customHeight="1" x14ac:dyDescent="0.25"/>
    <row r="55" spans="2:6" ht="15" customHeight="1" x14ac:dyDescent="0.25"/>
    <row r="56" spans="2:6" ht="15" customHeight="1" x14ac:dyDescent="0.25"/>
    <row r="57" spans="2:6" ht="15" customHeight="1" x14ac:dyDescent="0.25"/>
    <row r="58" spans="2:6" ht="15" customHeight="1" x14ac:dyDescent="0.25"/>
    <row r="59" spans="2:6" ht="15" customHeight="1" x14ac:dyDescent="0.25"/>
    <row r="60" spans="2:6" ht="15" customHeight="1" x14ac:dyDescent="0.25"/>
    <row r="61" spans="2:6" ht="15" customHeight="1" x14ac:dyDescent="0.25"/>
    <row r="62" spans="2:6" ht="15" customHeight="1" x14ac:dyDescent="0.25"/>
    <row r="63" spans="2:6" ht="15" customHeight="1" x14ac:dyDescent="0.25"/>
    <row r="64" spans="2:6"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sheetData>
  <protectedRanges>
    <protectedRange sqref="G1:AZ26 G28:AZ1048576 G27 I27:AZ27" name="Range2"/>
    <protectedRange sqref="A53:F190" name="Written"/>
  </protectedRanges>
  <mergeCells count="59">
    <mergeCell ref="B40:C40"/>
    <mergeCell ref="D40:E40"/>
    <mergeCell ref="B38:I38"/>
    <mergeCell ref="B46:I46"/>
    <mergeCell ref="B18:B20"/>
    <mergeCell ref="C18:C20"/>
    <mergeCell ref="E18:E20"/>
    <mergeCell ref="I25:I26"/>
    <mergeCell ref="F26:G26"/>
    <mergeCell ref="F18:G20"/>
    <mergeCell ref="H25:H26"/>
    <mergeCell ref="D18:D20"/>
    <mergeCell ref="B41:F41"/>
    <mergeCell ref="B42:F42"/>
    <mergeCell ref="B43:E43"/>
    <mergeCell ref="B44:E44"/>
    <mergeCell ref="B51:C51"/>
    <mergeCell ref="D51:F51"/>
    <mergeCell ref="B47:F47"/>
    <mergeCell ref="B48:F48"/>
    <mergeCell ref="B49:F49"/>
    <mergeCell ref="B50:F50"/>
    <mergeCell ref="B2:I2"/>
    <mergeCell ref="B9:E9"/>
    <mergeCell ref="F9:I17"/>
    <mergeCell ref="B10:E10"/>
    <mergeCell ref="B11:B12"/>
    <mergeCell ref="B6:I7"/>
    <mergeCell ref="E13:E15"/>
    <mergeCell ref="B3:I5"/>
    <mergeCell ref="B8:I8"/>
    <mergeCell ref="C11:C12"/>
    <mergeCell ref="D11:D12"/>
    <mergeCell ref="E11:E12"/>
    <mergeCell ref="B13:B15"/>
    <mergeCell ref="C13:C15"/>
    <mergeCell ref="D13:D15"/>
    <mergeCell ref="C33:I34"/>
    <mergeCell ref="B35:I37"/>
    <mergeCell ref="B30:C30"/>
    <mergeCell ref="D30:E30"/>
    <mergeCell ref="C31:I31"/>
    <mergeCell ref="C32:I32"/>
    <mergeCell ref="B27:G28"/>
    <mergeCell ref="H27:I28"/>
    <mergeCell ref="H18:H20"/>
    <mergeCell ref="B16:B17"/>
    <mergeCell ref="C16:C17"/>
    <mergeCell ref="D16:D17"/>
    <mergeCell ref="E16:E17"/>
    <mergeCell ref="I18:I20"/>
    <mergeCell ref="E21:E26"/>
    <mergeCell ref="F21:G21"/>
    <mergeCell ref="F22:G22"/>
    <mergeCell ref="H22:H24"/>
    <mergeCell ref="I22:I24"/>
    <mergeCell ref="F23:G23"/>
    <mergeCell ref="F24:G24"/>
    <mergeCell ref="F25:G25"/>
  </mergeCells>
  <conditionalFormatting sqref="B21:B22">
    <cfRule type="expression" dxfId="15" priority="8">
      <formula>$B$13="do not"</formula>
    </cfRule>
  </conditionalFormatting>
  <conditionalFormatting sqref="B23:B27">
    <cfRule type="expression" dxfId="14" priority="7">
      <formula>$B$13="do"</formula>
    </cfRule>
  </conditionalFormatting>
  <conditionalFormatting sqref="C21:C24">
    <cfRule type="expression" dxfId="13" priority="9">
      <formula>$C$13="do not"</formula>
    </cfRule>
  </conditionalFormatting>
  <conditionalFormatting sqref="C25:C26">
    <cfRule type="expression" dxfId="12" priority="10">
      <formula>$C$13="do"</formula>
    </cfRule>
  </conditionalFormatting>
  <conditionalFormatting sqref="D21 D23 D25">
    <cfRule type="expression" dxfId="11" priority="11">
      <formula>$D$13="does not"</formula>
    </cfRule>
  </conditionalFormatting>
  <conditionalFormatting sqref="D22 D24 D26">
    <cfRule type="expression" dxfId="10" priority="12">
      <formula>$D$13="does"</formula>
    </cfRule>
  </conditionalFormatting>
  <conditionalFormatting sqref="E21">
    <cfRule type="expression" dxfId="9" priority="122" stopIfTrue="1">
      <formula>AND(#REF!=#REF!,#REF!=#REF!,$E21=$O$41)</formula>
    </cfRule>
  </conditionalFormatting>
  <conditionalFormatting sqref="F21:G21">
    <cfRule type="expression" dxfId="8" priority="6">
      <formula>AND($B$13="do not",$D$13="does not")</formula>
    </cfRule>
  </conditionalFormatting>
  <conditionalFormatting sqref="F22:G22">
    <cfRule type="expression" dxfId="7" priority="5">
      <formula>AND($B$13="do not",$D$13="does")</formula>
    </cfRule>
  </conditionalFormatting>
  <conditionalFormatting sqref="F23:G23">
    <cfRule type="expression" dxfId="6" priority="4">
      <formula>AND($C$13="do not",AND($B$13="do",$D$13="does not"))</formula>
    </cfRule>
  </conditionalFormatting>
  <conditionalFormatting sqref="F24:G24">
    <cfRule type="expression" dxfId="5" priority="3">
      <formula>AND($C$13="do not",AND($B$13="do",$D$13="does"))</formula>
    </cfRule>
  </conditionalFormatting>
  <conditionalFormatting sqref="F25:G25">
    <cfRule type="expression" dxfId="4" priority="2">
      <formula>AND($C$13="do",AND($B$13="do",$D$13="does not"))</formula>
    </cfRule>
  </conditionalFormatting>
  <conditionalFormatting sqref="F26:G26">
    <cfRule type="expression" dxfId="3" priority="1">
      <formula>AND($C$13="do",AND($B$13="do",$D$13="does"))</formula>
    </cfRule>
  </conditionalFormatting>
  <hyperlinks>
    <hyperlink ref="B47" r:id="rId1" location="screen3" xr:uid="{00000000-0004-0000-0B00-000000000000}"/>
    <hyperlink ref="D51" r:id="rId2" xr:uid="{00000000-0004-0000-0B00-000001000000}"/>
    <hyperlink ref="B49" r:id="rId3" display="https://www.pca.state.mn.us/sites/default/files/aq-f1-ec03.doc" xr:uid="{00000000-0004-0000-0B00-000002000000}"/>
    <hyperlink ref="I22:I24" r:id="rId4" location=":~:text=Registration%20permit%20application%20forms" display="Application Forms, scroll to Registration section" xr:uid="{00000000-0004-0000-0B00-000003000000}"/>
    <hyperlink ref="I25:I26" r:id="rId5" display="Application Forms" xr:uid="{00000000-0004-0000-0B00-000004000000}"/>
    <hyperlink ref="H22:H24" r:id="rId6" display="Info about Air Registration Permits" xr:uid="{00000000-0004-0000-0B00-000005000000}"/>
    <hyperlink ref="H25:H26" r:id="rId7" display="Info about Air Permits" xr:uid="{00000000-0004-0000-0B00-000006000000}"/>
    <hyperlink ref="D30:E30" r:id="rId8" display="Minn. R. 7007.1300 subp. 3" xr:uid="{00000000-0004-0000-0B00-000007000000}"/>
    <hyperlink ref="H27" r:id="rId9" xr:uid="{00000000-0004-0000-0B00-000008000000}"/>
    <hyperlink ref="B49:F49" r:id="rId10" display="https://www.pca.state.mn.us/sites/default/files/aq-f1-ec03.docx" xr:uid="{C6DB58A7-0F50-454B-A97B-E86C147BE567}"/>
  </hyperlinks>
  <pageMargins left="0.25" right="0.25" top="0.5" bottom="0.5" header="0.3" footer="0.3"/>
  <pageSetup scale="88" orientation="landscape" r:id="rId1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1" manualBreakCount="1">
    <brk id="38" min="1"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0" tint="-0.249977111117893"/>
  </sheetPr>
  <dimension ref="A1:Q103"/>
  <sheetViews>
    <sheetView showGridLines="0" zoomScale="85" zoomScaleNormal="85" workbookViewId="0"/>
  </sheetViews>
  <sheetFormatPr defaultRowHeight="15" customHeight="1" x14ac:dyDescent="0.2"/>
  <cols>
    <col min="1" max="1" width="45.42578125" style="333" customWidth="1"/>
    <col min="2" max="9" width="24.5703125" style="333" customWidth="1"/>
    <col min="10" max="10" width="1.5703125" style="333" customWidth="1"/>
    <col min="11" max="11" width="29.5703125" style="333" customWidth="1"/>
    <col min="12" max="12" width="26.42578125" style="333" customWidth="1"/>
    <col min="13" max="13" width="42.42578125" style="333" customWidth="1"/>
    <col min="14" max="14" width="26.42578125" style="333" customWidth="1"/>
    <col min="15" max="15" width="42.42578125" style="333" customWidth="1"/>
    <col min="16" max="253" width="9.42578125" style="333"/>
    <col min="254" max="254" width="17.42578125" style="333" customWidth="1"/>
    <col min="255" max="256" width="20.5703125" style="333" customWidth="1"/>
    <col min="257" max="257" width="26" style="333" bestFit="1" customWidth="1"/>
    <col min="258" max="258" width="21.42578125" style="333" bestFit="1" customWidth="1"/>
    <col min="259" max="259" width="20.42578125" style="333" bestFit="1" customWidth="1"/>
    <col min="260" max="260" width="22.42578125" style="333" bestFit="1" customWidth="1"/>
    <col min="261" max="261" width="25.42578125" style="333" customWidth="1"/>
    <col min="262" max="262" width="14.5703125" style="333" customWidth="1"/>
    <col min="263" max="263" width="11.5703125" style="333" customWidth="1"/>
    <col min="264" max="264" width="12.5703125" style="333" customWidth="1"/>
    <col min="265" max="265" width="13" style="333" customWidth="1"/>
    <col min="266" max="509" width="9.42578125" style="333"/>
    <col min="510" max="510" width="17.42578125" style="333" customWidth="1"/>
    <col min="511" max="512" width="20.5703125" style="333" customWidth="1"/>
    <col min="513" max="513" width="26" style="333" bestFit="1" customWidth="1"/>
    <col min="514" max="514" width="21.42578125" style="333" bestFit="1" customWidth="1"/>
    <col min="515" max="515" width="20.42578125" style="333" bestFit="1" customWidth="1"/>
    <col min="516" max="516" width="22.42578125" style="333" bestFit="1" customWidth="1"/>
    <col min="517" max="517" width="25.42578125" style="333" customWidth="1"/>
    <col min="518" max="518" width="14.5703125" style="333" customWidth="1"/>
    <col min="519" max="519" width="11.5703125" style="333" customWidth="1"/>
    <col min="520" max="520" width="12.5703125" style="333" customWidth="1"/>
    <col min="521" max="521" width="13" style="333" customWidth="1"/>
    <col min="522" max="765" width="9.42578125" style="333"/>
    <col min="766" max="766" width="17.42578125" style="333" customWidth="1"/>
    <col min="767" max="768" width="20.5703125" style="333" customWidth="1"/>
    <col min="769" max="769" width="26" style="333" bestFit="1" customWidth="1"/>
    <col min="770" max="770" width="21.42578125" style="333" bestFit="1" customWidth="1"/>
    <col min="771" max="771" width="20.42578125" style="333" bestFit="1" customWidth="1"/>
    <col min="772" max="772" width="22.42578125" style="333" bestFit="1" customWidth="1"/>
    <col min="773" max="773" width="25.42578125" style="333" customWidth="1"/>
    <col min="774" max="774" width="14.5703125" style="333" customWidth="1"/>
    <col min="775" max="775" width="11.5703125" style="333" customWidth="1"/>
    <col min="776" max="776" width="12.5703125" style="333" customWidth="1"/>
    <col min="777" max="777" width="13" style="333" customWidth="1"/>
    <col min="778" max="1021" width="9.42578125" style="333"/>
    <col min="1022" max="1022" width="17.42578125" style="333" customWidth="1"/>
    <col min="1023" max="1024" width="20.5703125" style="333" customWidth="1"/>
    <col min="1025" max="1025" width="26" style="333" bestFit="1" customWidth="1"/>
    <col min="1026" max="1026" width="21.42578125" style="333" bestFit="1" customWidth="1"/>
    <col min="1027" max="1027" width="20.42578125" style="333" bestFit="1" customWidth="1"/>
    <col min="1028" max="1028" width="22.42578125" style="333" bestFit="1" customWidth="1"/>
    <col min="1029" max="1029" width="25.42578125" style="333" customWidth="1"/>
    <col min="1030" max="1030" width="14.5703125" style="333" customWidth="1"/>
    <col min="1031" max="1031" width="11.5703125" style="333" customWidth="1"/>
    <col min="1032" max="1032" width="12.5703125" style="333" customWidth="1"/>
    <col min="1033" max="1033" width="13" style="333" customWidth="1"/>
    <col min="1034" max="1277" width="9.42578125" style="333"/>
    <col min="1278" max="1278" width="17.42578125" style="333" customWidth="1"/>
    <col min="1279" max="1280" width="20.5703125" style="333" customWidth="1"/>
    <col min="1281" max="1281" width="26" style="333" bestFit="1" customWidth="1"/>
    <col min="1282" max="1282" width="21.42578125" style="333" bestFit="1" customWidth="1"/>
    <col min="1283" max="1283" width="20.42578125" style="333" bestFit="1" customWidth="1"/>
    <col min="1284" max="1284" width="22.42578125" style="333" bestFit="1" customWidth="1"/>
    <col min="1285" max="1285" width="25.42578125" style="333" customWidth="1"/>
    <col min="1286" max="1286" width="14.5703125" style="333" customWidth="1"/>
    <col min="1287" max="1287" width="11.5703125" style="333" customWidth="1"/>
    <col min="1288" max="1288" width="12.5703125" style="333" customWidth="1"/>
    <col min="1289" max="1289" width="13" style="333" customWidth="1"/>
    <col min="1290" max="1533" width="9.42578125" style="333"/>
    <col min="1534" max="1534" width="17.42578125" style="333" customWidth="1"/>
    <col min="1535" max="1536" width="20.5703125" style="333" customWidth="1"/>
    <col min="1537" max="1537" width="26" style="333" bestFit="1" customWidth="1"/>
    <col min="1538" max="1538" width="21.42578125" style="333" bestFit="1" customWidth="1"/>
    <col min="1539" max="1539" width="20.42578125" style="333" bestFit="1" customWidth="1"/>
    <col min="1540" max="1540" width="22.42578125" style="333" bestFit="1" customWidth="1"/>
    <col min="1541" max="1541" width="25.42578125" style="333" customWidth="1"/>
    <col min="1542" max="1542" width="14.5703125" style="333" customWidth="1"/>
    <col min="1543" max="1543" width="11.5703125" style="333" customWidth="1"/>
    <col min="1544" max="1544" width="12.5703125" style="333" customWidth="1"/>
    <col min="1545" max="1545" width="13" style="333" customWidth="1"/>
    <col min="1546" max="1789" width="9.42578125" style="333"/>
    <col min="1790" max="1790" width="17.42578125" style="333" customWidth="1"/>
    <col min="1791" max="1792" width="20.5703125" style="333" customWidth="1"/>
    <col min="1793" max="1793" width="26" style="333" bestFit="1" customWidth="1"/>
    <col min="1794" max="1794" width="21.42578125" style="333" bestFit="1" customWidth="1"/>
    <col min="1795" max="1795" width="20.42578125" style="333" bestFit="1" customWidth="1"/>
    <col min="1796" max="1796" width="22.42578125" style="333" bestFit="1" customWidth="1"/>
    <col min="1797" max="1797" width="25.42578125" style="333" customWidth="1"/>
    <col min="1798" max="1798" width="14.5703125" style="333" customWidth="1"/>
    <col min="1799" max="1799" width="11.5703125" style="333" customWidth="1"/>
    <col min="1800" max="1800" width="12.5703125" style="333" customWidth="1"/>
    <col min="1801" max="1801" width="13" style="333" customWidth="1"/>
    <col min="1802" max="2045" width="9.42578125" style="333"/>
    <col min="2046" max="2046" width="17.42578125" style="333" customWidth="1"/>
    <col min="2047" max="2048" width="20.5703125" style="333" customWidth="1"/>
    <col min="2049" max="2049" width="26" style="333" bestFit="1" customWidth="1"/>
    <col min="2050" max="2050" width="21.42578125" style="333" bestFit="1" customWidth="1"/>
    <col min="2051" max="2051" width="20.42578125" style="333" bestFit="1" customWidth="1"/>
    <col min="2052" max="2052" width="22.42578125" style="333" bestFit="1" customWidth="1"/>
    <col min="2053" max="2053" width="25.42578125" style="333" customWidth="1"/>
    <col min="2054" max="2054" width="14.5703125" style="333" customWidth="1"/>
    <col min="2055" max="2055" width="11.5703125" style="333" customWidth="1"/>
    <col min="2056" max="2056" width="12.5703125" style="333" customWidth="1"/>
    <col min="2057" max="2057" width="13" style="333" customWidth="1"/>
    <col min="2058" max="2301" width="9.42578125" style="333"/>
    <col min="2302" max="2302" width="17.42578125" style="333" customWidth="1"/>
    <col min="2303" max="2304" width="20.5703125" style="333" customWidth="1"/>
    <col min="2305" max="2305" width="26" style="333" bestFit="1" customWidth="1"/>
    <col min="2306" max="2306" width="21.42578125" style="333" bestFit="1" customWidth="1"/>
    <col min="2307" max="2307" width="20.42578125" style="333" bestFit="1" customWidth="1"/>
    <col min="2308" max="2308" width="22.42578125" style="333" bestFit="1" customWidth="1"/>
    <col min="2309" max="2309" width="25.42578125" style="333" customWidth="1"/>
    <col min="2310" max="2310" width="14.5703125" style="333" customWidth="1"/>
    <col min="2311" max="2311" width="11.5703125" style="333" customWidth="1"/>
    <col min="2312" max="2312" width="12.5703125" style="333" customWidth="1"/>
    <col min="2313" max="2313" width="13" style="333" customWidth="1"/>
    <col min="2314" max="2557" width="9.42578125" style="333"/>
    <col min="2558" max="2558" width="17.42578125" style="333" customWidth="1"/>
    <col min="2559" max="2560" width="20.5703125" style="333" customWidth="1"/>
    <col min="2561" max="2561" width="26" style="333" bestFit="1" customWidth="1"/>
    <col min="2562" max="2562" width="21.42578125" style="333" bestFit="1" customWidth="1"/>
    <col min="2563" max="2563" width="20.42578125" style="333" bestFit="1" customWidth="1"/>
    <col min="2564" max="2564" width="22.42578125" style="333" bestFit="1" customWidth="1"/>
    <col min="2565" max="2565" width="25.42578125" style="333" customWidth="1"/>
    <col min="2566" max="2566" width="14.5703125" style="333" customWidth="1"/>
    <col min="2567" max="2567" width="11.5703125" style="333" customWidth="1"/>
    <col min="2568" max="2568" width="12.5703125" style="333" customWidth="1"/>
    <col min="2569" max="2569" width="13" style="333" customWidth="1"/>
    <col min="2570" max="2813" width="9.42578125" style="333"/>
    <col min="2814" max="2814" width="17.42578125" style="333" customWidth="1"/>
    <col min="2815" max="2816" width="20.5703125" style="333" customWidth="1"/>
    <col min="2817" max="2817" width="26" style="333" bestFit="1" customWidth="1"/>
    <col min="2818" max="2818" width="21.42578125" style="333" bestFit="1" customWidth="1"/>
    <col min="2819" max="2819" width="20.42578125" style="333" bestFit="1" customWidth="1"/>
    <col min="2820" max="2820" width="22.42578125" style="333" bestFit="1" customWidth="1"/>
    <col min="2821" max="2821" width="25.42578125" style="333" customWidth="1"/>
    <col min="2822" max="2822" width="14.5703125" style="333" customWidth="1"/>
    <col min="2823" max="2823" width="11.5703125" style="333" customWidth="1"/>
    <col min="2824" max="2824" width="12.5703125" style="333" customWidth="1"/>
    <col min="2825" max="2825" width="13" style="333" customWidth="1"/>
    <col min="2826" max="3069" width="9.42578125" style="333"/>
    <col min="3070" max="3070" width="17.42578125" style="333" customWidth="1"/>
    <col min="3071" max="3072" width="20.5703125" style="333" customWidth="1"/>
    <col min="3073" max="3073" width="26" style="333" bestFit="1" customWidth="1"/>
    <col min="3074" max="3074" width="21.42578125" style="333" bestFit="1" customWidth="1"/>
    <col min="3075" max="3075" width="20.42578125" style="333" bestFit="1" customWidth="1"/>
    <col min="3076" max="3076" width="22.42578125" style="333" bestFit="1" customWidth="1"/>
    <col min="3077" max="3077" width="25.42578125" style="333" customWidth="1"/>
    <col min="3078" max="3078" width="14.5703125" style="333" customWidth="1"/>
    <col min="3079" max="3079" width="11.5703125" style="333" customWidth="1"/>
    <col min="3080" max="3080" width="12.5703125" style="333" customWidth="1"/>
    <col min="3081" max="3081" width="13" style="333" customWidth="1"/>
    <col min="3082" max="3325" width="9.42578125" style="333"/>
    <col min="3326" max="3326" width="17.42578125" style="333" customWidth="1"/>
    <col min="3327" max="3328" width="20.5703125" style="333" customWidth="1"/>
    <col min="3329" max="3329" width="26" style="333" bestFit="1" customWidth="1"/>
    <col min="3330" max="3330" width="21.42578125" style="333" bestFit="1" customWidth="1"/>
    <col min="3331" max="3331" width="20.42578125" style="333" bestFit="1" customWidth="1"/>
    <col min="3332" max="3332" width="22.42578125" style="333" bestFit="1" customWidth="1"/>
    <col min="3333" max="3333" width="25.42578125" style="333" customWidth="1"/>
    <col min="3334" max="3334" width="14.5703125" style="333" customWidth="1"/>
    <col min="3335" max="3335" width="11.5703125" style="333" customWidth="1"/>
    <col min="3336" max="3336" width="12.5703125" style="333" customWidth="1"/>
    <col min="3337" max="3337" width="13" style="333" customWidth="1"/>
    <col min="3338" max="3581" width="9.42578125" style="333"/>
    <col min="3582" max="3582" width="17.42578125" style="333" customWidth="1"/>
    <col min="3583" max="3584" width="20.5703125" style="333" customWidth="1"/>
    <col min="3585" max="3585" width="26" style="333" bestFit="1" customWidth="1"/>
    <col min="3586" max="3586" width="21.42578125" style="333" bestFit="1" customWidth="1"/>
    <col min="3587" max="3587" width="20.42578125" style="333" bestFit="1" customWidth="1"/>
    <col min="3588" max="3588" width="22.42578125" style="333" bestFit="1" customWidth="1"/>
    <col min="3589" max="3589" width="25.42578125" style="333" customWidth="1"/>
    <col min="3590" max="3590" width="14.5703125" style="333" customWidth="1"/>
    <col min="3591" max="3591" width="11.5703125" style="333" customWidth="1"/>
    <col min="3592" max="3592" width="12.5703125" style="333" customWidth="1"/>
    <col min="3593" max="3593" width="13" style="333" customWidth="1"/>
    <col min="3594" max="3837" width="9.42578125" style="333"/>
    <col min="3838" max="3838" width="17.42578125" style="333" customWidth="1"/>
    <col min="3839" max="3840" width="20.5703125" style="333" customWidth="1"/>
    <col min="3841" max="3841" width="26" style="333" bestFit="1" customWidth="1"/>
    <col min="3842" max="3842" width="21.42578125" style="333" bestFit="1" customWidth="1"/>
    <col min="3843" max="3843" width="20.42578125" style="333" bestFit="1" customWidth="1"/>
    <col min="3844" max="3844" width="22.42578125" style="333" bestFit="1" customWidth="1"/>
    <col min="3845" max="3845" width="25.42578125" style="333" customWidth="1"/>
    <col min="3846" max="3846" width="14.5703125" style="333" customWidth="1"/>
    <col min="3847" max="3847" width="11.5703125" style="333" customWidth="1"/>
    <col min="3848" max="3848" width="12.5703125" style="333" customWidth="1"/>
    <col min="3849" max="3849" width="13" style="333" customWidth="1"/>
    <col min="3850" max="4093" width="9.42578125" style="333"/>
    <col min="4094" max="4094" width="17.42578125" style="333" customWidth="1"/>
    <col min="4095" max="4096" width="20.5703125" style="333" customWidth="1"/>
    <col min="4097" max="4097" width="26" style="333" bestFit="1" customWidth="1"/>
    <col min="4098" max="4098" width="21.42578125" style="333" bestFit="1" customWidth="1"/>
    <col min="4099" max="4099" width="20.42578125" style="333" bestFit="1" customWidth="1"/>
    <col min="4100" max="4100" width="22.42578125" style="333" bestFit="1" customWidth="1"/>
    <col min="4101" max="4101" width="25.42578125" style="333" customWidth="1"/>
    <col min="4102" max="4102" width="14.5703125" style="333" customWidth="1"/>
    <col min="4103" max="4103" width="11.5703125" style="333" customWidth="1"/>
    <col min="4104" max="4104" width="12.5703125" style="333" customWidth="1"/>
    <col min="4105" max="4105" width="13" style="333" customWidth="1"/>
    <col min="4106" max="4349" width="9.42578125" style="333"/>
    <col min="4350" max="4350" width="17.42578125" style="333" customWidth="1"/>
    <col min="4351" max="4352" width="20.5703125" style="333" customWidth="1"/>
    <col min="4353" max="4353" width="26" style="333" bestFit="1" customWidth="1"/>
    <col min="4354" max="4354" width="21.42578125" style="333" bestFit="1" customWidth="1"/>
    <col min="4355" max="4355" width="20.42578125" style="333" bestFit="1" customWidth="1"/>
    <col min="4356" max="4356" width="22.42578125" style="333" bestFit="1" customWidth="1"/>
    <col min="4357" max="4357" width="25.42578125" style="333" customWidth="1"/>
    <col min="4358" max="4358" width="14.5703125" style="333" customWidth="1"/>
    <col min="4359" max="4359" width="11.5703125" style="333" customWidth="1"/>
    <col min="4360" max="4360" width="12.5703125" style="333" customWidth="1"/>
    <col min="4361" max="4361" width="13" style="333" customWidth="1"/>
    <col min="4362" max="4605" width="9.42578125" style="333"/>
    <col min="4606" max="4606" width="17.42578125" style="333" customWidth="1"/>
    <col min="4607" max="4608" width="20.5703125" style="333" customWidth="1"/>
    <col min="4609" max="4609" width="26" style="333" bestFit="1" customWidth="1"/>
    <col min="4610" max="4610" width="21.42578125" style="333" bestFit="1" customWidth="1"/>
    <col min="4611" max="4611" width="20.42578125" style="333" bestFit="1" customWidth="1"/>
    <col min="4612" max="4612" width="22.42578125" style="333" bestFit="1" customWidth="1"/>
    <col min="4613" max="4613" width="25.42578125" style="333" customWidth="1"/>
    <col min="4614" max="4614" width="14.5703125" style="333" customWidth="1"/>
    <col min="4615" max="4615" width="11.5703125" style="333" customWidth="1"/>
    <col min="4616" max="4616" width="12.5703125" style="333" customWidth="1"/>
    <col min="4617" max="4617" width="13" style="333" customWidth="1"/>
    <col min="4618" max="4861" width="9.42578125" style="333"/>
    <col min="4862" max="4862" width="17.42578125" style="333" customWidth="1"/>
    <col min="4863" max="4864" width="20.5703125" style="333" customWidth="1"/>
    <col min="4865" max="4865" width="26" style="333" bestFit="1" customWidth="1"/>
    <col min="4866" max="4866" width="21.42578125" style="333" bestFit="1" customWidth="1"/>
    <col min="4867" max="4867" width="20.42578125" style="333" bestFit="1" customWidth="1"/>
    <col min="4868" max="4868" width="22.42578125" style="333" bestFit="1" customWidth="1"/>
    <col min="4869" max="4869" width="25.42578125" style="333" customWidth="1"/>
    <col min="4870" max="4870" width="14.5703125" style="333" customWidth="1"/>
    <col min="4871" max="4871" width="11.5703125" style="333" customWidth="1"/>
    <col min="4872" max="4872" width="12.5703125" style="333" customWidth="1"/>
    <col min="4873" max="4873" width="13" style="333" customWidth="1"/>
    <col min="4874" max="5117" width="9.42578125" style="333"/>
    <col min="5118" max="5118" width="17.42578125" style="333" customWidth="1"/>
    <col min="5119" max="5120" width="20.5703125" style="333" customWidth="1"/>
    <col min="5121" max="5121" width="26" style="333" bestFit="1" customWidth="1"/>
    <col min="5122" max="5122" width="21.42578125" style="333" bestFit="1" customWidth="1"/>
    <col min="5123" max="5123" width="20.42578125" style="333" bestFit="1" customWidth="1"/>
    <col min="5124" max="5124" width="22.42578125" style="333" bestFit="1" customWidth="1"/>
    <col min="5125" max="5125" width="25.42578125" style="333" customWidth="1"/>
    <col min="5126" max="5126" width="14.5703125" style="333" customWidth="1"/>
    <col min="5127" max="5127" width="11.5703125" style="333" customWidth="1"/>
    <col min="5128" max="5128" width="12.5703125" style="333" customWidth="1"/>
    <col min="5129" max="5129" width="13" style="333" customWidth="1"/>
    <col min="5130" max="5373" width="9.42578125" style="333"/>
    <col min="5374" max="5374" width="17.42578125" style="333" customWidth="1"/>
    <col min="5375" max="5376" width="20.5703125" style="333" customWidth="1"/>
    <col min="5377" max="5377" width="26" style="333" bestFit="1" customWidth="1"/>
    <col min="5378" max="5378" width="21.42578125" style="333" bestFit="1" customWidth="1"/>
    <col min="5379" max="5379" width="20.42578125" style="333" bestFit="1" customWidth="1"/>
    <col min="5380" max="5380" width="22.42578125" style="333" bestFit="1" customWidth="1"/>
    <col min="5381" max="5381" width="25.42578125" style="333" customWidth="1"/>
    <col min="5382" max="5382" width="14.5703125" style="333" customWidth="1"/>
    <col min="5383" max="5383" width="11.5703125" style="333" customWidth="1"/>
    <col min="5384" max="5384" width="12.5703125" style="333" customWidth="1"/>
    <col min="5385" max="5385" width="13" style="333" customWidth="1"/>
    <col min="5386" max="5629" width="9.42578125" style="333"/>
    <col min="5630" max="5630" width="17.42578125" style="333" customWidth="1"/>
    <col min="5631" max="5632" width="20.5703125" style="333" customWidth="1"/>
    <col min="5633" max="5633" width="26" style="333" bestFit="1" customWidth="1"/>
    <col min="5634" max="5634" width="21.42578125" style="333" bestFit="1" customWidth="1"/>
    <col min="5635" max="5635" width="20.42578125" style="333" bestFit="1" customWidth="1"/>
    <col min="5636" max="5636" width="22.42578125" style="333" bestFit="1" customWidth="1"/>
    <col min="5637" max="5637" width="25.42578125" style="333" customWidth="1"/>
    <col min="5638" max="5638" width="14.5703125" style="333" customWidth="1"/>
    <col min="5639" max="5639" width="11.5703125" style="333" customWidth="1"/>
    <col min="5640" max="5640" width="12.5703125" style="333" customWidth="1"/>
    <col min="5641" max="5641" width="13" style="333" customWidth="1"/>
    <col min="5642" max="5885" width="9.42578125" style="333"/>
    <col min="5886" max="5886" width="17.42578125" style="333" customWidth="1"/>
    <col min="5887" max="5888" width="20.5703125" style="333" customWidth="1"/>
    <col min="5889" max="5889" width="26" style="333" bestFit="1" customWidth="1"/>
    <col min="5890" max="5890" width="21.42578125" style="333" bestFit="1" customWidth="1"/>
    <col min="5891" max="5891" width="20.42578125" style="333" bestFit="1" customWidth="1"/>
    <col min="5892" max="5892" width="22.42578125" style="333" bestFit="1" customWidth="1"/>
    <col min="5893" max="5893" width="25.42578125" style="333" customWidth="1"/>
    <col min="5894" max="5894" width="14.5703125" style="333" customWidth="1"/>
    <col min="5895" max="5895" width="11.5703125" style="333" customWidth="1"/>
    <col min="5896" max="5896" width="12.5703125" style="333" customWidth="1"/>
    <col min="5897" max="5897" width="13" style="333" customWidth="1"/>
    <col min="5898" max="6141" width="9.42578125" style="333"/>
    <col min="6142" max="6142" width="17.42578125" style="333" customWidth="1"/>
    <col min="6143" max="6144" width="20.5703125" style="333" customWidth="1"/>
    <col min="6145" max="6145" width="26" style="333" bestFit="1" customWidth="1"/>
    <col min="6146" max="6146" width="21.42578125" style="333" bestFit="1" customWidth="1"/>
    <col min="6147" max="6147" width="20.42578125" style="333" bestFit="1" customWidth="1"/>
    <col min="6148" max="6148" width="22.42578125" style="333" bestFit="1" customWidth="1"/>
    <col min="6149" max="6149" width="25.42578125" style="333" customWidth="1"/>
    <col min="6150" max="6150" width="14.5703125" style="333" customWidth="1"/>
    <col min="6151" max="6151" width="11.5703125" style="333" customWidth="1"/>
    <col min="6152" max="6152" width="12.5703125" style="333" customWidth="1"/>
    <col min="6153" max="6153" width="13" style="333" customWidth="1"/>
    <col min="6154" max="6397" width="9.42578125" style="333"/>
    <col min="6398" max="6398" width="17.42578125" style="333" customWidth="1"/>
    <col min="6399" max="6400" width="20.5703125" style="333" customWidth="1"/>
    <col min="6401" max="6401" width="26" style="333" bestFit="1" customWidth="1"/>
    <col min="6402" max="6402" width="21.42578125" style="333" bestFit="1" customWidth="1"/>
    <col min="6403" max="6403" width="20.42578125" style="333" bestFit="1" customWidth="1"/>
    <col min="6404" max="6404" width="22.42578125" style="333" bestFit="1" customWidth="1"/>
    <col min="6405" max="6405" width="25.42578125" style="333" customWidth="1"/>
    <col min="6406" max="6406" width="14.5703125" style="333" customWidth="1"/>
    <col min="6407" max="6407" width="11.5703125" style="333" customWidth="1"/>
    <col min="6408" max="6408" width="12.5703125" style="333" customWidth="1"/>
    <col min="6409" max="6409" width="13" style="333" customWidth="1"/>
    <col min="6410" max="6653" width="9.42578125" style="333"/>
    <col min="6654" max="6654" width="17.42578125" style="333" customWidth="1"/>
    <col min="6655" max="6656" width="20.5703125" style="333" customWidth="1"/>
    <col min="6657" max="6657" width="26" style="333" bestFit="1" customWidth="1"/>
    <col min="6658" max="6658" width="21.42578125" style="333" bestFit="1" customWidth="1"/>
    <col min="6659" max="6659" width="20.42578125" style="333" bestFit="1" customWidth="1"/>
    <col min="6660" max="6660" width="22.42578125" style="333" bestFit="1" customWidth="1"/>
    <col min="6661" max="6661" width="25.42578125" style="333" customWidth="1"/>
    <col min="6662" max="6662" width="14.5703125" style="333" customWidth="1"/>
    <col min="6663" max="6663" width="11.5703125" style="333" customWidth="1"/>
    <col min="6664" max="6664" width="12.5703125" style="333" customWidth="1"/>
    <col min="6665" max="6665" width="13" style="333" customWidth="1"/>
    <col min="6666" max="6909" width="9.42578125" style="333"/>
    <col min="6910" max="6910" width="17.42578125" style="333" customWidth="1"/>
    <col min="6911" max="6912" width="20.5703125" style="333" customWidth="1"/>
    <col min="6913" max="6913" width="26" style="333" bestFit="1" customWidth="1"/>
    <col min="6914" max="6914" width="21.42578125" style="333" bestFit="1" customWidth="1"/>
    <col min="6915" max="6915" width="20.42578125" style="333" bestFit="1" customWidth="1"/>
    <col min="6916" max="6916" width="22.42578125" style="333" bestFit="1" customWidth="1"/>
    <col min="6917" max="6917" width="25.42578125" style="333" customWidth="1"/>
    <col min="6918" max="6918" width="14.5703125" style="333" customWidth="1"/>
    <col min="6919" max="6919" width="11.5703125" style="333" customWidth="1"/>
    <col min="6920" max="6920" width="12.5703125" style="333" customWidth="1"/>
    <col min="6921" max="6921" width="13" style="333" customWidth="1"/>
    <col min="6922" max="7165" width="9.42578125" style="333"/>
    <col min="7166" max="7166" width="17.42578125" style="333" customWidth="1"/>
    <col min="7167" max="7168" width="20.5703125" style="333" customWidth="1"/>
    <col min="7169" max="7169" width="26" style="333" bestFit="1" customWidth="1"/>
    <col min="7170" max="7170" width="21.42578125" style="333" bestFit="1" customWidth="1"/>
    <col min="7171" max="7171" width="20.42578125" style="333" bestFit="1" customWidth="1"/>
    <col min="7172" max="7172" width="22.42578125" style="333" bestFit="1" customWidth="1"/>
    <col min="7173" max="7173" width="25.42578125" style="333" customWidth="1"/>
    <col min="7174" max="7174" width="14.5703125" style="333" customWidth="1"/>
    <col min="7175" max="7175" width="11.5703125" style="333" customWidth="1"/>
    <col min="7176" max="7176" width="12.5703125" style="333" customWidth="1"/>
    <col min="7177" max="7177" width="13" style="333" customWidth="1"/>
    <col min="7178" max="7421" width="9.42578125" style="333"/>
    <col min="7422" max="7422" width="17.42578125" style="333" customWidth="1"/>
    <col min="7423" max="7424" width="20.5703125" style="333" customWidth="1"/>
    <col min="7425" max="7425" width="26" style="333" bestFit="1" customWidth="1"/>
    <col min="7426" max="7426" width="21.42578125" style="333" bestFit="1" customWidth="1"/>
    <col min="7427" max="7427" width="20.42578125" style="333" bestFit="1" customWidth="1"/>
    <col min="7428" max="7428" width="22.42578125" style="333" bestFit="1" customWidth="1"/>
    <col min="7429" max="7429" width="25.42578125" style="333" customWidth="1"/>
    <col min="7430" max="7430" width="14.5703125" style="333" customWidth="1"/>
    <col min="7431" max="7431" width="11.5703125" style="333" customWidth="1"/>
    <col min="7432" max="7432" width="12.5703125" style="333" customWidth="1"/>
    <col min="7433" max="7433" width="13" style="333" customWidth="1"/>
    <col min="7434" max="7677" width="9.42578125" style="333"/>
    <col min="7678" max="7678" width="17.42578125" style="333" customWidth="1"/>
    <col min="7679" max="7680" width="20.5703125" style="333" customWidth="1"/>
    <col min="7681" max="7681" width="26" style="333" bestFit="1" customWidth="1"/>
    <col min="7682" max="7682" width="21.42578125" style="333" bestFit="1" customWidth="1"/>
    <col min="7683" max="7683" width="20.42578125" style="333" bestFit="1" customWidth="1"/>
    <col min="7684" max="7684" width="22.42578125" style="333" bestFit="1" customWidth="1"/>
    <col min="7685" max="7685" width="25.42578125" style="333" customWidth="1"/>
    <col min="7686" max="7686" width="14.5703125" style="333" customWidth="1"/>
    <col min="7687" max="7687" width="11.5703125" style="333" customWidth="1"/>
    <col min="7688" max="7688" width="12.5703125" style="333" customWidth="1"/>
    <col min="7689" max="7689" width="13" style="333" customWidth="1"/>
    <col min="7690" max="7933" width="9.42578125" style="333"/>
    <col min="7934" max="7934" width="17.42578125" style="333" customWidth="1"/>
    <col min="7935" max="7936" width="20.5703125" style="333" customWidth="1"/>
    <col min="7937" max="7937" width="26" style="333" bestFit="1" customWidth="1"/>
    <col min="7938" max="7938" width="21.42578125" style="333" bestFit="1" customWidth="1"/>
    <col min="7939" max="7939" width="20.42578125" style="333" bestFit="1" customWidth="1"/>
    <col min="7940" max="7940" width="22.42578125" style="333" bestFit="1" customWidth="1"/>
    <col min="7941" max="7941" width="25.42578125" style="333" customWidth="1"/>
    <col min="7942" max="7942" width="14.5703125" style="333" customWidth="1"/>
    <col min="7943" max="7943" width="11.5703125" style="333" customWidth="1"/>
    <col min="7944" max="7944" width="12.5703125" style="333" customWidth="1"/>
    <col min="7945" max="7945" width="13" style="333" customWidth="1"/>
    <col min="7946" max="8189" width="9.42578125" style="333"/>
    <col min="8190" max="8190" width="17.42578125" style="333" customWidth="1"/>
    <col min="8191" max="8192" width="20.5703125" style="333" customWidth="1"/>
    <col min="8193" max="8193" width="26" style="333" bestFit="1" customWidth="1"/>
    <col min="8194" max="8194" width="21.42578125" style="333" bestFit="1" customWidth="1"/>
    <col min="8195" max="8195" width="20.42578125" style="333" bestFit="1" customWidth="1"/>
    <col min="8196" max="8196" width="22.42578125" style="333" bestFit="1" customWidth="1"/>
    <col min="8197" max="8197" width="25.42578125" style="333" customWidth="1"/>
    <col min="8198" max="8198" width="14.5703125" style="333" customWidth="1"/>
    <col min="8199" max="8199" width="11.5703125" style="333" customWidth="1"/>
    <col min="8200" max="8200" width="12.5703125" style="333" customWidth="1"/>
    <col min="8201" max="8201" width="13" style="333" customWidth="1"/>
    <col min="8202" max="8445" width="9.42578125" style="333"/>
    <col min="8446" max="8446" width="17.42578125" style="333" customWidth="1"/>
    <col min="8447" max="8448" width="20.5703125" style="333" customWidth="1"/>
    <col min="8449" max="8449" width="26" style="333" bestFit="1" customWidth="1"/>
    <col min="8450" max="8450" width="21.42578125" style="333" bestFit="1" customWidth="1"/>
    <col min="8451" max="8451" width="20.42578125" style="333" bestFit="1" customWidth="1"/>
    <col min="8452" max="8452" width="22.42578125" style="333" bestFit="1" customWidth="1"/>
    <col min="8453" max="8453" width="25.42578125" style="333" customWidth="1"/>
    <col min="8454" max="8454" width="14.5703125" style="333" customWidth="1"/>
    <col min="8455" max="8455" width="11.5703125" style="333" customWidth="1"/>
    <col min="8456" max="8456" width="12.5703125" style="333" customWidth="1"/>
    <col min="8457" max="8457" width="13" style="333" customWidth="1"/>
    <col min="8458" max="8701" width="9.42578125" style="333"/>
    <col min="8702" max="8702" width="17.42578125" style="333" customWidth="1"/>
    <col min="8703" max="8704" width="20.5703125" style="333" customWidth="1"/>
    <col min="8705" max="8705" width="26" style="333" bestFit="1" customWidth="1"/>
    <col min="8706" max="8706" width="21.42578125" style="333" bestFit="1" customWidth="1"/>
    <col min="8707" max="8707" width="20.42578125" style="333" bestFit="1" customWidth="1"/>
    <col min="8708" max="8708" width="22.42578125" style="333" bestFit="1" customWidth="1"/>
    <col min="8709" max="8709" width="25.42578125" style="333" customWidth="1"/>
    <col min="8710" max="8710" width="14.5703125" style="333" customWidth="1"/>
    <col min="8711" max="8711" width="11.5703125" style="333" customWidth="1"/>
    <col min="8712" max="8712" width="12.5703125" style="333" customWidth="1"/>
    <col min="8713" max="8713" width="13" style="333" customWidth="1"/>
    <col min="8714" max="8957" width="9.42578125" style="333"/>
    <col min="8958" max="8958" width="17.42578125" style="333" customWidth="1"/>
    <col min="8959" max="8960" width="20.5703125" style="333" customWidth="1"/>
    <col min="8961" max="8961" width="26" style="333" bestFit="1" customWidth="1"/>
    <col min="8962" max="8962" width="21.42578125" style="333" bestFit="1" customWidth="1"/>
    <col min="8963" max="8963" width="20.42578125" style="333" bestFit="1" customWidth="1"/>
    <col min="8964" max="8964" width="22.42578125" style="333" bestFit="1" customWidth="1"/>
    <col min="8965" max="8965" width="25.42578125" style="333" customWidth="1"/>
    <col min="8966" max="8966" width="14.5703125" style="333" customWidth="1"/>
    <col min="8967" max="8967" width="11.5703125" style="333" customWidth="1"/>
    <col min="8968" max="8968" width="12.5703125" style="333" customWidth="1"/>
    <col min="8969" max="8969" width="13" style="333" customWidth="1"/>
    <col min="8970" max="9213" width="9.42578125" style="333"/>
    <col min="9214" max="9214" width="17.42578125" style="333" customWidth="1"/>
    <col min="9215" max="9216" width="20.5703125" style="333" customWidth="1"/>
    <col min="9217" max="9217" width="26" style="333" bestFit="1" customWidth="1"/>
    <col min="9218" max="9218" width="21.42578125" style="333" bestFit="1" customWidth="1"/>
    <col min="9219" max="9219" width="20.42578125" style="333" bestFit="1" customWidth="1"/>
    <col min="9220" max="9220" width="22.42578125" style="333" bestFit="1" customWidth="1"/>
    <col min="9221" max="9221" width="25.42578125" style="333" customWidth="1"/>
    <col min="9222" max="9222" width="14.5703125" style="333" customWidth="1"/>
    <col min="9223" max="9223" width="11.5703125" style="333" customWidth="1"/>
    <col min="9224" max="9224" width="12.5703125" style="333" customWidth="1"/>
    <col min="9225" max="9225" width="13" style="333" customWidth="1"/>
    <col min="9226" max="9469" width="9.42578125" style="333"/>
    <col min="9470" max="9470" width="17.42578125" style="333" customWidth="1"/>
    <col min="9471" max="9472" width="20.5703125" style="333" customWidth="1"/>
    <col min="9473" max="9473" width="26" style="333" bestFit="1" customWidth="1"/>
    <col min="9474" max="9474" width="21.42578125" style="333" bestFit="1" customWidth="1"/>
    <col min="9475" max="9475" width="20.42578125" style="333" bestFit="1" customWidth="1"/>
    <col min="9476" max="9476" width="22.42578125" style="333" bestFit="1" customWidth="1"/>
    <col min="9477" max="9477" width="25.42578125" style="333" customWidth="1"/>
    <col min="9478" max="9478" width="14.5703125" style="333" customWidth="1"/>
    <col min="9479" max="9479" width="11.5703125" style="333" customWidth="1"/>
    <col min="9480" max="9480" width="12.5703125" style="333" customWidth="1"/>
    <col min="9481" max="9481" width="13" style="333" customWidth="1"/>
    <col min="9482" max="9725" width="9.42578125" style="333"/>
    <col min="9726" max="9726" width="17.42578125" style="333" customWidth="1"/>
    <col min="9727" max="9728" width="20.5703125" style="333" customWidth="1"/>
    <col min="9729" max="9729" width="26" style="333" bestFit="1" customWidth="1"/>
    <col min="9730" max="9730" width="21.42578125" style="333" bestFit="1" customWidth="1"/>
    <col min="9731" max="9731" width="20.42578125" style="333" bestFit="1" customWidth="1"/>
    <col min="9732" max="9732" width="22.42578125" style="333" bestFit="1" customWidth="1"/>
    <col min="9733" max="9733" width="25.42578125" style="333" customWidth="1"/>
    <col min="9734" max="9734" width="14.5703125" style="333" customWidth="1"/>
    <col min="9735" max="9735" width="11.5703125" style="333" customWidth="1"/>
    <col min="9736" max="9736" width="12.5703125" style="333" customWidth="1"/>
    <col min="9737" max="9737" width="13" style="333" customWidth="1"/>
    <col min="9738" max="9981" width="9.42578125" style="333"/>
    <col min="9982" max="9982" width="17.42578125" style="333" customWidth="1"/>
    <col min="9983" max="9984" width="20.5703125" style="333" customWidth="1"/>
    <col min="9985" max="9985" width="26" style="333" bestFit="1" customWidth="1"/>
    <col min="9986" max="9986" width="21.42578125" style="333" bestFit="1" customWidth="1"/>
    <col min="9987" max="9987" width="20.42578125" style="333" bestFit="1" customWidth="1"/>
    <col min="9988" max="9988" width="22.42578125" style="333" bestFit="1" customWidth="1"/>
    <col min="9989" max="9989" width="25.42578125" style="333" customWidth="1"/>
    <col min="9990" max="9990" width="14.5703125" style="333" customWidth="1"/>
    <col min="9991" max="9991" width="11.5703125" style="333" customWidth="1"/>
    <col min="9992" max="9992" width="12.5703125" style="333" customWidth="1"/>
    <col min="9993" max="9993" width="13" style="333" customWidth="1"/>
    <col min="9994" max="10237" width="9.42578125" style="333"/>
    <col min="10238" max="10238" width="17.42578125" style="333" customWidth="1"/>
    <col min="10239" max="10240" width="20.5703125" style="333" customWidth="1"/>
    <col min="10241" max="10241" width="26" style="333" bestFit="1" customWidth="1"/>
    <col min="10242" max="10242" width="21.42578125" style="333" bestFit="1" customWidth="1"/>
    <col min="10243" max="10243" width="20.42578125" style="333" bestFit="1" customWidth="1"/>
    <col min="10244" max="10244" width="22.42578125" style="333" bestFit="1" customWidth="1"/>
    <col min="10245" max="10245" width="25.42578125" style="333" customWidth="1"/>
    <col min="10246" max="10246" width="14.5703125" style="333" customWidth="1"/>
    <col min="10247" max="10247" width="11.5703125" style="333" customWidth="1"/>
    <col min="10248" max="10248" width="12.5703125" style="333" customWidth="1"/>
    <col min="10249" max="10249" width="13" style="333" customWidth="1"/>
    <col min="10250" max="10493" width="9.42578125" style="333"/>
    <col min="10494" max="10494" width="17.42578125" style="333" customWidth="1"/>
    <col min="10495" max="10496" width="20.5703125" style="333" customWidth="1"/>
    <col min="10497" max="10497" width="26" style="333" bestFit="1" customWidth="1"/>
    <col min="10498" max="10498" width="21.42578125" style="333" bestFit="1" customWidth="1"/>
    <col min="10499" max="10499" width="20.42578125" style="333" bestFit="1" customWidth="1"/>
    <col min="10500" max="10500" width="22.42578125" style="333" bestFit="1" customWidth="1"/>
    <col min="10501" max="10501" width="25.42578125" style="333" customWidth="1"/>
    <col min="10502" max="10502" width="14.5703125" style="333" customWidth="1"/>
    <col min="10503" max="10503" width="11.5703125" style="333" customWidth="1"/>
    <col min="10504" max="10504" width="12.5703125" style="333" customWidth="1"/>
    <col min="10505" max="10505" width="13" style="333" customWidth="1"/>
    <col min="10506" max="10749" width="9.42578125" style="333"/>
    <col min="10750" max="10750" width="17.42578125" style="333" customWidth="1"/>
    <col min="10751" max="10752" width="20.5703125" style="333" customWidth="1"/>
    <col min="10753" max="10753" width="26" style="333" bestFit="1" customWidth="1"/>
    <col min="10754" max="10754" width="21.42578125" style="333" bestFit="1" customWidth="1"/>
    <col min="10755" max="10755" width="20.42578125" style="333" bestFit="1" customWidth="1"/>
    <col min="10756" max="10756" width="22.42578125" style="333" bestFit="1" customWidth="1"/>
    <col min="10757" max="10757" width="25.42578125" style="333" customWidth="1"/>
    <col min="10758" max="10758" width="14.5703125" style="333" customWidth="1"/>
    <col min="10759" max="10759" width="11.5703125" style="333" customWidth="1"/>
    <col min="10760" max="10760" width="12.5703125" style="333" customWidth="1"/>
    <col min="10761" max="10761" width="13" style="333" customWidth="1"/>
    <col min="10762" max="11005" width="9.42578125" style="333"/>
    <col min="11006" max="11006" width="17.42578125" style="333" customWidth="1"/>
    <col min="11007" max="11008" width="20.5703125" style="333" customWidth="1"/>
    <col min="11009" max="11009" width="26" style="333" bestFit="1" customWidth="1"/>
    <col min="11010" max="11010" width="21.42578125" style="333" bestFit="1" customWidth="1"/>
    <col min="11011" max="11011" width="20.42578125" style="333" bestFit="1" customWidth="1"/>
    <col min="11012" max="11012" width="22.42578125" style="333" bestFit="1" customWidth="1"/>
    <col min="11013" max="11013" width="25.42578125" style="333" customWidth="1"/>
    <col min="11014" max="11014" width="14.5703125" style="333" customWidth="1"/>
    <col min="11015" max="11015" width="11.5703125" style="333" customWidth="1"/>
    <col min="11016" max="11016" width="12.5703125" style="333" customWidth="1"/>
    <col min="11017" max="11017" width="13" style="333" customWidth="1"/>
    <col min="11018" max="11261" width="9.42578125" style="333"/>
    <col min="11262" max="11262" width="17.42578125" style="333" customWidth="1"/>
    <col min="11263" max="11264" width="20.5703125" style="333" customWidth="1"/>
    <col min="11265" max="11265" width="26" style="333" bestFit="1" customWidth="1"/>
    <col min="11266" max="11266" width="21.42578125" style="333" bestFit="1" customWidth="1"/>
    <col min="11267" max="11267" width="20.42578125" style="333" bestFit="1" customWidth="1"/>
    <col min="11268" max="11268" width="22.42578125" style="333" bestFit="1" customWidth="1"/>
    <col min="11269" max="11269" width="25.42578125" style="333" customWidth="1"/>
    <col min="11270" max="11270" width="14.5703125" style="333" customWidth="1"/>
    <col min="11271" max="11271" width="11.5703125" style="333" customWidth="1"/>
    <col min="11272" max="11272" width="12.5703125" style="333" customWidth="1"/>
    <col min="11273" max="11273" width="13" style="333" customWidth="1"/>
    <col min="11274" max="11517" width="9.42578125" style="333"/>
    <col min="11518" max="11518" width="17.42578125" style="333" customWidth="1"/>
    <col min="11519" max="11520" width="20.5703125" style="333" customWidth="1"/>
    <col min="11521" max="11521" width="26" style="333" bestFit="1" customWidth="1"/>
    <col min="11522" max="11522" width="21.42578125" style="333" bestFit="1" customWidth="1"/>
    <col min="11523" max="11523" width="20.42578125" style="333" bestFit="1" customWidth="1"/>
    <col min="11524" max="11524" width="22.42578125" style="333" bestFit="1" customWidth="1"/>
    <col min="11525" max="11525" width="25.42578125" style="333" customWidth="1"/>
    <col min="11526" max="11526" width="14.5703125" style="333" customWidth="1"/>
    <col min="11527" max="11527" width="11.5703125" style="333" customWidth="1"/>
    <col min="11528" max="11528" width="12.5703125" style="333" customWidth="1"/>
    <col min="11529" max="11529" width="13" style="333" customWidth="1"/>
    <col min="11530" max="11773" width="9.42578125" style="333"/>
    <col min="11774" max="11774" width="17.42578125" style="333" customWidth="1"/>
    <col min="11775" max="11776" width="20.5703125" style="333" customWidth="1"/>
    <col min="11777" max="11777" width="26" style="333" bestFit="1" customWidth="1"/>
    <col min="11778" max="11778" width="21.42578125" style="333" bestFit="1" customWidth="1"/>
    <col min="11779" max="11779" width="20.42578125" style="333" bestFit="1" customWidth="1"/>
    <col min="11780" max="11780" width="22.42578125" style="333" bestFit="1" customWidth="1"/>
    <col min="11781" max="11781" width="25.42578125" style="333" customWidth="1"/>
    <col min="11782" max="11782" width="14.5703125" style="333" customWidth="1"/>
    <col min="11783" max="11783" width="11.5703125" style="333" customWidth="1"/>
    <col min="11784" max="11784" width="12.5703125" style="333" customWidth="1"/>
    <col min="11785" max="11785" width="13" style="333" customWidth="1"/>
    <col min="11786" max="12029" width="9.42578125" style="333"/>
    <col min="12030" max="12030" width="17.42578125" style="333" customWidth="1"/>
    <col min="12031" max="12032" width="20.5703125" style="333" customWidth="1"/>
    <col min="12033" max="12033" width="26" style="333" bestFit="1" customWidth="1"/>
    <col min="12034" max="12034" width="21.42578125" style="333" bestFit="1" customWidth="1"/>
    <col min="12035" max="12035" width="20.42578125" style="333" bestFit="1" customWidth="1"/>
    <col min="12036" max="12036" width="22.42578125" style="333" bestFit="1" customWidth="1"/>
    <col min="12037" max="12037" width="25.42578125" style="333" customWidth="1"/>
    <col min="12038" max="12038" width="14.5703125" style="333" customWidth="1"/>
    <col min="12039" max="12039" width="11.5703125" style="333" customWidth="1"/>
    <col min="12040" max="12040" width="12.5703125" style="333" customWidth="1"/>
    <col min="12041" max="12041" width="13" style="333" customWidth="1"/>
    <col min="12042" max="12285" width="9.42578125" style="333"/>
    <col min="12286" max="12286" width="17.42578125" style="333" customWidth="1"/>
    <col min="12287" max="12288" width="20.5703125" style="333" customWidth="1"/>
    <col min="12289" max="12289" width="26" style="333" bestFit="1" customWidth="1"/>
    <col min="12290" max="12290" width="21.42578125" style="333" bestFit="1" customWidth="1"/>
    <col min="12291" max="12291" width="20.42578125" style="333" bestFit="1" customWidth="1"/>
    <col min="12292" max="12292" width="22.42578125" style="333" bestFit="1" customWidth="1"/>
    <col min="12293" max="12293" width="25.42578125" style="333" customWidth="1"/>
    <col min="12294" max="12294" width="14.5703125" style="333" customWidth="1"/>
    <col min="12295" max="12295" width="11.5703125" style="333" customWidth="1"/>
    <col min="12296" max="12296" width="12.5703125" style="333" customWidth="1"/>
    <col min="12297" max="12297" width="13" style="333" customWidth="1"/>
    <col min="12298" max="12541" width="9.42578125" style="333"/>
    <col min="12542" max="12542" width="17.42578125" style="333" customWidth="1"/>
    <col min="12543" max="12544" width="20.5703125" style="333" customWidth="1"/>
    <col min="12545" max="12545" width="26" style="333" bestFit="1" customWidth="1"/>
    <col min="12546" max="12546" width="21.42578125" style="333" bestFit="1" customWidth="1"/>
    <col min="12547" max="12547" width="20.42578125" style="333" bestFit="1" customWidth="1"/>
    <col min="12548" max="12548" width="22.42578125" style="333" bestFit="1" customWidth="1"/>
    <col min="12549" max="12549" width="25.42578125" style="333" customWidth="1"/>
    <col min="12550" max="12550" width="14.5703125" style="333" customWidth="1"/>
    <col min="12551" max="12551" width="11.5703125" style="333" customWidth="1"/>
    <col min="12552" max="12552" width="12.5703125" style="333" customWidth="1"/>
    <col min="12553" max="12553" width="13" style="333" customWidth="1"/>
    <col min="12554" max="12797" width="9.42578125" style="333"/>
    <col min="12798" max="12798" width="17.42578125" style="333" customWidth="1"/>
    <col min="12799" max="12800" width="20.5703125" style="333" customWidth="1"/>
    <col min="12801" max="12801" width="26" style="333" bestFit="1" customWidth="1"/>
    <col min="12802" max="12802" width="21.42578125" style="333" bestFit="1" customWidth="1"/>
    <col min="12803" max="12803" width="20.42578125" style="333" bestFit="1" customWidth="1"/>
    <col min="12804" max="12804" width="22.42578125" style="333" bestFit="1" customWidth="1"/>
    <col min="12805" max="12805" width="25.42578125" style="333" customWidth="1"/>
    <col min="12806" max="12806" width="14.5703125" style="333" customWidth="1"/>
    <col min="12807" max="12807" width="11.5703125" style="333" customWidth="1"/>
    <col min="12808" max="12808" width="12.5703125" style="333" customWidth="1"/>
    <col min="12809" max="12809" width="13" style="333" customWidth="1"/>
    <col min="12810" max="13053" width="9.42578125" style="333"/>
    <col min="13054" max="13054" width="17.42578125" style="333" customWidth="1"/>
    <col min="13055" max="13056" width="20.5703125" style="333" customWidth="1"/>
    <col min="13057" max="13057" width="26" style="333" bestFit="1" customWidth="1"/>
    <col min="13058" max="13058" width="21.42578125" style="333" bestFit="1" customWidth="1"/>
    <col min="13059" max="13059" width="20.42578125" style="333" bestFit="1" customWidth="1"/>
    <col min="13060" max="13060" width="22.42578125" style="333" bestFit="1" customWidth="1"/>
    <col min="13061" max="13061" width="25.42578125" style="333" customWidth="1"/>
    <col min="13062" max="13062" width="14.5703125" style="333" customWidth="1"/>
    <col min="13063" max="13063" width="11.5703125" style="333" customWidth="1"/>
    <col min="13064" max="13064" width="12.5703125" style="333" customWidth="1"/>
    <col min="13065" max="13065" width="13" style="333" customWidth="1"/>
    <col min="13066" max="13309" width="9.42578125" style="333"/>
    <col min="13310" max="13310" width="17.42578125" style="333" customWidth="1"/>
    <col min="13311" max="13312" width="20.5703125" style="333" customWidth="1"/>
    <col min="13313" max="13313" width="26" style="333" bestFit="1" customWidth="1"/>
    <col min="13314" max="13314" width="21.42578125" style="333" bestFit="1" customWidth="1"/>
    <col min="13315" max="13315" width="20.42578125" style="333" bestFit="1" customWidth="1"/>
    <col min="13316" max="13316" width="22.42578125" style="333" bestFit="1" customWidth="1"/>
    <col min="13317" max="13317" width="25.42578125" style="333" customWidth="1"/>
    <col min="13318" max="13318" width="14.5703125" style="333" customWidth="1"/>
    <col min="13319" max="13319" width="11.5703125" style="333" customWidth="1"/>
    <col min="13320" max="13320" width="12.5703125" style="333" customWidth="1"/>
    <col min="13321" max="13321" width="13" style="333" customWidth="1"/>
    <col min="13322" max="13565" width="9.42578125" style="333"/>
    <col min="13566" max="13566" width="17.42578125" style="333" customWidth="1"/>
    <col min="13567" max="13568" width="20.5703125" style="333" customWidth="1"/>
    <col min="13569" max="13569" width="26" style="333" bestFit="1" customWidth="1"/>
    <col min="13570" max="13570" width="21.42578125" style="333" bestFit="1" customWidth="1"/>
    <col min="13571" max="13571" width="20.42578125" style="333" bestFit="1" customWidth="1"/>
    <col min="13572" max="13572" width="22.42578125" style="333" bestFit="1" customWidth="1"/>
    <col min="13573" max="13573" width="25.42578125" style="333" customWidth="1"/>
    <col min="13574" max="13574" width="14.5703125" style="333" customWidth="1"/>
    <col min="13575" max="13575" width="11.5703125" style="333" customWidth="1"/>
    <col min="13576" max="13576" width="12.5703125" style="333" customWidth="1"/>
    <col min="13577" max="13577" width="13" style="333" customWidth="1"/>
    <col min="13578" max="13821" width="9.42578125" style="333"/>
    <col min="13822" max="13822" width="17.42578125" style="333" customWidth="1"/>
    <col min="13823" max="13824" width="20.5703125" style="333" customWidth="1"/>
    <col min="13825" max="13825" width="26" style="333" bestFit="1" customWidth="1"/>
    <col min="13826" max="13826" width="21.42578125" style="333" bestFit="1" customWidth="1"/>
    <col min="13827" max="13827" width="20.42578125" style="333" bestFit="1" customWidth="1"/>
    <col min="13828" max="13828" width="22.42578125" style="333" bestFit="1" customWidth="1"/>
    <col min="13829" max="13829" width="25.42578125" style="333" customWidth="1"/>
    <col min="13830" max="13830" width="14.5703125" style="333" customWidth="1"/>
    <col min="13831" max="13831" width="11.5703125" style="333" customWidth="1"/>
    <col min="13832" max="13832" width="12.5703125" style="333" customWidth="1"/>
    <col min="13833" max="13833" width="13" style="333" customWidth="1"/>
    <col min="13834" max="14077" width="9.42578125" style="333"/>
    <col min="14078" max="14078" width="17.42578125" style="333" customWidth="1"/>
    <col min="14079" max="14080" width="20.5703125" style="333" customWidth="1"/>
    <col min="14081" max="14081" width="26" style="333" bestFit="1" customWidth="1"/>
    <col min="14082" max="14082" width="21.42578125" style="333" bestFit="1" customWidth="1"/>
    <col min="14083" max="14083" width="20.42578125" style="333" bestFit="1" customWidth="1"/>
    <col min="14084" max="14084" width="22.42578125" style="333" bestFit="1" customWidth="1"/>
    <col min="14085" max="14085" width="25.42578125" style="333" customWidth="1"/>
    <col min="14086" max="14086" width="14.5703125" style="333" customWidth="1"/>
    <col min="14087" max="14087" width="11.5703125" style="333" customWidth="1"/>
    <col min="14088" max="14088" width="12.5703125" style="333" customWidth="1"/>
    <col min="14089" max="14089" width="13" style="333" customWidth="1"/>
    <col min="14090" max="14333" width="9.42578125" style="333"/>
    <col min="14334" max="14334" width="17.42578125" style="333" customWidth="1"/>
    <col min="14335" max="14336" width="20.5703125" style="333" customWidth="1"/>
    <col min="14337" max="14337" width="26" style="333" bestFit="1" customWidth="1"/>
    <col min="14338" max="14338" width="21.42578125" style="333" bestFit="1" customWidth="1"/>
    <col min="14339" max="14339" width="20.42578125" style="333" bestFit="1" customWidth="1"/>
    <col min="14340" max="14340" width="22.42578125" style="333" bestFit="1" customWidth="1"/>
    <col min="14341" max="14341" width="25.42578125" style="333" customWidth="1"/>
    <col min="14342" max="14342" width="14.5703125" style="333" customWidth="1"/>
    <col min="14343" max="14343" width="11.5703125" style="333" customWidth="1"/>
    <col min="14344" max="14344" width="12.5703125" style="333" customWidth="1"/>
    <col min="14345" max="14345" width="13" style="333" customWidth="1"/>
    <col min="14346" max="14589" width="9.42578125" style="333"/>
    <col min="14590" max="14590" width="17.42578125" style="333" customWidth="1"/>
    <col min="14591" max="14592" width="20.5703125" style="333" customWidth="1"/>
    <col min="14593" max="14593" width="26" style="333" bestFit="1" customWidth="1"/>
    <col min="14594" max="14594" width="21.42578125" style="333" bestFit="1" customWidth="1"/>
    <col min="14595" max="14595" width="20.42578125" style="333" bestFit="1" customWidth="1"/>
    <col min="14596" max="14596" width="22.42578125" style="333" bestFit="1" customWidth="1"/>
    <col min="14597" max="14597" width="25.42578125" style="333" customWidth="1"/>
    <col min="14598" max="14598" width="14.5703125" style="333" customWidth="1"/>
    <col min="14599" max="14599" width="11.5703125" style="333" customWidth="1"/>
    <col min="14600" max="14600" width="12.5703125" style="333" customWidth="1"/>
    <col min="14601" max="14601" width="13" style="333" customWidth="1"/>
    <col min="14602" max="14845" width="9.42578125" style="333"/>
    <col min="14846" max="14846" width="17.42578125" style="333" customWidth="1"/>
    <col min="14847" max="14848" width="20.5703125" style="333" customWidth="1"/>
    <col min="14849" max="14849" width="26" style="333" bestFit="1" customWidth="1"/>
    <col min="14850" max="14850" width="21.42578125" style="333" bestFit="1" customWidth="1"/>
    <col min="14851" max="14851" width="20.42578125" style="333" bestFit="1" customWidth="1"/>
    <col min="14852" max="14852" width="22.42578125" style="333" bestFit="1" customWidth="1"/>
    <col min="14853" max="14853" width="25.42578125" style="333" customWidth="1"/>
    <col min="14854" max="14854" width="14.5703125" style="333" customWidth="1"/>
    <col min="14855" max="14855" width="11.5703125" style="333" customWidth="1"/>
    <col min="14856" max="14856" width="12.5703125" style="333" customWidth="1"/>
    <col min="14857" max="14857" width="13" style="333" customWidth="1"/>
    <col min="14858" max="15101" width="9.42578125" style="333"/>
    <col min="15102" max="15102" width="17.42578125" style="333" customWidth="1"/>
    <col min="15103" max="15104" width="20.5703125" style="333" customWidth="1"/>
    <col min="15105" max="15105" width="26" style="333" bestFit="1" customWidth="1"/>
    <col min="15106" max="15106" width="21.42578125" style="333" bestFit="1" customWidth="1"/>
    <col min="15107" max="15107" width="20.42578125" style="333" bestFit="1" customWidth="1"/>
    <col min="15108" max="15108" width="22.42578125" style="333" bestFit="1" customWidth="1"/>
    <col min="15109" max="15109" width="25.42578125" style="333" customWidth="1"/>
    <col min="15110" max="15110" width="14.5703125" style="333" customWidth="1"/>
    <col min="15111" max="15111" width="11.5703125" style="333" customWidth="1"/>
    <col min="15112" max="15112" width="12.5703125" style="333" customWidth="1"/>
    <col min="15113" max="15113" width="13" style="333" customWidth="1"/>
    <col min="15114" max="15357" width="9.42578125" style="333"/>
    <col min="15358" max="15358" width="17.42578125" style="333" customWidth="1"/>
    <col min="15359" max="15360" width="20.5703125" style="333" customWidth="1"/>
    <col min="15361" max="15361" width="26" style="333" bestFit="1" customWidth="1"/>
    <col min="15362" max="15362" width="21.42578125" style="333" bestFit="1" customWidth="1"/>
    <col min="15363" max="15363" width="20.42578125" style="333" bestFit="1" customWidth="1"/>
    <col min="15364" max="15364" width="22.42578125" style="333" bestFit="1" customWidth="1"/>
    <col min="15365" max="15365" width="25.42578125" style="333" customWidth="1"/>
    <col min="15366" max="15366" width="14.5703125" style="333" customWidth="1"/>
    <col min="15367" max="15367" width="11.5703125" style="333" customWidth="1"/>
    <col min="15368" max="15368" width="12.5703125" style="333" customWidth="1"/>
    <col min="15369" max="15369" width="13" style="333" customWidth="1"/>
    <col min="15370" max="15613" width="9.42578125" style="333"/>
    <col min="15614" max="15614" width="17.42578125" style="333" customWidth="1"/>
    <col min="15615" max="15616" width="20.5703125" style="333" customWidth="1"/>
    <col min="15617" max="15617" width="26" style="333" bestFit="1" customWidth="1"/>
    <col min="15618" max="15618" width="21.42578125" style="333" bestFit="1" customWidth="1"/>
    <col min="15619" max="15619" width="20.42578125" style="333" bestFit="1" customWidth="1"/>
    <col min="15620" max="15620" width="22.42578125" style="333" bestFit="1" customWidth="1"/>
    <col min="15621" max="15621" width="25.42578125" style="333" customWidth="1"/>
    <col min="15622" max="15622" width="14.5703125" style="333" customWidth="1"/>
    <col min="15623" max="15623" width="11.5703125" style="333" customWidth="1"/>
    <col min="15624" max="15624" width="12.5703125" style="333" customWidth="1"/>
    <col min="15625" max="15625" width="13" style="333" customWidth="1"/>
    <col min="15626" max="15869" width="9.42578125" style="333"/>
    <col min="15870" max="15870" width="17.42578125" style="333" customWidth="1"/>
    <col min="15871" max="15872" width="20.5703125" style="333" customWidth="1"/>
    <col min="15873" max="15873" width="26" style="333" bestFit="1" customWidth="1"/>
    <col min="15874" max="15874" width="21.42578125" style="333" bestFit="1" customWidth="1"/>
    <col min="15875" max="15875" width="20.42578125" style="333" bestFit="1" customWidth="1"/>
    <col min="15876" max="15876" width="22.42578125" style="333" bestFit="1" customWidth="1"/>
    <col min="15877" max="15877" width="25.42578125" style="333" customWidth="1"/>
    <col min="15878" max="15878" width="14.5703125" style="333" customWidth="1"/>
    <col min="15879" max="15879" width="11.5703125" style="333" customWidth="1"/>
    <col min="15880" max="15880" width="12.5703125" style="333" customWidth="1"/>
    <col min="15881" max="15881" width="13" style="333" customWidth="1"/>
    <col min="15882" max="16125" width="9.42578125" style="333"/>
    <col min="16126" max="16126" width="17.42578125" style="333" customWidth="1"/>
    <col min="16127" max="16128" width="20.5703125" style="333" customWidth="1"/>
    <col min="16129" max="16129" width="26" style="333" bestFit="1" customWidth="1"/>
    <col min="16130" max="16130" width="21.42578125" style="333" bestFit="1" customWidth="1"/>
    <col min="16131" max="16131" width="20.42578125" style="333" bestFit="1" customWidth="1"/>
    <col min="16132" max="16132" width="22.42578125" style="333" bestFit="1" customWidth="1"/>
    <col min="16133" max="16133" width="25.42578125" style="333" customWidth="1"/>
    <col min="16134" max="16134" width="14.5703125" style="333" customWidth="1"/>
    <col min="16135" max="16135" width="11.5703125" style="333" customWidth="1"/>
    <col min="16136" max="16136" width="12.5703125" style="333" customWidth="1"/>
    <col min="16137" max="16137" width="13" style="333" customWidth="1"/>
    <col min="16138" max="16384" width="9.42578125" style="333"/>
  </cols>
  <sheetData>
    <row r="1" spans="1:17" s="326" customFormat="1" ht="18.75" customHeight="1" x14ac:dyDescent="0.3">
      <c r="A1" s="581" t="s">
        <v>295</v>
      </c>
      <c r="B1" s="583"/>
      <c r="C1" s="583"/>
      <c r="D1" s="583"/>
      <c r="E1" s="583"/>
      <c r="I1" s="677" t="str">
        <f>Instructions!$H$2</f>
        <v>p-sbap5-20  •  7/28/2025</v>
      </c>
      <c r="K1" s="541"/>
      <c r="L1" s="541"/>
      <c r="M1" s="541"/>
      <c r="N1" s="541"/>
      <c r="O1" s="582" t="s">
        <v>532</v>
      </c>
    </row>
    <row r="2" spans="1:17" s="326" customFormat="1" ht="15" customHeight="1" x14ac:dyDescent="0.2">
      <c r="A2" s="480"/>
      <c r="B2" s="1238" t="s">
        <v>191</v>
      </c>
      <c r="C2" s="1239"/>
      <c r="D2" s="1239"/>
      <c r="E2" s="1239"/>
      <c r="F2" s="1238" t="s">
        <v>192</v>
      </c>
      <c r="G2" s="1239"/>
      <c r="H2" s="1239"/>
      <c r="I2" s="1241"/>
      <c r="K2" s="542"/>
      <c r="L2" s="1247" t="s">
        <v>608</v>
      </c>
      <c r="M2" s="1248"/>
      <c r="N2" s="1247" t="s">
        <v>609</v>
      </c>
      <c r="O2" s="1248"/>
    </row>
    <row r="3" spans="1:17" s="326" customFormat="1" ht="15" customHeight="1" x14ac:dyDescent="0.2">
      <c r="A3" s="481"/>
      <c r="B3" s="327" t="s">
        <v>94</v>
      </c>
      <c r="C3" s="327" t="s">
        <v>71</v>
      </c>
      <c r="D3" s="327" t="s">
        <v>194</v>
      </c>
      <c r="E3" s="327" t="s">
        <v>199</v>
      </c>
      <c r="F3" s="327" t="s">
        <v>94</v>
      </c>
      <c r="G3" s="327" t="s">
        <v>71</v>
      </c>
      <c r="H3" s="327" t="s">
        <v>194</v>
      </c>
      <c r="I3" s="327" t="s">
        <v>199</v>
      </c>
      <c r="K3" s="542"/>
      <c r="L3" s="1244" t="s">
        <v>200</v>
      </c>
      <c r="M3" s="1245" t="s">
        <v>201</v>
      </c>
      <c r="N3" s="1242" t="s">
        <v>200</v>
      </c>
      <c r="O3" s="1242" t="s">
        <v>201</v>
      </c>
    </row>
    <row r="4" spans="1:17" s="326" customFormat="1" ht="15" customHeight="1" x14ac:dyDescent="0.2">
      <c r="A4" s="481"/>
      <c r="B4" s="328" t="s">
        <v>177</v>
      </c>
      <c r="C4" s="1235"/>
      <c r="D4" s="328" t="s">
        <v>193</v>
      </c>
      <c r="E4" s="328" t="s">
        <v>195</v>
      </c>
      <c r="F4" s="328" t="s">
        <v>177</v>
      </c>
      <c r="G4" s="1235"/>
      <c r="H4" s="328" t="s">
        <v>193</v>
      </c>
      <c r="I4" s="328" t="s">
        <v>195</v>
      </c>
      <c r="K4" s="542"/>
      <c r="L4" s="1242"/>
      <c r="M4" s="1245"/>
      <c r="N4" s="1242"/>
      <c r="O4" s="1242"/>
    </row>
    <row r="5" spans="1:17" s="326" customFormat="1" ht="15" customHeight="1" x14ac:dyDescent="0.2">
      <c r="A5" s="481"/>
      <c r="B5" s="328" t="s">
        <v>178</v>
      </c>
      <c r="C5" s="1235"/>
      <c r="D5" s="328" t="s">
        <v>179</v>
      </c>
      <c r="E5" s="328" t="s">
        <v>196</v>
      </c>
      <c r="F5" s="328" t="s">
        <v>178</v>
      </c>
      <c r="G5" s="1235"/>
      <c r="H5" s="328" t="s">
        <v>179</v>
      </c>
      <c r="I5" s="328" t="s">
        <v>196</v>
      </c>
      <c r="K5" s="542"/>
      <c r="L5" s="1242"/>
      <c r="M5" s="1245"/>
      <c r="N5" s="1242"/>
      <c r="O5" s="1242"/>
    </row>
    <row r="6" spans="1:17" s="326" customFormat="1" ht="15" customHeight="1" x14ac:dyDescent="0.2">
      <c r="A6" s="481"/>
      <c r="B6" s="328"/>
      <c r="C6" s="1235"/>
      <c r="D6" s="328" t="s">
        <v>180</v>
      </c>
      <c r="E6" s="328" t="s">
        <v>197</v>
      </c>
      <c r="F6" s="328"/>
      <c r="G6" s="1235"/>
      <c r="H6" s="328" t="s">
        <v>180</v>
      </c>
      <c r="I6" s="328" t="s">
        <v>197</v>
      </c>
      <c r="K6" s="542"/>
      <c r="L6" s="1242"/>
      <c r="M6" s="1245"/>
      <c r="N6" s="1242"/>
      <c r="O6" s="1242"/>
    </row>
    <row r="7" spans="1:17" s="326" customFormat="1" ht="15" customHeight="1" x14ac:dyDescent="0.2">
      <c r="A7" s="481"/>
      <c r="B7" s="329"/>
      <c r="C7" s="1236"/>
      <c r="D7" s="329" t="s">
        <v>181</v>
      </c>
      <c r="E7" s="328" t="s">
        <v>198</v>
      </c>
      <c r="F7" s="328"/>
      <c r="G7" s="1236"/>
      <c r="H7" s="328" t="s">
        <v>181</v>
      </c>
      <c r="I7" s="328" t="s">
        <v>198</v>
      </c>
      <c r="K7" s="542"/>
      <c r="L7" s="1243"/>
      <c r="M7" s="1246"/>
      <c r="N7" s="1243"/>
      <c r="O7" s="1243"/>
    </row>
    <row r="8" spans="1:17" s="332" customFormat="1" ht="15" customHeight="1" x14ac:dyDescent="0.2">
      <c r="A8" s="330"/>
      <c r="B8" s="521" t="s">
        <v>533</v>
      </c>
      <c r="C8" s="521" t="s">
        <v>867</v>
      </c>
      <c r="D8" s="521" t="s">
        <v>534</v>
      </c>
      <c r="E8" s="521" t="s">
        <v>535</v>
      </c>
      <c r="F8" s="521" t="s">
        <v>536</v>
      </c>
      <c r="G8" s="521" t="s">
        <v>868</v>
      </c>
      <c r="H8" s="521" t="s">
        <v>537</v>
      </c>
      <c r="I8" s="521" t="s">
        <v>538</v>
      </c>
      <c r="K8" s="542"/>
      <c r="L8" s="331" t="s">
        <v>539</v>
      </c>
      <c r="M8" s="331" t="s">
        <v>539</v>
      </c>
      <c r="N8" s="484" t="s">
        <v>540</v>
      </c>
      <c r="O8" s="484" t="s">
        <v>540</v>
      </c>
    </row>
    <row r="9" spans="1:17" s="332" customFormat="1" ht="15" customHeight="1" x14ac:dyDescent="0.2">
      <c r="A9" s="627" t="s">
        <v>577</v>
      </c>
      <c r="B9" s="632"/>
      <c r="C9" s="632"/>
      <c r="D9" s="632"/>
      <c r="E9" s="632"/>
      <c r="F9" s="632"/>
      <c r="G9" s="632"/>
      <c r="H9" s="632"/>
      <c r="I9" s="633"/>
      <c r="K9" s="542"/>
      <c r="L9" s="331" t="s">
        <v>220</v>
      </c>
      <c r="M9" s="484" t="s">
        <v>220</v>
      </c>
      <c r="N9" s="331" t="s">
        <v>220</v>
      </c>
      <c r="O9" s="331" t="s">
        <v>220</v>
      </c>
    </row>
    <row r="10" spans="1:17" ht="15" customHeight="1" x14ac:dyDescent="0.2">
      <c r="A10" s="856" t="s">
        <v>247</v>
      </c>
      <c r="B10" s="857" t="s">
        <v>220</v>
      </c>
      <c r="C10" s="857"/>
      <c r="D10" s="857" t="s">
        <v>220</v>
      </c>
      <c r="E10" s="857" t="s">
        <v>220</v>
      </c>
      <c r="F10" s="857" t="s">
        <v>220</v>
      </c>
      <c r="G10" s="857"/>
      <c r="H10" s="857" t="s">
        <v>220</v>
      </c>
      <c r="I10" s="857" t="s">
        <v>220</v>
      </c>
      <c r="K10" s="543" t="s">
        <v>139</v>
      </c>
      <c r="L10" s="1249" t="s">
        <v>207</v>
      </c>
      <c r="M10" s="1250"/>
      <c r="N10" s="1249" t="s">
        <v>207</v>
      </c>
      <c r="O10" s="1250"/>
    </row>
    <row r="11" spans="1:17" ht="15" customHeight="1" x14ac:dyDescent="0.2">
      <c r="A11" s="858" t="s">
        <v>139</v>
      </c>
      <c r="B11" s="859" t="s">
        <v>652</v>
      </c>
      <c r="C11" s="859"/>
      <c r="D11" s="859" t="s">
        <v>652</v>
      </c>
      <c r="E11" s="859" t="s">
        <v>653</v>
      </c>
      <c r="F11" s="859" t="s">
        <v>654</v>
      </c>
      <c r="G11" s="859"/>
      <c r="H11" s="859" t="s">
        <v>655</v>
      </c>
      <c r="I11" s="859" t="s">
        <v>656</v>
      </c>
      <c r="K11" s="584" t="s">
        <v>577</v>
      </c>
      <c r="L11" s="545"/>
      <c r="M11" s="546"/>
      <c r="N11" s="545"/>
      <c r="O11" s="544"/>
    </row>
    <row r="12" spans="1:17" ht="15" customHeight="1" x14ac:dyDescent="0.2">
      <c r="A12" s="334" t="s">
        <v>36</v>
      </c>
      <c r="B12" s="626">
        <v>32.017099999999999</v>
      </c>
      <c r="C12" s="626"/>
      <c r="D12" s="626">
        <v>32.017099999999999</v>
      </c>
      <c r="E12" s="626">
        <v>32.017099999999999</v>
      </c>
      <c r="F12" s="520">
        <v>28.0654</v>
      </c>
      <c r="G12" s="520"/>
      <c r="H12" s="520">
        <v>28.0654</v>
      </c>
      <c r="I12" s="520">
        <v>28.0654</v>
      </c>
      <c r="K12" s="547" t="s">
        <v>36</v>
      </c>
      <c r="L12" s="548">
        <v>5.22E-4</v>
      </c>
      <c r="M12" s="549" t="s">
        <v>202</v>
      </c>
      <c r="N12" s="548">
        <v>5.8600000000000004E-4</v>
      </c>
      <c r="O12" s="549" t="s">
        <v>204</v>
      </c>
      <c r="Q12" s="11"/>
    </row>
    <row r="13" spans="1:17" ht="15" customHeight="1" x14ac:dyDescent="0.2">
      <c r="A13" s="334" t="s">
        <v>37</v>
      </c>
      <c r="B13" s="487">
        <v>4.5</v>
      </c>
      <c r="C13" s="626"/>
      <c r="D13" s="487">
        <v>4.5</v>
      </c>
      <c r="E13" s="487">
        <v>4.5</v>
      </c>
      <c r="F13" s="516">
        <v>6.5</v>
      </c>
      <c r="G13" s="520"/>
      <c r="H13" s="516">
        <v>6.5</v>
      </c>
      <c r="I13" s="516">
        <v>6.5</v>
      </c>
      <c r="K13" s="550" t="s">
        <v>37</v>
      </c>
      <c r="L13" s="551">
        <v>5.22E-4</v>
      </c>
      <c r="M13" s="552" t="s">
        <v>202</v>
      </c>
      <c r="N13" s="551">
        <v>5.8600000000000004E-4</v>
      </c>
      <c r="O13" s="552" t="s">
        <v>204</v>
      </c>
    </row>
    <row r="14" spans="1:17" ht="15" customHeight="1" x14ac:dyDescent="0.2">
      <c r="A14" s="334" t="s">
        <v>97</v>
      </c>
      <c r="B14" s="487">
        <v>0.27</v>
      </c>
      <c r="C14" s="626"/>
      <c r="D14" s="487">
        <v>0.27</v>
      </c>
      <c r="E14" s="487">
        <v>0.27</v>
      </c>
      <c r="F14" s="516">
        <v>1.5</v>
      </c>
      <c r="G14" s="520"/>
      <c r="H14" s="516">
        <v>1.5</v>
      </c>
      <c r="I14" s="517">
        <v>1.5</v>
      </c>
      <c r="K14" s="550" t="s">
        <v>97</v>
      </c>
      <c r="L14" s="551"/>
      <c r="M14" s="552"/>
      <c r="N14" s="551"/>
      <c r="O14" s="552"/>
    </row>
    <row r="15" spans="1:17" ht="15" customHeight="1" x14ac:dyDescent="0.3">
      <c r="A15" s="334" t="s">
        <v>408</v>
      </c>
      <c r="B15" s="519">
        <v>4.5999999999999999E-3</v>
      </c>
      <c r="C15" s="626"/>
      <c r="D15" s="488">
        <v>8.7999999999999995E-2</v>
      </c>
      <c r="E15" s="488">
        <v>8.7999999999999995E-2</v>
      </c>
      <c r="F15" s="520">
        <v>3.3999999999999998E-3</v>
      </c>
      <c r="G15" s="520"/>
      <c r="H15" s="488">
        <v>1.0999999999999999E-2</v>
      </c>
      <c r="I15" s="488">
        <v>5.8000000000000003E-2</v>
      </c>
      <c r="K15" s="550" t="s">
        <v>40</v>
      </c>
      <c r="L15" s="551">
        <v>3.9090000000000001E-3</v>
      </c>
      <c r="M15" s="552" t="s">
        <v>203</v>
      </c>
      <c r="N15" s="551">
        <v>1.2187E-2</v>
      </c>
      <c r="O15" s="553" t="s">
        <v>205</v>
      </c>
    </row>
    <row r="16" spans="1:17" ht="15" customHeight="1" x14ac:dyDescent="0.2">
      <c r="A16" s="334" t="s">
        <v>39</v>
      </c>
      <c r="B16" s="488">
        <v>2.5000000000000001E-2</v>
      </c>
      <c r="C16" s="626"/>
      <c r="D16" s="518">
        <v>0.12</v>
      </c>
      <c r="E16" s="518">
        <v>0.12</v>
      </c>
      <c r="F16" s="488">
        <v>2.5999999999999999E-2</v>
      </c>
      <c r="G16" s="520"/>
      <c r="H16" s="488">
        <v>5.5E-2</v>
      </c>
      <c r="I16" s="488">
        <v>5.5E-2</v>
      </c>
      <c r="K16" s="550" t="s">
        <v>41</v>
      </c>
      <c r="L16" s="551">
        <v>1.3489999999999999E-3</v>
      </c>
      <c r="M16" s="552" t="s">
        <v>217</v>
      </c>
      <c r="N16" s="551">
        <v>1.1800000000000001E-3</v>
      </c>
      <c r="O16" s="552" t="s">
        <v>206</v>
      </c>
    </row>
    <row r="17" spans="1:15" ht="15" customHeight="1" x14ac:dyDescent="0.2">
      <c r="A17" s="334" t="s">
        <v>40</v>
      </c>
      <c r="B17" s="519">
        <v>8.2000000000000007E-3</v>
      </c>
      <c r="C17" s="626"/>
      <c r="D17" s="519">
        <v>8.2000000000000007E-3</v>
      </c>
      <c r="E17" s="488">
        <v>3.5999999999999997E-2</v>
      </c>
      <c r="F17" s="488">
        <v>3.2000000000000001E-2</v>
      </c>
      <c r="G17" s="520"/>
      <c r="H17" s="488">
        <v>3.2000000000000001E-2</v>
      </c>
      <c r="I17" s="488">
        <v>3.2000000000000001E-2</v>
      </c>
      <c r="K17" s="584" t="s">
        <v>222</v>
      </c>
      <c r="L17" s="540" t="s">
        <v>600</v>
      </c>
      <c r="M17" s="556"/>
      <c r="N17" s="540" t="s">
        <v>600</v>
      </c>
      <c r="O17" s="544"/>
    </row>
    <row r="18" spans="1:15" ht="15" customHeight="1" x14ac:dyDescent="0.2">
      <c r="A18" s="334" t="s">
        <v>41</v>
      </c>
      <c r="B18" s="488">
        <v>0.4</v>
      </c>
      <c r="C18" s="626"/>
      <c r="D18" s="488">
        <v>0.4</v>
      </c>
      <c r="E18" s="488">
        <v>0.4</v>
      </c>
      <c r="F18" s="488">
        <v>0.13</v>
      </c>
      <c r="G18" s="520"/>
      <c r="H18" s="488">
        <v>0.13</v>
      </c>
      <c r="I18" s="488">
        <v>0.13</v>
      </c>
      <c r="K18" s="554" t="s">
        <v>177</v>
      </c>
      <c r="L18" s="609">
        <v>6.5000000000000002E-2</v>
      </c>
      <c r="M18" s="555"/>
      <c r="N18" s="617">
        <v>2.5999999999999999E-3</v>
      </c>
      <c r="O18" s="555"/>
    </row>
    <row r="19" spans="1:15" ht="15" customHeight="1" x14ac:dyDescent="0.2">
      <c r="A19" s="860" t="s">
        <v>598</v>
      </c>
      <c r="B19" s="871">
        <f>(0.00000089/0.03)*100</f>
        <v>2.9666666666666665E-3</v>
      </c>
      <c r="C19" s="871"/>
      <c r="D19" s="871">
        <f>(0.00000089/0.03)*100</f>
        <v>2.9666666666666665E-3</v>
      </c>
      <c r="E19" s="871">
        <f>(0.00001/0.03)*100</f>
        <v>3.333333333333334E-2</v>
      </c>
      <c r="F19" s="871">
        <f>(0.00000062/0.03)*100</f>
        <v>2.0666666666666667E-3</v>
      </c>
      <c r="G19" s="872"/>
      <c r="H19" s="871">
        <v>5.4000000000000001E-4</v>
      </c>
      <c r="I19" s="871">
        <f>(0.000015/0.03)*100</f>
        <v>0.05</v>
      </c>
      <c r="K19" s="554"/>
      <c r="L19" s="551"/>
      <c r="M19" s="555"/>
      <c r="N19" s="551"/>
      <c r="O19" s="555"/>
    </row>
    <row r="20" spans="1:15" ht="15" customHeight="1" x14ac:dyDescent="0.2">
      <c r="A20" s="867"/>
      <c r="B20" s="868"/>
      <c r="C20" s="868"/>
      <c r="D20" s="868"/>
      <c r="E20" s="868"/>
      <c r="F20" s="868"/>
      <c r="G20" s="869"/>
      <c r="H20" s="868"/>
      <c r="I20" s="870"/>
      <c r="K20" s="584" t="s">
        <v>557</v>
      </c>
      <c r="L20" s="540" t="s">
        <v>600</v>
      </c>
      <c r="M20" s="556" t="s">
        <v>597</v>
      </c>
      <c r="N20" s="540" t="s">
        <v>600</v>
      </c>
      <c r="O20" s="557" t="s">
        <v>597</v>
      </c>
    </row>
    <row r="21" spans="1:15" ht="15" customHeight="1" x14ac:dyDescent="0.2">
      <c r="A21" s="627" t="s">
        <v>222</v>
      </c>
      <c r="B21" s="628"/>
      <c r="C21" s="628"/>
      <c r="D21" s="628"/>
      <c r="E21" s="628"/>
      <c r="F21" s="628"/>
      <c r="G21" s="628"/>
      <c r="H21" s="628"/>
      <c r="I21" s="630"/>
      <c r="K21" s="558" t="s">
        <v>43</v>
      </c>
      <c r="L21" s="609">
        <v>5.1999999999999995E-4</v>
      </c>
      <c r="M21" s="555"/>
      <c r="N21" s="617">
        <v>3.2000000000000003E-4</v>
      </c>
      <c r="O21" s="559"/>
    </row>
    <row r="22" spans="1:15" ht="15" customHeight="1" x14ac:dyDescent="0.2">
      <c r="A22" s="856" t="s">
        <v>247</v>
      </c>
      <c r="B22" s="857" t="s">
        <v>871</v>
      </c>
      <c r="C22" s="857" t="s">
        <v>869</v>
      </c>
      <c r="D22" s="857" t="s">
        <v>869</v>
      </c>
      <c r="E22" s="857" t="s">
        <v>869</v>
      </c>
      <c r="F22" s="857" t="s">
        <v>871</v>
      </c>
      <c r="G22" s="857" t="s">
        <v>869</v>
      </c>
      <c r="H22" s="857" t="s">
        <v>869</v>
      </c>
      <c r="I22" s="857" t="s">
        <v>869</v>
      </c>
      <c r="K22" s="554" t="s">
        <v>541</v>
      </c>
      <c r="L22" s="610">
        <v>9.6000000000000002E-5</v>
      </c>
      <c r="M22" s="555"/>
      <c r="N22" s="618">
        <v>4.8999999999999998E-5</v>
      </c>
      <c r="O22" s="555"/>
    </row>
    <row r="23" spans="1:15" ht="15" customHeight="1" x14ac:dyDescent="0.2">
      <c r="A23" s="858" t="s">
        <v>139</v>
      </c>
      <c r="B23" s="859" t="s">
        <v>870</v>
      </c>
      <c r="C23" s="859" t="s">
        <v>870</v>
      </c>
      <c r="D23" s="859" t="s">
        <v>870</v>
      </c>
      <c r="E23" s="859" t="s">
        <v>870</v>
      </c>
      <c r="F23" s="859" t="s">
        <v>870</v>
      </c>
      <c r="G23" s="859" t="s">
        <v>870</v>
      </c>
      <c r="H23" s="859" t="s">
        <v>870</v>
      </c>
      <c r="I23" s="859" t="s">
        <v>870</v>
      </c>
      <c r="K23" s="554" t="s">
        <v>542</v>
      </c>
      <c r="L23" s="609">
        <v>4.8999999999999998E-4</v>
      </c>
      <c r="M23" s="555"/>
      <c r="N23" s="617">
        <v>3.8999999999999999E-4</v>
      </c>
      <c r="O23" s="555"/>
    </row>
    <row r="24" spans="1:15" ht="15" customHeight="1" x14ac:dyDescent="0.3">
      <c r="A24" s="624" t="s">
        <v>352</v>
      </c>
      <c r="B24" s="625">
        <v>122829</v>
      </c>
      <c r="C24" s="625">
        <v>12543</v>
      </c>
      <c r="D24" s="625">
        <v>22827</v>
      </c>
      <c r="E24" s="625">
        <v>21836</v>
      </c>
      <c r="F24" s="625">
        <v>122829</v>
      </c>
      <c r="G24" s="625">
        <v>12543</v>
      </c>
      <c r="H24" s="625">
        <v>22827</v>
      </c>
      <c r="I24" s="625">
        <v>24836</v>
      </c>
      <c r="K24" s="554" t="s">
        <v>543</v>
      </c>
      <c r="L24" s="609">
        <v>1.2999999999999999E-4</v>
      </c>
      <c r="M24" s="555"/>
      <c r="N24" s="617">
        <v>1.6000000000000001E-4</v>
      </c>
      <c r="O24" s="555"/>
    </row>
    <row r="25" spans="1:15" ht="15" customHeight="1" x14ac:dyDescent="0.3">
      <c r="A25" s="624" t="s">
        <v>353</v>
      </c>
      <c r="B25" s="625">
        <v>2.31</v>
      </c>
      <c r="C25" s="625">
        <v>0.59799999999999998</v>
      </c>
      <c r="D25" s="625">
        <v>0.92500000000000004</v>
      </c>
      <c r="E25" s="625">
        <v>0.99199999999999999</v>
      </c>
      <c r="F25" s="625">
        <v>2.31</v>
      </c>
      <c r="G25" s="625">
        <v>0.59799999999999998</v>
      </c>
      <c r="H25" s="625">
        <v>0.92500000000000004</v>
      </c>
      <c r="I25" s="625">
        <v>0.99199999999999999</v>
      </c>
      <c r="K25" s="554" t="s">
        <v>544</v>
      </c>
      <c r="L25" s="611">
        <v>2.0999999999999998E-6</v>
      </c>
      <c r="M25" s="555"/>
      <c r="N25" s="618">
        <v>4.0000000000000003E-5</v>
      </c>
      <c r="O25" s="555"/>
    </row>
    <row r="26" spans="1:15" ht="15" customHeight="1" x14ac:dyDescent="0.3">
      <c r="A26" s="336" t="s">
        <v>401</v>
      </c>
      <c r="B26" s="589">
        <v>0.23100000000000001</v>
      </c>
      <c r="C26" s="589">
        <v>0.11899999999999999</v>
      </c>
      <c r="D26" s="589">
        <v>0.185</v>
      </c>
      <c r="E26" s="589">
        <v>0.19800000000000001</v>
      </c>
      <c r="F26" s="589">
        <v>0.23100000000000001</v>
      </c>
      <c r="G26" s="589">
        <v>0.11899999999999999</v>
      </c>
      <c r="H26" s="589">
        <v>0.185</v>
      </c>
      <c r="I26" s="589">
        <v>0.19800000000000001</v>
      </c>
      <c r="K26" s="554" t="s">
        <v>545</v>
      </c>
      <c r="L26" s="609">
        <v>1.4999999999999999E-4</v>
      </c>
      <c r="M26" s="555"/>
      <c r="N26" s="617">
        <v>2.3000000000000001E-4</v>
      </c>
      <c r="O26" s="555"/>
    </row>
    <row r="27" spans="1:15" ht="15" customHeight="1" x14ac:dyDescent="0.2">
      <c r="A27" s="864"/>
      <c r="B27" s="865"/>
      <c r="C27" s="865"/>
      <c r="D27" s="865"/>
      <c r="E27" s="865"/>
      <c r="F27" s="865"/>
      <c r="G27" s="865"/>
      <c r="H27" s="865"/>
      <c r="I27" s="866"/>
      <c r="K27" s="554" t="s">
        <v>546</v>
      </c>
      <c r="L27" s="612">
        <v>1.1000000000000001E-3</v>
      </c>
      <c r="M27" s="555"/>
      <c r="N27" s="619"/>
      <c r="O27" s="577" t="s">
        <v>555</v>
      </c>
    </row>
    <row r="28" spans="1:15" ht="15" customHeight="1" x14ac:dyDescent="0.2">
      <c r="A28" s="861" t="s">
        <v>865</v>
      </c>
      <c r="B28" s="862"/>
      <c r="C28" s="862"/>
      <c r="D28" s="862"/>
      <c r="E28" s="862"/>
      <c r="F28" s="862"/>
      <c r="G28" s="862"/>
      <c r="H28" s="862"/>
      <c r="I28" s="863"/>
      <c r="K28" s="554" t="s">
        <v>126</v>
      </c>
      <c r="L28" s="612">
        <v>2.8E-3</v>
      </c>
      <c r="M28" s="555"/>
      <c r="N28" s="617">
        <v>3.8000000000000002E-4</v>
      </c>
      <c r="O28" s="555"/>
    </row>
    <row r="29" spans="1:15" ht="15" customHeight="1" x14ac:dyDescent="0.2">
      <c r="A29" s="856" t="s">
        <v>247</v>
      </c>
      <c r="B29" s="857" t="s">
        <v>220</v>
      </c>
      <c r="C29" s="857"/>
      <c r="D29" s="857" t="s">
        <v>220</v>
      </c>
      <c r="E29" s="857" t="s">
        <v>220</v>
      </c>
      <c r="F29" s="857" t="s">
        <v>220</v>
      </c>
      <c r="G29" s="857"/>
      <c r="H29" s="857" t="s">
        <v>220</v>
      </c>
      <c r="I29" s="857" t="s">
        <v>220</v>
      </c>
      <c r="K29" s="554" t="s">
        <v>44</v>
      </c>
      <c r="L29" s="609">
        <v>8.8000000000000003E-4</v>
      </c>
      <c r="M29" s="555"/>
      <c r="N29" s="620">
        <v>6.8999999999999999E-3</v>
      </c>
      <c r="O29" s="555"/>
    </row>
    <row r="30" spans="1:15" ht="15" customHeight="1" x14ac:dyDescent="0.2">
      <c r="A30" s="858" t="s">
        <v>139</v>
      </c>
      <c r="B30" s="859" t="s">
        <v>652</v>
      </c>
      <c r="C30" s="859"/>
      <c r="D30" s="859" t="s">
        <v>652</v>
      </c>
      <c r="E30" s="859" t="s">
        <v>653</v>
      </c>
      <c r="F30" s="859" t="s">
        <v>654</v>
      </c>
      <c r="G30" s="859"/>
      <c r="H30" s="859" t="s">
        <v>655</v>
      </c>
      <c r="I30" s="859" t="s">
        <v>656</v>
      </c>
      <c r="K30" s="554" t="s">
        <v>547</v>
      </c>
      <c r="L30" s="612">
        <v>1.5E-3</v>
      </c>
      <c r="M30" s="555"/>
      <c r="N30" s="620">
        <v>1E-3</v>
      </c>
      <c r="O30" s="555"/>
    </row>
    <row r="31" spans="1:15" ht="15" customHeight="1" x14ac:dyDescent="0.2">
      <c r="A31" s="627" t="s">
        <v>578</v>
      </c>
      <c r="B31" s="628"/>
      <c r="C31" s="628"/>
      <c r="D31" s="628"/>
      <c r="E31" s="628"/>
      <c r="F31" s="628"/>
      <c r="G31" s="628"/>
      <c r="H31" s="628"/>
      <c r="I31" s="629"/>
      <c r="K31" s="554" t="s">
        <v>548</v>
      </c>
      <c r="L31" s="610">
        <v>1.8E-5</v>
      </c>
      <c r="M31" s="555"/>
      <c r="N31" s="621">
        <v>3.1E-6</v>
      </c>
      <c r="O31" s="555"/>
    </row>
    <row r="32" spans="1:15" ht="15" customHeight="1" x14ac:dyDescent="0.2">
      <c r="A32" s="585" t="s">
        <v>120</v>
      </c>
      <c r="B32" s="590">
        <v>3.2000000000000003E-4</v>
      </c>
      <c r="C32" s="590"/>
      <c r="D32" s="590">
        <v>3.2000000000000003E-4</v>
      </c>
      <c r="E32" s="590">
        <v>3.2000000000000003E-4</v>
      </c>
      <c r="F32" s="590"/>
      <c r="G32" s="590"/>
      <c r="H32" s="590"/>
      <c r="I32" s="590">
        <v>1.2999999999999999E-3</v>
      </c>
      <c r="K32" s="554" t="s">
        <v>549</v>
      </c>
      <c r="L32" s="613">
        <v>0</v>
      </c>
      <c r="M32" s="555"/>
      <c r="N32" s="621">
        <v>2.7E-6</v>
      </c>
      <c r="O32" s="555"/>
    </row>
    <row r="33" spans="1:15" ht="15" customHeight="1" x14ac:dyDescent="0.2">
      <c r="A33" s="585" t="s">
        <v>43</v>
      </c>
      <c r="B33" s="590">
        <v>2.7999999999999998E-4</v>
      </c>
      <c r="C33" s="590"/>
      <c r="D33" s="590">
        <v>2.7999999999999998E-4</v>
      </c>
      <c r="E33" s="590">
        <v>2.7999999999999998E-4</v>
      </c>
      <c r="F33" s="590">
        <v>3.8999999999999999E-4</v>
      </c>
      <c r="G33" s="590"/>
      <c r="H33" s="590">
        <v>3.8999999999999999E-4</v>
      </c>
      <c r="I33" s="590">
        <v>3.8999999999999999E-4</v>
      </c>
      <c r="K33" s="554" t="s">
        <v>550</v>
      </c>
      <c r="L33" s="613">
        <v>0</v>
      </c>
      <c r="M33" s="555"/>
      <c r="N33" s="622"/>
      <c r="O33" s="555" t="s">
        <v>556</v>
      </c>
    </row>
    <row r="34" spans="1:15" ht="15" customHeight="1" x14ac:dyDescent="0.2">
      <c r="A34" s="585" t="s">
        <v>126</v>
      </c>
      <c r="B34" s="590">
        <v>2.2000000000000001E-3</v>
      </c>
      <c r="C34" s="590"/>
      <c r="D34" s="590">
        <v>2.2000000000000001E-3</v>
      </c>
      <c r="E34" s="590">
        <v>2.2000000000000001E-3</v>
      </c>
      <c r="F34" s="590">
        <v>2.4000000000000001E-4</v>
      </c>
      <c r="G34" s="590"/>
      <c r="H34" s="590">
        <v>2.4000000000000001E-4</v>
      </c>
      <c r="I34" s="590">
        <v>2.4000000000000001E-4</v>
      </c>
      <c r="K34" s="554" t="s">
        <v>131</v>
      </c>
      <c r="L34" s="610">
        <v>7.2999999999999999E-5</v>
      </c>
      <c r="M34" s="555"/>
      <c r="N34" s="618">
        <v>5.3999999999999998E-5</v>
      </c>
      <c r="O34" s="555"/>
    </row>
    <row r="35" spans="1:15" ht="15" customHeight="1" x14ac:dyDescent="0.2">
      <c r="A35" s="585" t="s">
        <v>44</v>
      </c>
      <c r="B35" s="590">
        <v>7.3999999999999999E-4</v>
      </c>
      <c r="C35" s="590"/>
      <c r="D35" s="590">
        <v>7.3999999999999999E-4</v>
      </c>
      <c r="E35" s="590">
        <v>7.3999999999999999E-4</v>
      </c>
      <c r="F35" s="590">
        <v>3.0999999999999999E-3</v>
      </c>
      <c r="G35" s="590"/>
      <c r="H35" s="590">
        <v>3.0999999999999999E-3</v>
      </c>
      <c r="I35" s="590">
        <v>3.0999999999999999E-3</v>
      </c>
      <c r="K35" s="554" t="s">
        <v>551</v>
      </c>
      <c r="L35" s="610">
        <v>7.7000000000000001E-5</v>
      </c>
      <c r="M35" s="555"/>
      <c r="N35" s="622"/>
      <c r="O35" s="555" t="s">
        <v>556</v>
      </c>
    </row>
    <row r="36" spans="1:15" ht="15" customHeight="1" x14ac:dyDescent="0.2">
      <c r="A36" s="585" t="s">
        <v>218</v>
      </c>
      <c r="B36" s="590">
        <v>2.7E-4</v>
      </c>
      <c r="C36" s="590"/>
      <c r="D36" s="590">
        <v>2.7E-4</v>
      </c>
      <c r="E36" s="590">
        <v>2.7E-4</v>
      </c>
      <c r="F36" s="590"/>
      <c r="G36" s="590"/>
      <c r="H36" s="590"/>
      <c r="I36" s="590">
        <v>1.6000000000000001E-4</v>
      </c>
      <c r="K36" s="554" t="s">
        <v>47</v>
      </c>
      <c r="L36" s="612">
        <v>2.0999999999999999E-3</v>
      </c>
      <c r="M36" s="555"/>
      <c r="N36" s="617">
        <v>6.2E-4</v>
      </c>
      <c r="O36" s="555"/>
    </row>
    <row r="37" spans="1:15" ht="15" customHeight="1" x14ac:dyDescent="0.2">
      <c r="A37" s="585" t="s">
        <v>47</v>
      </c>
      <c r="B37" s="590">
        <v>1E-3</v>
      </c>
      <c r="C37" s="590"/>
      <c r="D37" s="590">
        <v>1E-3</v>
      </c>
      <c r="E37" s="590">
        <v>1E-3</v>
      </c>
      <c r="F37" s="590">
        <v>1.4999999999999999E-4</v>
      </c>
      <c r="G37" s="590"/>
      <c r="H37" s="590">
        <v>2.8999999999999998E-3</v>
      </c>
      <c r="I37" s="590">
        <v>2.8999999999999998E-3</v>
      </c>
      <c r="K37" s="554" t="s">
        <v>552</v>
      </c>
      <c r="L37" s="614">
        <v>0</v>
      </c>
      <c r="M37" s="555"/>
      <c r="N37" s="623"/>
      <c r="O37" s="555" t="s">
        <v>556</v>
      </c>
    </row>
    <row r="38" spans="1:15" ht="15" customHeight="1" x14ac:dyDescent="0.2">
      <c r="A38" s="585" t="s">
        <v>134</v>
      </c>
      <c r="B38" s="590">
        <v>2.7000000000000001E-3</v>
      </c>
      <c r="C38" s="590"/>
      <c r="D38" s="590">
        <v>2.7000000000000001E-3</v>
      </c>
      <c r="E38" s="590">
        <v>2.7000000000000001E-3</v>
      </c>
      <c r="F38" s="590">
        <v>2.0000000000000001E-4</v>
      </c>
      <c r="G38" s="590"/>
      <c r="H38" s="590">
        <v>2.0000000000000001E-4</v>
      </c>
      <c r="I38" s="590">
        <v>2.0000000000000001E-4</v>
      </c>
      <c r="K38" s="554" t="s">
        <v>553</v>
      </c>
      <c r="L38" s="614">
        <v>0</v>
      </c>
      <c r="M38" s="555"/>
      <c r="N38" s="623"/>
      <c r="O38" s="555" t="s">
        <v>556</v>
      </c>
    </row>
    <row r="39" spans="1:15" ht="15" customHeight="1" x14ac:dyDescent="0.2">
      <c r="A39" s="585" t="s">
        <v>45</v>
      </c>
      <c r="B39" s="591"/>
      <c r="C39" s="591"/>
      <c r="D39" s="591"/>
      <c r="E39" s="591"/>
      <c r="F39" s="590">
        <v>9.2000000000000003E-4</v>
      </c>
      <c r="G39" s="590"/>
      <c r="H39" s="590">
        <v>9.2000000000000003E-4</v>
      </c>
      <c r="I39" s="590">
        <v>9.2000000000000003E-4</v>
      </c>
      <c r="K39" s="554" t="s">
        <v>554</v>
      </c>
      <c r="L39" s="615">
        <v>1.2999999999999999E-5</v>
      </c>
      <c r="M39" s="555"/>
      <c r="N39" s="623"/>
      <c r="O39" s="555" t="s">
        <v>556</v>
      </c>
    </row>
    <row r="40" spans="1:15" ht="15" customHeight="1" x14ac:dyDescent="0.2">
      <c r="A40" s="585" t="s">
        <v>548</v>
      </c>
      <c r="B40" s="590"/>
      <c r="C40" s="590"/>
      <c r="D40" s="590"/>
      <c r="E40" s="590"/>
      <c r="F40" s="590">
        <v>4.0000000000000003E-5</v>
      </c>
      <c r="G40" s="590"/>
      <c r="H40" s="590">
        <v>4.0000000000000003E-5</v>
      </c>
      <c r="I40" s="590">
        <v>4.0000000000000003E-5</v>
      </c>
      <c r="K40" s="554" t="s">
        <v>134</v>
      </c>
      <c r="L40" s="616">
        <f>0.41%+0.08%</f>
        <v>4.8999999999999998E-3</v>
      </c>
      <c r="M40" s="555" t="s">
        <v>595</v>
      </c>
      <c r="N40" s="614">
        <f>0.2%+0.057%</f>
        <v>2.5700000000000002E-3</v>
      </c>
      <c r="O40" s="555" t="s">
        <v>596</v>
      </c>
    </row>
    <row r="41" spans="1:15" ht="15" customHeight="1" x14ac:dyDescent="0.2">
      <c r="A41" s="585" t="s">
        <v>579</v>
      </c>
      <c r="B41" s="590"/>
      <c r="C41" s="590"/>
      <c r="D41" s="590"/>
      <c r="E41" s="590"/>
      <c r="F41" s="590">
        <v>4.8000000000000001E-5</v>
      </c>
      <c r="G41" s="590"/>
      <c r="H41" s="590">
        <v>4.8000000000000001E-5</v>
      </c>
      <c r="I41" s="590">
        <v>4.8000000000000001E-5</v>
      </c>
      <c r="K41" s="584" t="s">
        <v>558</v>
      </c>
      <c r="L41" s="540" t="s">
        <v>601</v>
      </c>
      <c r="M41" s="546"/>
      <c r="N41" s="540" t="s">
        <v>602</v>
      </c>
      <c r="O41" s="544"/>
    </row>
    <row r="42" spans="1:15" ht="15" customHeight="1" x14ac:dyDescent="0.2">
      <c r="A42" s="585" t="s">
        <v>121</v>
      </c>
      <c r="B42" s="590"/>
      <c r="C42" s="590"/>
      <c r="D42" s="590"/>
      <c r="E42" s="590"/>
      <c r="F42" s="590"/>
      <c r="G42" s="590"/>
      <c r="H42" s="590"/>
      <c r="I42" s="590">
        <v>2.5999999999999998E-5</v>
      </c>
      <c r="K42" s="554" t="s">
        <v>559</v>
      </c>
      <c r="L42" s="597">
        <v>2.5999999999999999E-3</v>
      </c>
      <c r="M42" s="555"/>
      <c r="N42" s="597">
        <v>4.7000000000000002E-3</v>
      </c>
      <c r="O42" s="555"/>
    </row>
    <row r="43" spans="1:15" ht="15" customHeight="1" x14ac:dyDescent="0.2">
      <c r="A43" s="585" t="s">
        <v>580</v>
      </c>
      <c r="B43" s="590"/>
      <c r="C43" s="590"/>
      <c r="D43" s="590"/>
      <c r="E43" s="590"/>
      <c r="F43" s="590"/>
      <c r="G43" s="590"/>
      <c r="H43" s="590"/>
      <c r="I43" s="590">
        <v>1.2999999999999999E-4</v>
      </c>
      <c r="K43" s="554" t="s">
        <v>560</v>
      </c>
      <c r="L43" s="598">
        <v>2.7999999999999998E-4</v>
      </c>
      <c r="M43" s="555"/>
      <c r="N43" s="598">
        <v>1.3999999999999999E-4</v>
      </c>
      <c r="O43" s="555"/>
    </row>
    <row r="44" spans="1:15" ht="15" customHeight="1" x14ac:dyDescent="0.2">
      <c r="A44" s="627" t="s">
        <v>558</v>
      </c>
      <c r="B44" s="634"/>
      <c r="C44" s="634"/>
      <c r="D44" s="628"/>
      <c r="E44" s="628"/>
      <c r="F44" s="628"/>
      <c r="G44" s="628"/>
      <c r="H44" s="628"/>
      <c r="I44" s="630"/>
      <c r="K44" s="550" t="s">
        <v>561</v>
      </c>
      <c r="L44" s="599">
        <v>6.9999999999999999E-4</v>
      </c>
      <c r="M44" s="555"/>
      <c r="N44" s="606">
        <v>1.2999999999999999E-3</v>
      </c>
      <c r="O44" s="555"/>
    </row>
    <row r="45" spans="1:15" ht="15" customHeight="1" x14ac:dyDescent="0.2">
      <c r="A45" s="585" t="s">
        <v>573</v>
      </c>
      <c r="B45" s="590">
        <v>7.1000000000000005E-5</v>
      </c>
      <c r="C45" s="590"/>
      <c r="D45" s="590">
        <v>7.1000000000000005E-5</v>
      </c>
      <c r="E45" s="590">
        <v>7.1000000000000005E-5</v>
      </c>
      <c r="F45" s="590">
        <v>7.3999999999999996E-5</v>
      </c>
      <c r="G45" s="590"/>
      <c r="H45" s="590">
        <v>1.7000000000000001E-4</v>
      </c>
      <c r="I45" s="590">
        <v>1.7000000000000001E-4</v>
      </c>
      <c r="K45" s="550" t="s">
        <v>562</v>
      </c>
      <c r="L45" s="599">
        <v>1.9000000000000001E-4</v>
      </c>
      <c r="M45" s="555"/>
      <c r="N45" s="598">
        <v>5.5999999999999995E-4</v>
      </c>
      <c r="O45" s="555"/>
    </row>
    <row r="46" spans="1:15" ht="15" customHeight="1" x14ac:dyDescent="0.2">
      <c r="A46" s="585" t="s">
        <v>559</v>
      </c>
      <c r="B46" s="590">
        <v>8.9999999999999996E-7</v>
      </c>
      <c r="C46" s="590"/>
      <c r="D46" s="590">
        <v>8.9999999999999996E-7</v>
      </c>
      <c r="E46" s="590">
        <v>8.9999999999999996E-7</v>
      </c>
      <c r="F46" s="590">
        <v>1.3999999999999999E-6</v>
      </c>
      <c r="G46" s="590"/>
      <c r="H46" s="590">
        <v>1.3999999999999999E-6</v>
      </c>
      <c r="I46" s="590">
        <v>1.3999999999999999E-6</v>
      </c>
      <c r="K46" s="550" t="s">
        <v>563</v>
      </c>
      <c r="L46" s="600">
        <v>7.6000000000000004E-5</v>
      </c>
      <c r="M46" s="555"/>
      <c r="N46" s="551"/>
      <c r="O46" s="555" t="s">
        <v>555</v>
      </c>
    </row>
    <row r="47" spans="1:15" ht="15" customHeight="1" x14ac:dyDescent="0.2">
      <c r="A47" s="585" t="s">
        <v>560</v>
      </c>
      <c r="B47" s="590">
        <v>5.7999999999999995E-7</v>
      </c>
      <c r="C47" s="590"/>
      <c r="D47" s="590">
        <v>5.7999999999999995E-7</v>
      </c>
      <c r="E47" s="590">
        <v>5.7999999999999995E-7</v>
      </c>
      <c r="F47" s="590">
        <v>8.6000000000000007E-6</v>
      </c>
      <c r="G47" s="590"/>
      <c r="H47" s="590">
        <v>2.1999999999999999E-5</v>
      </c>
      <c r="I47" s="590">
        <v>2.1999999999999999E-5</v>
      </c>
      <c r="K47" s="550" t="s">
        <v>564</v>
      </c>
      <c r="L47" s="600">
        <v>2.1999999999999999E-5</v>
      </c>
      <c r="M47" s="555"/>
      <c r="N47" s="551"/>
      <c r="O47" s="555" t="s">
        <v>556</v>
      </c>
    </row>
    <row r="48" spans="1:15" ht="15" customHeight="1" x14ac:dyDescent="0.2">
      <c r="A48" s="585" t="s">
        <v>581</v>
      </c>
      <c r="B48" s="590">
        <v>2.1E-7</v>
      </c>
      <c r="C48" s="590"/>
      <c r="D48" s="590">
        <v>2.1E-7</v>
      </c>
      <c r="E48" s="590">
        <v>2.1E-7</v>
      </c>
      <c r="F48" s="590">
        <v>2.2000000000000001E-7</v>
      </c>
      <c r="G48" s="590"/>
      <c r="H48" s="590">
        <v>3.1E-6</v>
      </c>
      <c r="I48" s="590">
        <v>3.1E-6</v>
      </c>
      <c r="K48" s="550" t="s">
        <v>565</v>
      </c>
      <c r="L48" s="600">
        <v>1.9000000000000001E-5</v>
      </c>
      <c r="M48" s="555"/>
      <c r="N48" s="551"/>
      <c r="O48" s="555" t="s">
        <v>556</v>
      </c>
    </row>
    <row r="49" spans="1:15" ht="15" customHeight="1" x14ac:dyDescent="0.2">
      <c r="A49" s="585" t="s">
        <v>562</v>
      </c>
      <c r="B49" s="590">
        <v>4.5999999999999998E-9</v>
      </c>
      <c r="C49" s="590"/>
      <c r="D49" s="590">
        <v>4.5999999999999998E-9</v>
      </c>
      <c r="E49" s="590">
        <v>4.5999999999999998E-9</v>
      </c>
      <c r="F49" s="590">
        <v>2.1E-7</v>
      </c>
      <c r="G49" s="590"/>
      <c r="H49" s="590">
        <v>2.1E-7</v>
      </c>
      <c r="I49" s="590">
        <v>2.1E-7</v>
      </c>
      <c r="K49" s="550" t="s">
        <v>566</v>
      </c>
      <c r="L49" s="601">
        <v>2.3E-5</v>
      </c>
      <c r="M49" s="555"/>
      <c r="N49" s="551"/>
      <c r="O49" s="555" t="s">
        <v>556</v>
      </c>
    </row>
    <row r="50" spans="1:15" ht="15" customHeight="1" x14ac:dyDescent="0.2">
      <c r="A50" s="585" t="s">
        <v>566</v>
      </c>
      <c r="B50" s="590">
        <v>3.1000000000000002E-10</v>
      </c>
      <c r="C50" s="590"/>
      <c r="D50" s="590">
        <v>3.1000000000000002E-10</v>
      </c>
      <c r="E50" s="590">
        <v>3.1000000000000002E-10</v>
      </c>
      <c r="F50" s="590">
        <v>9.8000000000000001E-9</v>
      </c>
      <c r="G50" s="590"/>
      <c r="H50" s="590">
        <v>9.8000000000000001E-9</v>
      </c>
      <c r="I50" s="590">
        <v>9.8000000000000001E-9</v>
      </c>
      <c r="K50" s="550" t="s">
        <v>567</v>
      </c>
      <c r="L50" s="601">
        <v>7.7999999999999999E-5</v>
      </c>
      <c r="M50" s="555"/>
      <c r="N50" s="607">
        <v>9.5000000000000005E-5</v>
      </c>
      <c r="O50" s="555"/>
    </row>
    <row r="51" spans="1:15" ht="15" customHeight="1" x14ac:dyDescent="0.2">
      <c r="A51" s="585" t="s">
        <v>563</v>
      </c>
      <c r="B51" s="590">
        <v>9.3999999999999998E-9</v>
      </c>
      <c r="C51" s="590"/>
      <c r="D51" s="590">
        <v>9.3999999999999998E-9</v>
      </c>
      <c r="E51" s="590">
        <v>9.3999999999999998E-9</v>
      </c>
      <c r="F51" s="590">
        <v>9.9999999999999995E-8</v>
      </c>
      <c r="G51" s="590"/>
      <c r="H51" s="590">
        <v>9.9999999999999995E-8</v>
      </c>
      <c r="I51" s="590">
        <v>9.9999999999999995E-8</v>
      </c>
      <c r="K51" s="550" t="s">
        <v>568</v>
      </c>
      <c r="L51" s="602">
        <v>1.0300000000000001E-3</v>
      </c>
      <c r="M51" s="555"/>
      <c r="N51" s="597">
        <v>2.0999999999999999E-3</v>
      </c>
      <c r="O51" s="555"/>
    </row>
    <row r="52" spans="1:15" ht="15" customHeight="1" x14ac:dyDescent="0.2">
      <c r="A52" s="585" t="s">
        <v>565</v>
      </c>
      <c r="B52" s="590">
        <v>5.0000000000000003E-10</v>
      </c>
      <c r="C52" s="590"/>
      <c r="D52" s="590">
        <v>5.0000000000000003E-10</v>
      </c>
      <c r="E52" s="590">
        <v>5.0000000000000003E-10</v>
      </c>
      <c r="F52" s="590">
        <v>4.0000000000000001E-8</v>
      </c>
      <c r="G52" s="590"/>
      <c r="H52" s="592">
        <v>4.0000000000000001E-8</v>
      </c>
      <c r="I52" s="590">
        <v>4.0000000000000001E-8</v>
      </c>
      <c r="K52" s="550" t="s">
        <v>569</v>
      </c>
      <c r="L52" s="603">
        <v>3.7000000000000002E-6</v>
      </c>
      <c r="M52" s="555"/>
      <c r="N52" s="551"/>
      <c r="O52" s="555" t="s">
        <v>556</v>
      </c>
    </row>
    <row r="53" spans="1:15" ht="15" customHeight="1" x14ac:dyDescent="0.2">
      <c r="A53" s="585" t="s">
        <v>564</v>
      </c>
      <c r="B53" s="590">
        <v>1.3000000000000001E-8</v>
      </c>
      <c r="C53" s="590"/>
      <c r="D53" s="590">
        <v>1.3000000000000001E-8</v>
      </c>
      <c r="E53" s="590">
        <v>1.3000000000000001E-8</v>
      </c>
      <c r="F53" s="590">
        <v>4.1000000000000003E-8</v>
      </c>
      <c r="G53" s="590"/>
      <c r="H53" s="590">
        <v>4.1000000000000003E-8</v>
      </c>
      <c r="I53" s="590">
        <v>4.1000000000000003E-8</v>
      </c>
      <c r="K53" s="550" t="s">
        <v>570</v>
      </c>
      <c r="L53" s="598">
        <v>5.0000000000000001E-4</v>
      </c>
      <c r="M53" s="555"/>
      <c r="N53" s="597">
        <v>1.5E-3</v>
      </c>
      <c r="O53" s="555"/>
    </row>
    <row r="54" spans="1:15" ht="15" customHeight="1" x14ac:dyDescent="0.2">
      <c r="A54" s="585" t="s">
        <v>568</v>
      </c>
      <c r="B54" s="590">
        <v>3.8000000000000001E-9</v>
      </c>
      <c r="C54" s="590"/>
      <c r="D54" s="590">
        <v>3.8000000000000001E-9</v>
      </c>
      <c r="E54" s="590">
        <v>3.8000000000000001E-9</v>
      </c>
      <c r="F54" s="590">
        <v>1.8E-7</v>
      </c>
      <c r="G54" s="590"/>
      <c r="H54" s="590">
        <v>1.8E-7</v>
      </c>
      <c r="I54" s="590">
        <v>1.8E-7</v>
      </c>
      <c r="K54" s="550" t="s">
        <v>571</v>
      </c>
      <c r="L54" s="597">
        <v>7.7000000000000002E-3</v>
      </c>
      <c r="M54" s="555"/>
      <c r="N54" s="597">
        <v>1.01E-2</v>
      </c>
      <c r="O54" s="555"/>
    </row>
    <row r="55" spans="1:15" ht="15" customHeight="1" x14ac:dyDescent="0.2">
      <c r="A55" s="585" t="s">
        <v>569</v>
      </c>
      <c r="B55" s="590">
        <v>9.4999999999999995E-11</v>
      </c>
      <c r="C55" s="590"/>
      <c r="D55" s="590">
        <v>9.4999999999999995E-11</v>
      </c>
      <c r="E55" s="590">
        <v>9.4999999999999995E-11</v>
      </c>
      <c r="F55" s="590"/>
      <c r="G55" s="590"/>
      <c r="H55" s="590"/>
      <c r="I55" s="590"/>
      <c r="K55" s="550" t="s">
        <v>572</v>
      </c>
      <c r="L55" s="604">
        <v>4.6999999999999999E-6</v>
      </c>
      <c r="M55" s="555"/>
      <c r="N55" s="551"/>
      <c r="O55" s="555" t="s">
        <v>556</v>
      </c>
    </row>
    <row r="56" spans="1:15" ht="15" customHeight="1" x14ac:dyDescent="0.2">
      <c r="A56" s="585" t="s">
        <v>570</v>
      </c>
      <c r="B56" s="590">
        <v>1.6E-7</v>
      </c>
      <c r="C56" s="590"/>
      <c r="D56" s="592">
        <v>1.6E-7</v>
      </c>
      <c r="E56" s="590">
        <v>2.4000000000000001E-5</v>
      </c>
      <c r="F56" s="590">
        <v>6.0999999999999998E-7</v>
      </c>
      <c r="G56" s="590"/>
      <c r="H56" s="590">
        <v>6.0999999999999998E-7</v>
      </c>
      <c r="I56" s="590">
        <v>6.0999999999999998E-7</v>
      </c>
      <c r="K56" s="550" t="s">
        <v>573</v>
      </c>
      <c r="L56" s="597">
        <v>2.3800000000000002E-2</v>
      </c>
      <c r="M56" s="555"/>
      <c r="N56" s="597">
        <v>5.2699999999999997E-2</v>
      </c>
      <c r="O56" s="555"/>
    </row>
    <row r="57" spans="1:15" ht="15" customHeight="1" x14ac:dyDescent="0.2">
      <c r="A57" s="585" t="s">
        <v>571</v>
      </c>
      <c r="B57" s="590">
        <v>1.5999999999999999E-6</v>
      </c>
      <c r="C57" s="590"/>
      <c r="D57" s="590">
        <v>1.5999999999999999E-6</v>
      </c>
      <c r="E57" s="590">
        <v>1.5999999999999999E-6</v>
      </c>
      <c r="F57" s="590">
        <v>3.8E-6</v>
      </c>
      <c r="G57" s="590"/>
      <c r="H57" s="590">
        <v>1.1E-5</v>
      </c>
      <c r="I57" s="590">
        <v>1.1E-5</v>
      </c>
      <c r="K57" s="550" t="s">
        <v>46</v>
      </c>
      <c r="L57" s="597">
        <v>1.2500000000000001E-2</v>
      </c>
      <c r="M57" s="555"/>
      <c r="N57" s="597">
        <v>1.8200000000000001E-2</v>
      </c>
      <c r="O57" s="555"/>
    </row>
    <row r="58" spans="1:15" ht="15" customHeight="1" x14ac:dyDescent="0.2">
      <c r="A58" s="585" t="s">
        <v>572</v>
      </c>
      <c r="B58" s="590">
        <v>3E-10</v>
      </c>
      <c r="C58" s="590"/>
      <c r="D58" s="590">
        <v>3E-10</v>
      </c>
      <c r="E58" s="590">
        <v>3E-10</v>
      </c>
      <c r="F58" s="590">
        <v>6.9999999999999998E-9</v>
      </c>
      <c r="G58" s="590"/>
      <c r="H58" s="590">
        <v>6.9999999999999998E-9</v>
      </c>
      <c r="I58" s="590">
        <v>6.9999999999999998E-9</v>
      </c>
      <c r="K58" s="550" t="s">
        <v>574</v>
      </c>
      <c r="L58" s="598">
        <v>2.2000000000000001E-4</v>
      </c>
      <c r="M58" s="555"/>
      <c r="N58" s="598">
        <v>2.9999999999999997E-4</v>
      </c>
      <c r="O58" s="555"/>
    </row>
    <row r="59" spans="1:15" ht="15" customHeight="1" x14ac:dyDescent="0.2">
      <c r="A59" s="585" t="s">
        <v>46</v>
      </c>
      <c r="B59" s="590">
        <v>3.6000000000000001E-5</v>
      </c>
      <c r="C59" s="590"/>
      <c r="D59" s="590">
        <v>3.6000000000000001E-5</v>
      </c>
      <c r="E59" s="590">
        <v>3.6000000000000001E-5</v>
      </c>
      <c r="F59" s="590">
        <v>9.0000000000000006E-5</v>
      </c>
      <c r="G59" s="590"/>
      <c r="H59" s="590">
        <v>6.4999999999999997E-4</v>
      </c>
      <c r="I59" s="590">
        <v>6.4999999999999997E-4</v>
      </c>
      <c r="K59" s="550" t="s">
        <v>575</v>
      </c>
      <c r="L59" s="597">
        <v>8.0999999999999996E-3</v>
      </c>
      <c r="M59" s="555"/>
      <c r="N59" s="597">
        <v>1.7999999999999999E-2</v>
      </c>
      <c r="O59" s="555"/>
    </row>
    <row r="60" spans="1:15" ht="15" customHeight="1" x14ac:dyDescent="0.2">
      <c r="A60" s="585" t="s">
        <v>575</v>
      </c>
      <c r="B60" s="590">
        <v>2.6000000000000001E-6</v>
      </c>
      <c r="C60" s="590"/>
      <c r="D60" s="592">
        <v>2.6000000000000001E-6</v>
      </c>
      <c r="E60" s="590">
        <v>3.6999999999999998E-5</v>
      </c>
      <c r="F60" s="590">
        <v>7.6000000000000001E-6</v>
      </c>
      <c r="G60" s="590"/>
      <c r="H60" s="590">
        <v>2.3E-5</v>
      </c>
      <c r="I60" s="590">
        <v>2.3E-5</v>
      </c>
      <c r="K60" s="560" t="s">
        <v>576</v>
      </c>
      <c r="L60" s="605">
        <v>1.5E-3</v>
      </c>
      <c r="M60" s="561"/>
      <c r="N60" s="605">
        <v>4.4000000000000003E-3</v>
      </c>
      <c r="O60" s="561"/>
    </row>
    <row r="61" spans="1:15" ht="15" customHeight="1" x14ac:dyDescent="0.2">
      <c r="A61" s="585" t="s">
        <v>576</v>
      </c>
      <c r="B61" s="590">
        <v>6.1999999999999999E-8</v>
      </c>
      <c r="C61" s="590"/>
      <c r="D61" s="592">
        <v>6.1999999999999999E-8</v>
      </c>
      <c r="E61" s="590">
        <v>5.5000000000000002E-5</v>
      </c>
      <c r="F61" s="590">
        <v>5.4000000000000002E-7</v>
      </c>
      <c r="G61" s="590"/>
      <c r="H61" s="590">
        <v>3.0000000000000001E-6</v>
      </c>
      <c r="I61" s="590">
        <v>3.0000000000000001E-6</v>
      </c>
      <c r="K61" s="608" t="s">
        <v>615</v>
      </c>
    </row>
    <row r="62" spans="1:15" ht="15" customHeight="1" x14ac:dyDescent="0.2">
      <c r="A62" s="585" t="s">
        <v>567</v>
      </c>
      <c r="B62" s="591"/>
      <c r="C62" s="591"/>
      <c r="D62" s="591"/>
      <c r="E62" s="591"/>
      <c r="F62" s="590">
        <v>1.1000000000000001E-7</v>
      </c>
      <c r="G62" s="590"/>
      <c r="H62" s="590">
        <v>1.1000000000000001E-7</v>
      </c>
      <c r="I62" s="590">
        <v>1.1000000000000001E-7</v>
      </c>
      <c r="K62" s="1083" t="s">
        <v>616</v>
      </c>
      <c r="L62" s="1083"/>
      <c r="M62" s="1083"/>
      <c r="N62" s="1083"/>
      <c r="O62" s="1083"/>
    </row>
    <row r="63" spans="1:15" ht="15" customHeight="1" x14ac:dyDescent="0.2">
      <c r="A63" s="585" t="s">
        <v>574</v>
      </c>
      <c r="B63" s="590"/>
      <c r="C63" s="590"/>
      <c r="D63" s="590"/>
      <c r="E63" s="590"/>
      <c r="F63" s="590">
        <v>8.7999999999999994E-9</v>
      </c>
      <c r="G63" s="590"/>
      <c r="H63" s="590">
        <v>8.7999999999999994E-9</v>
      </c>
      <c r="I63" s="590">
        <v>8.7999999999999994E-9</v>
      </c>
      <c r="K63" s="1083"/>
      <c r="L63" s="1083"/>
      <c r="M63" s="1083"/>
      <c r="N63" s="1083"/>
      <c r="O63" s="1083"/>
    </row>
    <row r="64" spans="1:15" ht="15" customHeight="1" x14ac:dyDescent="0.2">
      <c r="A64" s="627" t="s">
        <v>599</v>
      </c>
      <c r="B64" s="634"/>
      <c r="C64" s="634"/>
      <c r="D64" s="632"/>
      <c r="E64" s="632"/>
      <c r="F64" s="632"/>
      <c r="G64" s="632"/>
      <c r="H64" s="632"/>
      <c r="I64" s="633"/>
    </row>
    <row r="65" spans="1:9" ht="15" customHeight="1" x14ac:dyDescent="0.2">
      <c r="A65" s="482" t="s">
        <v>221</v>
      </c>
      <c r="B65" s="335"/>
      <c r="C65" s="335"/>
      <c r="D65" s="339"/>
      <c r="E65" s="335"/>
      <c r="F65" s="335">
        <v>1.8E-7</v>
      </c>
      <c r="G65" s="335"/>
      <c r="H65" s="335">
        <v>1.8E-7</v>
      </c>
      <c r="I65" s="335">
        <v>1.8E-7</v>
      </c>
    </row>
    <row r="66" spans="1:9" ht="15" customHeight="1" x14ac:dyDescent="0.2">
      <c r="A66" s="482" t="s">
        <v>48</v>
      </c>
      <c r="B66" s="335">
        <f>(0.00000046/0.03)*100</f>
        <v>1.5333333333333334E-3</v>
      </c>
      <c r="C66" s="335"/>
      <c r="D66" s="339">
        <f>B66</f>
        <v>1.5333333333333334E-3</v>
      </c>
      <c r="E66" s="335">
        <f>B66</f>
        <v>1.5333333333333334E-3</v>
      </c>
      <c r="F66" s="335">
        <f>(0.00000056/0.03)*100</f>
        <v>1.8666666666666669E-3</v>
      </c>
      <c r="G66" s="335"/>
      <c r="H66" s="335">
        <f>F66</f>
        <v>1.8666666666666669E-3</v>
      </c>
      <c r="I66" s="335">
        <f>F66</f>
        <v>1.8666666666666669E-3</v>
      </c>
    </row>
    <row r="67" spans="1:9" ht="15" customHeight="1" x14ac:dyDescent="0.2">
      <c r="A67" s="482" t="s">
        <v>49</v>
      </c>
      <c r="B67" s="335">
        <f>(0.00000015/0.03)*100</f>
        <v>5.0000000000000001E-4</v>
      </c>
      <c r="C67" s="335"/>
      <c r="D67" s="339">
        <f>B67</f>
        <v>5.0000000000000001E-4</v>
      </c>
      <c r="E67" s="335">
        <f>B67</f>
        <v>5.0000000000000001E-4</v>
      </c>
      <c r="F67" s="335"/>
      <c r="G67" s="335"/>
      <c r="H67" s="335"/>
      <c r="I67" s="335"/>
    </row>
    <row r="68" spans="1:9" ht="15" customHeight="1" x14ac:dyDescent="0.2">
      <c r="A68" s="482" t="s">
        <v>50</v>
      </c>
      <c r="B68" s="335">
        <f>(0.00000061/0.03)*100</f>
        <v>2.0333333333333336E-3</v>
      </c>
      <c r="C68" s="335"/>
      <c r="D68" s="339">
        <f>B68</f>
        <v>2.0333333333333336E-3</v>
      </c>
      <c r="E68" s="335">
        <f>B68</f>
        <v>2.0333333333333336E-3</v>
      </c>
      <c r="F68" s="335">
        <f>(0.00000041/0.03)*100</f>
        <v>1.3666666666666666E-3</v>
      </c>
      <c r="G68" s="335"/>
      <c r="H68" s="335">
        <f t="shared" ref="H68:H75" si="0">F68</f>
        <v>1.3666666666666666E-3</v>
      </c>
      <c r="I68" s="335">
        <f t="shared" ref="I68:I75" si="1">F68</f>
        <v>1.3666666666666666E-3</v>
      </c>
    </row>
    <row r="69" spans="1:9" ht="15" customHeight="1" x14ac:dyDescent="0.2">
      <c r="A69" s="482" t="s">
        <v>51</v>
      </c>
      <c r="B69" s="335">
        <f>(0.00000057/0.03)*100</f>
        <v>1.9000000000000002E-3</v>
      </c>
      <c r="C69" s="335"/>
      <c r="D69" s="339">
        <f>B69</f>
        <v>1.9000000000000002E-3</v>
      </c>
      <c r="E69" s="335">
        <f>B69</f>
        <v>1.9000000000000002E-3</v>
      </c>
      <c r="F69" s="335">
        <f>(0.0000055/0.03)*100</f>
        <v>1.8333333333333333E-2</v>
      </c>
      <c r="G69" s="335"/>
      <c r="H69" s="335">
        <f t="shared" si="0"/>
        <v>1.8333333333333333E-2</v>
      </c>
      <c r="I69" s="335">
        <f t="shared" si="1"/>
        <v>1.8333333333333333E-2</v>
      </c>
    </row>
    <row r="70" spans="1:9" ht="15" customHeight="1" x14ac:dyDescent="0.2">
      <c r="A70" s="482" t="s">
        <v>219</v>
      </c>
      <c r="B70" s="335">
        <f>(0.000000048/0.03)*100</f>
        <v>1.6000000000000001E-4</v>
      </c>
      <c r="C70" s="335"/>
      <c r="D70" s="339">
        <f>B70</f>
        <v>1.6000000000000001E-4</v>
      </c>
      <c r="E70" s="335">
        <f>B70</f>
        <v>1.6000000000000001E-4</v>
      </c>
      <c r="F70" s="335">
        <f>(0.00000045/0.03)*100</f>
        <v>1.5E-3</v>
      </c>
      <c r="G70" s="335"/>
      <c r="H70" s="335">
        <f t="shared" si="0"/>
        <v>1.5E-3</v>
      </c>
      <c r="I70" s="335">
        <f t="shared" si="1"/>
        <v>1.5E-3</v>
      </c>
    </row>
    <row r="71" spans="1:9" ht="15" customHeight="1" x14ac:dyDescent="0.2">
      <c r="A71" s="482" t="s">
        <v>52</v>
      </c>
      <c r="B71" s="335"/>
      <c r="C71" s="335"/>
      <c r="D71" s="339"/>
      <c r="E71" s="335"/>
      <c r="F71" s="335">
        <f>(0.000000026/0.03)*100</f>
        <v>8.6666666666666668E-5</v>
      </c>
      <c r="G71" s="335"/>
      <c r="H71" s="335">
        <f t="shared" si="0"/>
        <v>8.6666666666666668E-5</v>
      </c>
      <c r="I71" s="335">
        <f t="shared" si="1"/>
        <v>8.6666666666666668E-5</v>
      </c>
    </row>
    <row r="72" spans="1:9" ht="15" customHeight="1" x14ac:dyDescent="0.2">
      <c r="A72" s="482" t="s">
        <v>53</v>
      </c>
      <c r="B72" s="335">
        <f>(0.0000069/0.03)*100</f>
        <v>2.3E-2</v>
      </c>
      <c r="C72" s="335"/>
      <c r="D72" s="339">
        <f>B72</f>
        <v>2.3E-2</v>
      </c>
      <c r="E72" s="335">
        <f>B72</f>
        <v>2.3E-2</v>
      </c>
      <c r="F72" s="335">
        <f>(0.0000077/0.03)*100</f>
        <v>2.5666666666666671E-2</v>
      </c>
      <c r="G72" s="335"/>
      <c r="H72" s="335">
        <f t="shared" si="0"/>
        <v>2.5666666666666671E-2</v>
      </c>
      <c r="I72" s="335">
        <f t="shared" si="1"/>
        <v>2.5666666666666671E-2</v>
      </c>
    </row>
    <row r="73" spans="1:9" ht="15" customHeight="1" x14ac:dyDescent="0.2">
      <c r="A73" s="482" t="s">
        <v>54</v>
      </c>
      <c r="B73" s="335">
        <f>(0.00000041/0.03)*100</f>
        <v>1.3666666666666666E-3</v>
      </c>
      <c r="C73" s="335"/>
      <c r="D73" s="339">
        <f>B73</f>
        <v>1.3666666666666666E-3</v>
      </c>
      <c r="E73" s="335">
        <f>B73</f>
        <v>1.3666666666666666E-3</v>
      </c>
      <c r="F73" s="335">
        <f>(0.00000024/0.03)*100</f>
        <v>7.9999999999999993E-4</v>
      </c>
      <c r="G73" s="335"/>
      <c r="H73" s="335">
        <f t="shared" si="0"/>
        <v>7.9999999999999993E-4</v>
      </c>
      <c r="I73" s="335">
        <f t="shared" si="1"/>
        <v>7.9999999999999993E-4</v>
      </c>
    </row>
    <row r="74" spans="1:9" ht="15" customHeight="1" x14ac:dyDescent="0.2">
      <c r="A74" s="482" t="s">
        <v>55</v>
      </c>
      <c r="B74" s="335">
        <f>(0.000003/0.03)*100</f>
        <v>0.01</v>
      </c>
      <c r="C74" s="335"/>
      <c r="D74" s="339">
        <f>B74</f>
        <v>0.01</v>
      </c>
      <c r="E74" s="335">
        <f>B74</f>
        <v>0.01</v>
      </c>
      <c r="F74" s="335">
        <f>(0.000063/0.03)*100</f>
        <v>0.21</v>
      </c>
      <c r="G74" s="335"/>
      <c r="H74" s="335">
        <f t="shared" si="0"/>
        <v>0.21</v>
      </c>
      <c r="I74" s="335">
        <f t="shared" si="1"/>
        <v>0.21</v>
      </c>
    </row>
    <row r="75" spans="1:9" ht="15" customHeight="1" x14ac:dyDescent="0.2">
      <c r="A75" s="483" t="s">
        <v>56</v>
      </c>
      <c r="B75" s="340">
        <f>(0.00000049/0.03)*100</f>
        <v>1.6333333333333332E-3</v>
      </c>
      <c r="C75" s="335"/>
      <c r="D75" s="337">
        <f>B75</f>
        <v>1.6333333333333332E-3</v>
      </c>
      <c r="E75" s="340">
        <f>B75</f>
        <v>1.6333333333333332E-3</v>
      </c>
      <c r="F75" s="340">
        <f>(0.00000035/0.03)*100</f>
        <v>1.1666666666666665E-3</v>
      </c>
      <c r="G75" s="335"/>
      <c r="H75" s="340">
        <f t="shared" si="0"/>
        <v>1.1666666666666665E-3</v>
      </c>
      <c r="I75" s="340">
        <f t="shared" si="1"/>
        <v>1.1666666666666665E-3</v>
      </c>
    </row>
    <row r="76" spans="1:9" ht="15" customHeight="1" x14ac:dyDescent="0.2">
      <c r="A76" s="627" t="s">
        <v>582</v>
      </c>
      <c r="B76" s="631" t="s">
        <v>592</v>
      </c>
      <c r="C76" s="631"/>
      <c r="D76" s="631" t="s">
        <v>592</v>
      </c>
      <c r="E76" s="631" t="s">
        <v>592</v>
      </c>
      <c r="F76" s="631" t="s">
        <v>592</v>
      </c>
      <c r="G76" s="631"/>
      <c r="H76" s="628"/>
      <c r="I76" s="630"/>
    </row>
    <row r="77" spans="1:9" ht="15" customHeight="1" x14ac:dyDescent="0.2">
      <c r="A77" s="585" t="s">
        <v>583</v>
      </c>
      <c r="B77" s="590"/>
      <c r="C77" s="590"/>
      <c r="D77" s="590"/>
      <c r="E77" s="590"/>
      <c r="F77" s="590"/>
      <c r="G77" s="590"/>
      <c r="H77" s="590">
        <v>9.3000000000000008E-13</v>
      </c>
      <c r="I77" s="590">
        <v>9.3000000000000008E-13</v>
      </c>
    </row>
    <row r="78" spans="1:9" ht="15" customHeight="1" x14ac:dyDescent="0.2">
      <c r="A78" s="585" t="s">
        <v>584</v>
      </c>
      <c r="B78" s="590"/>
      <c r="C78" s="590"/>
      <c r="D78" s="590"/>
      <c r="E78" s="590"/>
      <c r="F78" s="590"/>
      <c r="G78" s="590"/>
      <c r="H78" s="590">
        <v>2.2000000000000002E-11</v>
      </c>
      <c r="I78" s="590">
        <v>2.2000000000000002E-11</v>
      </c>
    </row>
    <row r="79" spans="1:9" ht="15" customHeight="1" x14ac:dyDescent="0.2">
      <c r="A79" s="585" t="s">
        <v>585</v>
      </c>
      <c r="B79" s="590"/>
      <c r="C79" s="590"/>
      <c r="D79" s="590"/>
      <c r="E79" s="590"/>
      <c r="F79" s="590"/>
      <c r="G79" s="590"/>
      <c r="H79" s="590">
        <v>1.2000000000000001E-11</v>
      </c>
      <c r="I79" s="590">
        <v>1.2000000000000001E-11</v>
      </c>
    </row>
    <row r="80" spans="1:9" ht="15" customHeight="1" x14ac:dyDescent="0.2">
      <c r="A80" s="586" t="s">
        <v>586</v>
      </c>
      <c r="B80" s="590"/>
      <c r="C80" s="590"/>
      <c r="D80" s="590"/>
      <c r="E80" s="590"/>
      <c r="F80" s="590"/>
      <c r="G80" s="590"/>
      <c r="H80" s="590">
        <v>1.8999999999999999E-11</v>
      </c>
      <c r="I80" s="593">
        <v>1.8999999999999999E-11</v>
      </c>
    </row>
    <row r="81" spans="1:9" ht="15" customHeight="1" x14ac:dyDescent="0.2">
      <c r="A81" s="585" t="s">
        <v>593</v>
      </c>
      <c r="B81" s="590"/>
      <c r="C81" s="590"/>
      <c r="D81" s="590"/>
      <c r="E81" s="590"/>
      <c r="F81" s="590"/>
      <c r="G81" s="590"/>
      <c r="H81" s="594">
        <v>2.7999999999999998E-9</v>
      </c>
      <c r="I81" s="594">
        <v>2.7999999999999998E-9</v>
      </c>
    </row>
    <row r="82" spans="1:9" ht="15" customHeight="1" x14ac:dyDescent="0.2">
      <c r="A82" s="627" t="s">
        <v>587</v>
      </c>
      <c r="B82" s="631" t="s">
        <v>592</v>
      </c>
      <c r="C82" s="631"/>
      <c r="D82" s="631" t="s">
        <v>592</v>
      </c>
      <c r="E82" s="631" t="s">
        <v>592</v>
      </c>
      <c r="F82" s="631" t="s">
        <v>592</v>
      </c>
      <c r="G82" s="631"/>
      <c r="H82" s="628"/>
      <c r="I82" s="630"/>
    </row>
    <row r="83" spans="1:9" ht="15" customHeight="1" x14ac:dyDescent="0.2">
      <c r="A83" s="585" t="s">
        <v>588</v>
      </c>
      <c r="B83" s="590"/>
      <c r="C83" s="590"/>
      <c r="D83" s="590"/>
      <c r="E83" s="590"/>
      <c r="F83" s="590"/>
      <c r="G83" s="590"/>
      <c r="H83" s="590">
        <v>3.7E-12</v>
      </c>
      <c r="I83" s="590">
        <v>3.7E-12</v>
      </c>
    </row>
    <row r="84" spans="1:9" ht="15" customHeight="1" x14ac:dyDescent="0.2">
      <c r="A84" s="585" t="s">
        <v>589</v>
      </c>
      <c r="B84" s="590"/>
      <c r="C84" s="590"/>
      <c r="D84" s="590"/>
      <c r="E84" s="590"/>
      <c r="F84" s="590"/>
      <c r="G84" s="590"/>
      <c r="H84" s="590">
        <v>8.3999999999999994E-11</v>
      </c>
      <c r="I84" s="590">
        <v>8.3999999999999994E-11</v>
      </c>
    </row>
    <row r="85" spans="1:9" ht="15" customHeight="1" x14ac:dyDescent="0.2">
      <c r="A85" s="585" t="s">
        <v>590</v>
      </c>
      <c r="B85" s="590"/>
      <c r="C85" s="590"/>
      <c r="D85" s="590"/>
      <c r="E85" s="590"/>
      <c r="F85" s="590"/>
      <c r="G85" s="590"/>
      <c r="H85" s="590">
        <v>1.3E-11</v>
      </c>
      <c r="I85" s="590">
        <v>1.3E-11</v>
      </c>
    </row>
    <row r="86" spans="1:9" ht="15" customHeight="1" x14ac:dyDescent="0.2">
      <c r="A86" s="585" t="s">
        <v>591</v>
      </c>
      <c r="B86" s="590"/>
      <c r="C86" s="590"/>
      <c r="D86" s="590"/>
      <c r="E86" s="590"/>
      <c r="F86" s="590"/>
      <c r="G86" s="590"/>
      <c r="H86" s="590">
        <v>9.9999999999999994E-12</v>
      </c>
      <c r="I86" s="590">
        <v>9.9999999999999994E-12</v>
      </c>
    </row>
    <row r="87" spans="1:9" ht="15" customHeight="1" x14ac:dyDescent="0.2">
      <c r="A87" s="587" t="s">
        <v>594</v>
      </c>
      <c r="B87" s="595"/>
      <c r="C87" s="595"/>
      <c r="D87" s="595"/>
      <c r="E87" s="595"/>
      <c r="F87" s="595"/>
      <c r="G87" s="595"/>
      <c r="H87" s="596">
        <v>1.5E-10</v>
      </c>
      <c r="I87" s="596">
        <v>1.5E-10</v>
      </c>
    </row>
    <row r="88" spans="1:9" ht="15" customHeight="1" x14ac:dyDescent="0.2">
      <c r="A88" s="515"/>
      <c r="B88" s="11"/>
      <c r="C88" s="11"/>
      <c r="D88" s="11"/>
      <c r="E88" s="11"/>
      <c r="F88" s="11"/>
      <c r="G88" s="11"/>
      <c r="H88" s="11"/>
      <c r="I88" s="11"/>
    </row>
    <row r="89" spans="1:9" ht="15" customHeight="1" x14ac:dyDescent="0.2">
      <c r="E89" s="11"/>
      <c r="F89" s="11"/>
      <c r="G89" s="11"/>
      <c r="H89" s="11"/>
      <c r="I89" s="11"/>
    </row>
    <row r="90" spans="1:9" ht="15" customHeight="1" x14ac:dyDescent="0.2">
      <c r="A90" s="588" t="s">
        <v>866</v>
      </c>
      <c r="B90" s="522" t="s">
        <v>499</v>
      </c>
      <c r="C90" s="522"/>
      <c r="D90" s="522" t="s">
        <v>500</v>
      </c>
      <c r="E90" s="639" t="s">
        <v>617</v>
      </c>
      <c r="F90" s="522"/>
      <c r="G90" s="522"/>
      <c r="H90" s="635"/>
      <c r="I90" s="635"/>
    </row>
    <row r="91" spans="1:9" ht="15" customHeight="1" x14ac:dyDescent="0.2">
      <c r="A91" s="485" t="s">
        <v>495</v>
      </c>
      <c r="B91" s="490">
        <v>0.99</v>
      </c>
      <c r="C91" s="490"/>
      <c r="D91" s="636">
        <v>0.93</v>
      </c>
      <c r="E91" s="1240" t="s">
        <v>612</v>
      </c>
      <c r="F91" s="1240"/>
      <c r="G91" s="1240"/>
      <c r="H91" s="1240"/>
      <c r="I91" s="1240"/>
    </row>
    <row r="92" spans="1:9" ht="15" customHeight="1" x14ac:dyDescent="0.2">
      <c r="A92" s="485" t="s">
        <v>496</v>
      </c>
      <c r="B92" s="490">
        <v>0.79</v>
      </c>
      <c r="C92" s="490"/>
      <c r="D92" s="637">
        <v>0.74</v>
      </c>
      <c r="E92" s="1240"/>
      <c r="F92" s="1240"/>
      <c r="G92" s="1240"/>
      <c r="H92" s="1240"/>
      <c r="I92" s="1240"/>
    </row>
    <row r="93" spans="1:9" ht="15" customHeight="1" x14ac:dyDescent="0.2">
      <c r="A93" s="485" t="s">
        <v>497</v>
      </c>
      <c r="B93" s="490">
        <v>0.59</v>
      </c>
      <c r="C93" s="490"/>
      <c r="D93" s="637">
        <v>0.56000000000000005</v>
      </c>
      <c r="E93" s="1240" t="s">
        <v>611</v>
      </c>
      <c r="F93" s="1240"/>
      <c r="G93" s="1240"/>
      <c r="H93" s="1240"/>
      <c r="I93" s="1240"/>
    </row>
    <row r="94" spans="1:9" ht="15" customHeight="1" x14ac:dyDescent="0.2">
      <c r="A94" s="485" t="s">
        <v>498</v>
      </c>
      <c r="B94" s="490">
        <v>0.94</v>
      </c>
      <c r="C94" s="490"/>
      <c r="D94" s="637">
        <v>0.84</v>
      </c>
      <c r="E94" s="1240"/>
      <c r="F94" s="1240"/>
      <c r="G94" s="1240"/>
      <c r="H94" s="1240"/>
      <c r="I94" s="1240"/>
    </row>
    <row r="95" spans="1:9" ht="15" customHeight="1" x14ac:dyDescent="0.2">
      <c r="A95" s="485" t="s">
        <v>493</v>
      </c>
      <c r="B95" s="490">
        <v>0.76</v>
      </c>
      <c r="C95" s="490"/>
      <c r="D95" s="637">
        <v>0.68</v>
      </c>
      <c r="E95" s="1237" t="s">
        <v>610</v>
      </c>
      <c r="F95" s="1237"/>
      <c r="G95" s="1237"/>
      <c r="H95" s="1237"/>
      <c r="I95" s="1237"/>
    </row>
    <row r="96" spans="1:9" ht="15" customHeight="1" x14ac:dyDescent="0.2">
      <c r="A96" s="485" t="s">
        <v>494</v>
      </c>
      <c r="B96" s="490">
        <v>0.56999999999999995</v>
      </c>
      <c r="C96" s="490"/>
      <c r="D96" s="637">
        <v>0.51</v>
      </c>
      <c r="E96" s="1237"/>
      <c r="F96" s="1237"/>
      <c r="G96" s="1237"/>
      <c r="H96" s="1237"/>
      <c r="I96" s="1237"/>
    </row>
    <row r="97" spans="2:9" ht="15" customHeight="1" x14ac:dyDescent="0.2">
      <c r="B97" s="479"/>
      <c r="C97" s="479"/>
      <c r="D97" s="638"/>
      <c r="E97" s="1237" t="s">
        <v>613</v>
      </c>
      <c r="F97" s="1237"/>
      <c r="G97" s="1237"/>
      <c r="H97" s="1237"/>
      <c r="I97" s="1237"/>
    </row>
    <row r="98" spans="2:9" ht="15" customHeight="1" x14ac:dyDescent="0.2">
      <c r="B98" s="479"/>
      <c r="C98" s="479"/>
      <c r="D98" s="638"/>
      <c r="E98" s="1237"/>
      <c r="F98" s="1237"/>
      <c r="G98" s="1237"/>
      <c r="H98" s="1237"/>
      <c r="I98" s="1237"/>
    </row>
    <row r="99" spans="2:9" ht="15" customHeight="1" x14ac:dyDescent="0.2">
      <c r="D99" s="486"/>
      <c r="E99" s="1237"/>
      <c r="F99" s="1237"/>
      <c r="G99" s="1237"/>
      <c r="H99" s="1237"/>
      <c r="I99" s="1237"/>
    </row>
    <row r="100" spans="2:9" ht="15" customHeight="1" x14ac:dyDescent="0.2">
      <c r="D100" s="486"/>
      <c r="E100" s="1237" t="s">
        <v>614</v>
      </c>
      <c r="F100" s="1237"/>
      <c r="G100" s="1237"/>
      <c r="H100" s="1237"/>
      <c r="I100" s="1237"/>
    </row>
    <row r="101" spans="2:9" ht="15" customHeight="1" x14ac:dyDescent="0.2">
      <c r="D101" s="486"/>
      <c r="E101" s="1237"/>
      <c r="F101" s="1237"/>
      <c r="G101" s="1237"/>
      <c r="H101" s="1237"/>
      <c r="I101" s="1237"/>
    </row>
    <row r="102" spans="2:9" ht="15" customHeight="1" x14ac:dyDescent="0.2">
      <c r="D102" s="486"/>
      <c r="E102" s="1237"/>
      <c r="F102" s="1237"/>
      <c r="G102" s="1237"/>
      <c r="H102" s="1237"/>
      <c r="I102" s="1237"/>
    </row>
    <row r="103" spans="2:9" ht="15" customHeight="1" x14ac:dyDescent="0.2">
      <c r="E103" s="580"/>
      <c r="F103" s="580"/>
      <c r="G103" s="580"/>
      <c r="H103" s="580"/>
    </row>
  </sheetData>
  <mergeCells count="18">
    <mergeCell ref="L10:M10"/>
    <mergeCell ref="N10:O10"/>
    <mergeCell ref="K62:O63"/>
    <mergeCell ref="E93:I94"/>
    <mergeCell ref="E95:I96"/>
    <mergeCell ref="O3:O7"/>
    <mergeCell ref="L3:L7"/>
    <mergeCell ref="M3:M7"/>
    <mergeCell ref="L2:M2"/>
    <mergeCell ref="N2:O2"/>
    <mergeCell ref="N3:N7"/>
    <mergeCell ref="C4:C7"/>
    <mergeCell ref="G4:G7"/>
    <mergeCell ref="E100:I102"/>
    <mergeCell ref="B2:E2"/>
    <mergeCell ref="E91:I92"/>
    <mergeCell ref="F2:I2"/>
    <mergeCell ref="E97:I99"/>
  </mergeCells>
  <phoneticPr fontId="95" type="noConversion"/>
  <pageMargins left="0.25" right="0.25" top="0.5" bottom="0.5" header="0.3" footer="0.3"/>
  <pageSetup paperSize="5" scale="86" orientation="landscape" r:id="rId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2" manualBreakCount="2">
    <brk id="39" max="16383" man="1"/>
    <brk id="79" max="16383" man="1"/>
  </rowBreaks>
  <colBreaks count="1" manualBreakCount="1">
    <brk id="9"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0" tint="-0.249977111117893"/>
  </sheetPr>
  <dimension ref="A2:N65"/>
  <sheetViews>
    <sheetView showGridLines="0" zoomScaleNormal="100" workbookViewId="0">
      <selection activeCell="A2" sqref="A2:G2"/>
    </sheetView>
  </sheetViews>
  <sheetFormatPr defaultRowHeight="12.75" x14ac:dyDescent="0.2"/>
  <cols>
    <col min="1" max="1" width="23.5703125" style="333" customWidth="1"/>
    <col min="2" max="3" width="20.5703125" style="333" customWidth="1"/>
    <col min="4" max="4" width="26" style="333" bestFit="1" customWidth="1"/>
    <col min="5" max="5" width="21.42578125" style="333" bestFit="1" customWidth="1"/>
    <col min="6" max="6" width="20.42578125" style="333" bestFit="1" customWidth="1"/>
    <col min="7" max="7" width="22.42578125" style="333" bestFit="1" customWidth="1"/>
    <col min="8" max="8" width="23.42578125" style="333" customWidth="1"/>
    <col min="9" max="9" width="20.5703125" style="333" customWidth="1"/>
    <col min="10" max="14" width="13.5703125" style="333" customWidth="1"/>
    <col min="15" max="256" width="9.42578125" style="333"/>
    <col min="257" max="257" width="17.42578125" style="333" customWidth="1"/>
    <col min="258" max="259" width="20.5703125" style="333" customWidth="1"/>
    <col min="260" max="260" width="26" style="333" bestFit="1" customWidth="1"/>
    <col min="261" max="261" width="21.42578125" style="333" bestFit="1" customWidth="1"/>
    <col min="262" max="262" width="20.42578125" style="333" bestFit="1" customWidth="1"/>
    <col min="263" max="263" width="22.42578125" style="333" bestFit="1" customWidth="1"/>
    <col min="264" max="264" width="25.42578125" style="333" customWidth="1"/>
    <col min="265" max="265" width="14.5703125" style="333" customWidth="1"/>
    <col min="266" max="266" width="11.5703125" style="333" customWidth="1"/>
    <col min="267" max="267" width="12.5703125" style="333" customWidth="1"/>
    <col min="268" max="268" width="13" style="333" customWidth="1"/>
    <col min="269" max="512" width="9.42578125" style="333"/>
    <col min="513" max="513" width="17.42578125" style="333" customWidth="1"/>
    <col min="514" max="515" width="20.5703125" style="333" customWidth="1"/>
    <col min="516" max="516" width="26" style="333" bestFit="1" customWidth="1"/>
    <col min="517" max="517" width="21.42578125" style="333" bestFit="1" customWidth="1"/>
    <col min="518" max="518" width="20.42578125" style="333" bestFit="1" customWidth="1"/>
    <col min="519" max="519" width="22.42578125" style="333" bestFit="1" customWidth="1"/>
    <col min="520" max="520" width="25.42578125" style="333" customWidth="1"/>
    <col min="521" max="521" width="14.5703125" style="333" customWidth="1"/>
    <col min="522" max="522" width="11.5703125" style="333" customWidth="1"/>
    <col min="523" max="523" width="12.5703125" style="333" customWidth="1"/>
    <col min="524" max="524" width="13" style="333" customWidth="1"/>
    <col min="525" max="768" width="9.42578125" style="333"/>
    <col min="769" max="769" width="17.42578125" style="333" customWidth="1"/>
    <col min="770" max="771" width="20.5703125" style="333" customWidth="1"/>
    <col min="772" max="772" width="26" style="333" bestFit="1" customWidth="1"/>
    <col min="773" max="773" width="21.42578125" style="333" bestFit="1" customWidth="1"/>
    <col min="774" max="774" width="20.42578125" style="333" bestFit="1" customWidth="1"/>
    <col min="775" max="775" width="22.42578125" style="333" bestFit="1" customWidth="1"/>
    <col min="776" max="776" width="25.42578125" style="333" customWidth="1"/>
    <col min="777" max="777" width="14.5703125" style="333" customWidth="1"/>
    <col min="778" max="778" width="11.5703125" style="333" customWidth="1"/>
    <col min="779" max="779" width="12.5703125" style="333" customWidth="1"/>
    <col min="780" max="780" width="13" style="333" customWidth="1"/>
    <col min="781" max="1024" width="9.42578125" style="333"/>
    <col min="1025" max="1025" width="17.42578125" style="333" customWidth="1"/>
    <col min="1026" max="1027" width="20.5703125" style="333" customWidth="1"/>
    <col min="1028" max="1028" width="26" style="333" bestFit="1" customWidth="1"/>
    <col min="1029" max="1029" width="21.42578125" style="333" bestFit="1" customWidth="1"/>
    <col min="1030" max="1030" width="20.42578125" style="333" bestFit="1" customWidth="1"/>
    <col min="1031" max="1031" width="22.42578125" style="333" bestFit="1" customWidth="1"/>
    <col min="1032" max="1032" width="25.42578125" style="333" customWidth="1"/>
    <col min="1033" max="1033" width="14.5703125" style="333" customWidth="1"/>
    <col min="1034" max="1034" width="11.5703125" style="333" customWidth="1"/>
    <col min="1035" max="1035" width="12.5703125" style="333" customWidth="1"/>
    <col min="1036" max="1036" width="13" style="333" customWidth="1"/>
    <col min="1037" max="1280" width="9.42578125" style="333"/>
    <col min="1281" max="1281" width="17.42578125" style="333" customWidth="1"/>
    <col min="1282" max="1283" width="20.5703125" style="333" customWidth="1"/>
    <col min="1284" max="1284" width="26" style="333" bestFit="1" customWidth="1"/>
    <col min="1285" max="1285" width="21.42578125" style="333" bestFit="1" customWidth="1"/>
    <col min="1286" max="1286" width="20.42578125" style="333" bestFit="1" customWidth="1"/>
    <col min="1287" max="1287" width="22.42578125" style="333" bestFit="1" customWidth="1"/>
    <col min="1288" max="1288" width="25.42578125" style="333" customWidth="1"/>
    <col min="1289" max="1289" width="14.5703125" style="333" customWidth="1"/>
    <col min="1290" max="1290" width="11.5703125" style="333" customWidth="1"/>
    <col min="1291" max="1291" width="12.5703125" style="333" customWidth="1"/>
    <col min="1292" max="1292" width="13" style="333" customWidth="1"/>
    <col min="1293" max="1536" width="9.42578125" style="333"/>
    <col min="1537" max="1537" width="17.42578125" style="333" customWidth="1"/>
    <col min="1538" max="1539" width="20.5703125" style="333" customWidth="1"/>
    <col min="1540" max="1540" width="26" style="333" bestFit="1" customWidth="1"/>
    <col min="1541" max="1541" width="21.42578125" style="333" bestFit="1" customWidth="1"/>
    <col min="1542" max="1542" width="20.42578125" style="333" bestFit="1" customWidth="1"/>
    <col min="1543" max="1543" width="22.42578125" style="333" bestFit="1" customWidth="1"/>
    <col min="1544" max="1544" width="25.42578125" style="333" customWidth="1"/>
    <col min="1545" max="1545" width="14.5703125" style="333" customWidth="1"/>
    <col min="1546" max="1546" width="11.5703125" style="333" customWidth="1"/>
    <col min="1547" max="1547" width="12.5703125" style="333" customWidth="1"/>
    <col min="1548" max="1548" width="13" style="333" customWidth="1"/>
    <col min="1549" max="1792" width="9.42578125" style="333"/>
    <col min="1793" max="1793" width="17.42578125" style="333" customWidth="1"/>
    <col min="1794" max="1795" width="20.5703125" style="333" customWidth="1"/>
    <col min="1796" max="1796" width="26" style="333" bestFit="1" customWidth="1"/>
    <col min="1797" max="1797" width="21.42578125" style="333" bestFit="1" customWidth="1"/>
    <col min="1798" max="1798" width="20.42578125" style="333" bestFit="1" customWidth="1"/>
    <col min="1799" max="1799" width="22.42578125" style="333" bestFit="1" customWidth="1"/>
    <col min="1800" max="1800" width="25.42578125" style="333" customWidth="1"/>
    <col min="1801" max="1801" width="14.5703125" style="333" customWidth="1"/>
    <col min="1802" max="1802" width="11.5703125" style="333" customWidth="1"/>
    <col min="1803" max="1803" width="12.5703125" style="333" customWidth="1"/>
    <col min="1804" max="1804" width="13" style="333" customWidth="1"/>
    <col min="1805" max="2048" width="9.42578125" style="333"/>
    <col min="2049" max="2049" width="17.42578125" style="333" customWidth="1"/>
    <col min="2050" max="2051" width="20.5703125" style="333" customWidth="1"/>
    <col min="2052" max="2052" width="26" style="333" bestFit="1" customWidth="1"/>
    <col min="2053" max="2053" width="21.42578125" style="333" bestFit="1" customWidth="1"/>
    <col min="2054" max="2054" width="20.42578125" style="333" bestFit="1" customWidth="1"/>
    <col min="2055" max="2055" width="22.42578125" style="333" bestFit="1" customWidth="1"/>
    <col min="2056" max="2056" width="25.42578125" style="333" customWidth="1"/>
    <col min="2057" max="2057" width="14.5703125" style="333" customWidth="1"/>
    <col min="2058" max="2058" width="11.5703125" style="333" customWidth="1"/>
    <col min="2059" max="2059" width="12.5703125" style="333" customWidth="1"/>
    <col min="2060" max="2060" width="13" style="333" customWidth="1"/>
    <col min="2061" max="2304" width="9.42578125" style="333"/>
    <col min="2305" max="2305" width="17.42578125" style="333" customWidth="1"/>
    <col min="2306" max="2307" width="20.5703125" style="333" customWidth="1"/>
    <col min="2308" max="2308" width="26" style="333" bestFit="1" customWidth="1"/>
    <col min="2309" max="2309" width="21.42578125" style="333" bestFit="1" customWidth="1"/>
    <col min="2310" max="2310" width="20.42578125" style="333" bestFit="1" customWidth="1"/>
    <col min="2311" max="2311" width="22.42578125" style="333" bestFit="1" customWidth="1"/>
    <col min="2312" max="2312" width="25.42578125" style="333" customWidth="1"/>
    <col min="2313" max="2313" width="14.5703125" style="333" customWidth="1"/>
    <col min="2314" max="2314" width="11.5703125" style="333" customWidth="1"/>
    <col min="2315" max="2315" width="12.5703125" style="333" customWidth="1"/>
    <col min="2316" max="2316" width="13" style="333" customWidth="1"/>
    <col min="2317" max="2560" width="9.42578125" style="333"/>
    <col min="2561" max="2561" width="17.42578125" style="333" customWidth="1"/>
    <col min="2562" max="2563" width="20.5703125" style="333" customWidth="1"/>
    <col min="2564" max="2564" width="26" style="333" bestFit="1" customWidth="1"/>
    <col min="2565" max="2565" width="21.42578125" style="333" bestFit="1" customWidth="1"/>
    <col min="2566" max="2566" width="20.42578125" style="333" bestFit="1" customWidth="1"/>
    <col min="2567" max="2567" width="22.42578125" style="333" bestFit="1" customWidth="1"/>
    <col min="2568" max="2568" width="25.42578125" style="333" customWidth="1"/>
    <col min="2569" max="2569" width="14.5703125" style="333" customWidth="1"/>
    <col min="2570" max="2570" width="11.5703125" style="333" customWidth="1"/>
    <col min="2571" max="2571" width="12.5703125" style="333" customWidth="1"/>
    <col min="2572" max="2572" width="13" style="333" customWidth="1"/>
    <col min="2573" max="2816" width="9.42578125" style="333"/>
    <col min="2817" max="2817" width="17.42578125" style="333" customWidth="1"/>
    <col min="2818" max="2819" width="20.5703125" style="333" customWidth="1"/>
    <col min="2820" max="2820" width="26" style="333" bestFit="1" customWidth="1"/>
    <col min="2821" max="2821" width="21.42578125" style="333" bestFit="1" customWidth="1"/>
    <col min="2822" max="2822" width="20.42578125" style="333" bestFit="1" customWidth="1"/>
    <col min="2823" max="2823" width="22.42578125" style="333" bestFit="1" customWidth="1"/>
    <col min="2824" max="2824" width="25.42578125" style="333" customWidth="1"/>
    <col min="2825" max="2825" width="14.5703125" style="333" customWidth="1"/>
    <col min="2826" max="2826" width="11.5703125" style="333" customWidth="1"/>
    <col min="2827" max="2827" width="12.5703125" style="333" customWidth="1"/>
    <col min="2828" max="2828" width="13" style="333" customWidth="1"/>
    <col min="2829" max="3072" width="9.42578125" style="333"/>
    <col min="3073" max="3073" width="17.42578125" style="333" customWidth="1"/>
    <col min="3074" max="3075" width="20.5703125" style="333" customWidth="1"/>
    <col min="3076" max="3076" width="26" style="333" bestFit="1" customWidth="1"/>
    <col min="3077" max="3077" width="21.42578125" style="333" bestFit="1" customWidth="1"/>
    <col min="3078" max="3078" width="20.42578125" style="333" bestFit="1" customWidth="1"/>
    <col min="3079" max="3079" width="22.42578125" style="333" bestFit="1" customWidth="1"/>
    <col min="3080" max="3080" width="25.42578125" style="333" customWidth="1"/>
    <col min="3081" max="3081" width="14.5703125" style="333" customWidth="1"/>
    <col min="3082" max="3082" width="11.5703125" style="333" customWidth="1"/>
    <col min="3083" max="3083" width="12.5703125" style="333" customWidth="1"/>
    <col min="3084" max="3084" width="13" style="333" customWidth="1"/>
    <col min="3085" max="3328" width="9.42578125" style="333"/>
    <col min="3329" max="3329" width="17.42578125" style="333" customWidth="1"/>
    <col min="3330" max="3331" width="20.5703125" style="333" customWidth="1"/>
    <col min="3332" max="3332" width="26" style="333" bestFit="1" customWidth="1"/>
    <col min="3333" max="3333" width="21.42578125" style="333" bestFit="1" customWidth="1"/>
    <col min="3334" max="3334" width="20.42578125" style="333" bestFit="1" customWidth="1"/>
    <col min="3335" max="3335" width="22.42578125" style="333" bestFit="1" customWidth="1"/>
    <col min="3336" max="3336" width="25.42578125" style="333" customWidth="1"/>
    <col min="3337" max="3337" width="14.5703125" style="333" customWidth="1"/>
    <col min="3338" max="3338" width="11.5703125" style="333" customWidth="1"/>
    <col min="3339" max="3339" width="12.5703125" style="333" customWidth="1"/>
    <col min="3340" max="3340" width="13" style="333" customWidth="1"/>
    <col min="3341" max="3584" width="9.42578125" style="333"/>
    <col min="3585" max="3585" width="17.42578125" style="333" customWidth="1"/>
    <col min="3586" max="3587" width="20.5703125" style="333" customWidth="1"/>
    <col min="3588" max="3588" width="26" style="333" bestFit="1" customWidth="1"/>
    <col min="3589" max="3589" width="21.42578125" style="333" bestFit="1" customWidth="1"/>
    <col min="3590" max="3590" width="20.42578125" style="333" bestFit="1" customWidth="1"/>
    <col min="3591" max="3591" width="22.42578125" style="333" bestFit="1" customWidth="1"/>
    <col min="3592" max="3592" width="25.42578125" style="333" customWidth="1"/>
    <col min="3593" max="3593" width="14.5703125" style="333" customWidth="1"/>
    <col min="3594" max="3594" width="11.5703125" style="333" customWidth="1"/>
    <col min="3595" max="3595" width="12.5703125" style="333" customWidth="1"/>
    <col min="3596" max="3596" width="13" style="333" customWidth="1"/>
    <col min="3597" max="3840" width="9.42578125" style="333"/>
    <col min="3841" max="3841" width="17.42578125" style="333" customWidth="1"/>
    <col min="3842" max="3843" width="20.5703125" style="333" customWidth="1"/>
    <col min="3844" max="3844" width="26" style="333" bestFit="1" customWidth="1"/>
    <col min="3845" max="3845" width="21.42578125" style="333" bestFit="1" customWidth="1"/>
    <col min="3846" max="3846" width="20.42578125" style="333" bestFit="1" customWidth="1"/>
    <col min="3847" max="3847" width="22.42578125" style="333" bestFit="1" customWidth="1"/>
    <col min="3848" max="3848" width="25.42578125" style="333" customWidth="1"/>
    <col min="3849" max="3849" width="14.5703125" style="333" customWidth="1"/>
    <col min="3850" max="3850" width="11.5703125" style="333" customWidth="1"/>
    <col min="3851" max="3851" width="12.5703125" style="333" customWidth="1"/>
    <col min="3852" max="3852" width="13" style="333" customWidth="1"/>
    <col min="3853" max="4096" width="9.42578125" style="333"/>
    <col min="4097" max="4097" width="17.42578125" style="333" customWidth="1"/>
    <col min="4098" max="4099" width="20.5703125" style="333" customWidth="1"/>
    <col min="4100" max="4100" width="26" style="333" bestFit="1" customWidth="1"/>
    <col min="4101" max="4101" width="21.42578125" style="333" bestFit="1" customWidth="1"/>
    <col min="4102" max="4102" width="20.42578125" style="333" bestFit="1" customWidth="1"/>
    <col min="4103" max="4103" width="22.42578125" style="333" bestFit="1" customWidth="1"/>
    <col min="4104" max="4104" width="25.42578125" style="333" customWidth="1"/>
    <col min="4105" max="4105" width="14.5703125" style="333" customWidth="1"/>
    <col min="4106" max="4106" width="11.5703125" style="333" customWidth="1"/>
    <col min="4107" max="4107" width="12.5703125" style="333" customWidth="1"/>
    <col min="4108" max="4108" width="13" style="333" customWidth="1"/>
    <col min="4109" max="4352" width="9.42578125" style="333"/>
    <col min="4353" max="4353" width="17.42578125" style="333" customWidth="1"/>
    <col min="4354" max="4355" width="20.5703125" style="333" customWidth="1"/>
    <col min="4356" max="4356" width="26" style="333" bestFit="1" customWidth="1"/>
    <col min="4357" max="4357" width="21.42578125" style="333" bestFit="1" customWidth="1"/>
    <col min="4358" max="4358" width="20.42578125" style="333" bestFit="1" customWidth="1"/>
    <col min="4359" max="4359" width="22.42578125" style="333" bestFit="1" customWidth="1"/>
    <col min="4360" max="4360" width="25.42578125" style="333" customWidth="1"/>
    <col min="4361" max="4361" width="14.5703125" style="333" customWidth="1"/>
    <col min="4362" max="4362" width="11.5703125" style="333" customWidth="1"/>
    <col min="4363" max="4363" width="12.5703125" style="333" customWidth="1"/>
    <col min="4364" max="4364" width="13" style="333" customWidth="1"/>
    <col min="4365" max="4608" width="9.42578125" style="333"/>
    <col min="4609" max="4609" width="17.42578125" style="333" customWidth="1"/>
    <col min="4610" max="4611" width="20.5703125" style="333" customWidth="1"/>
    <col min="4612" max="4612" width="26" style="333" bestFit="1" customWidth="1"/>
    <col min="4613" max="4613" width="21.42578125" style="333" bestFit="1" customWidth="1"/>
    <col min="4614" max="4614" width="20.42578125" style="333" bestFit="1" customWidth="1"/>
    <col min="4615" max="4615" width="22.42578125" style="333" bestFit="1" customWidth="1"/>
    <col min="4616" max="4616" width="25.42578125" style="333" customWidth="1"/>
    <col min="4617" max="4617" width="14.5703125" style="333" customWidth="1"/>
    <col min="4618" max="4618" width="11.5703125" style="333" customWidth="1"/>
    <col min="4619" max="4619" width="12.5703125" style="333" customWidth="1"/>
    <col min="4620" max="4620" width="13" style="333" customWidth="1"/>
    <col min="4621" max="4864" width="9.42578125" style="333"/>
    <col min="4865" max="4865" width="17.42578125" style="333" customWidth="1"/>
    <col min="4866" max="4867" width="20.5703125" style="333" customWidth="1"/>
    <col min="4868" max="4868" width="26" style="333" bestFit="1" customWidth="1"/>
    <col min="4869" max="4869" width="21.42578125" style="333" bestFit="1" customWidth="1"/>
    <col min="4870" max="4870" width="20.42578125" style="333" bestFit="1" customWidth="1"/>
    <col min="4871" max="4871" width="22.42578125" style="333" bestFit="1" customWidth="1"/>
    <col min="4872" max="4872" width="25.42578125" style="333" customWidth="1"/>
    <col min="4873" max="4873" width="14.5703125" style="333" customWidth="1"/>
    <col min="4874" max="4874" width="11.5703125" style="333" customWidth="1"/>
    <col min="4875" max="4875" width="12.5703125" style="333" customWidth="1"/>
    <col min="4876" max="4876" width="13" style="333" customWidth="1"/>
    <col min="4877" max="5120" width="9.42578125" style="333"/>
    <col min="5121" max="5121" width="17.42578125" style="333" customWidth="1"/>
    <col min="5122" max="5123" width="20.5703125" style="333" customWidth="1"/>
    <col min="5124" max="5124" width="26" style="333" bestFit="1" customWidth="1"/>
    <col min="5125" max="5125" width="21.42578125" style="333" bestFit="1" customWidth="1"/>
    <col min="5126" max="5126" width="20.42578125" style="333" bestFit="1" customWidth="1"/>
    <col min="5127" max="5127" width="22.42578125" style="333" bestFit="1" customWidth="1"/>
    <col min="5128" max="5128" width="25.42578125" style="333" customWidth="1"/>
    <col min="5129" max="5129" width="14.5703125" style="333" customWidth="1"/>
    <col min="5130" max="5130" width="11.5703125" style="333" customWidth="1"/>
    <col min="5131" max="5131" width="12.5703125" style="333" customWidth="1"/>
    <col min="5132" max="5132" width="13" style="333" customWidth="1"/>
    <col min="5133" max="5376" width="9.42578125" style="333"/>
    <col min="5377" max="5377" width="17.42578125" style="333" customWidth="1"/>
    <col min="5378" max="5379" width="20.5703125" style="333" customWidth="1"/>
    <col min="5380" max="5380" width="26" style="333" bestFit="1" customWidth="1"/>
    <col min="5381" max="5381" width="21.42578125" style="333" bestFit="1" customWidth="1"/>
    <col min="5382" max="5382" width="20.42578125" style="333" bestFit="1" customWidth="1"/>
    <col min="5383" max="5383" width="22.42578125" style="333" bestFit="1" customWidth="1"/>
    <col min="5384" max="5384" width="25.42578125" style="333" customWidth="1"/>
    <col min="5385" max="5385" width="14.5703125" style="333" customWidth="1"/>
    <col min="5386" max="5386" width="11.5703125" style="333" customWidth="1"/>
    <col min="5387" max="5387" width="12.5703125" style="333" customWidth="1"/>
    <col min="5388" max="5388" width="13" style="333" customWidth="1"/>
    <col min="5389" max="5632" width="9.42578125" style="333"/>
    <col min="5633" max="5633" width="17.42578125" style="333" customWidth="1"/>
    <col min="5634" max="5635" width="20.5703125" style="333" customWidth="1"/>
    <col min="5636" max="5636" width="26" style="333" bestFit="1" customWidth="1"/>
    <col min="5637" max="5637" width="21.42578125" style="333" bestFit="1" customWidth="1"/>
    <col min="5638" max="5638" width="20.42578125" style="333" bestFit="1" customWidth="1"/>
    <col min="5639" max="5639" width="22.42578125" style="333" bestFit="1" customWidth="1"/>
    <col min="5640" max="5640" width="25.42578125" style="333" customWidth="1"/>
    <col min="5641" max="5641" width="14.5703125" style="333" customWidth="1"/>
    <col min="5642" max="5642" width="11.5703125" style="333" customWidth="1"/>
    <col min="5643" max="5643" width="12.5703125" style="333" customWidth="1"/>
    <col min="5644" max="5644" width="13" style="333" customWidth="1"/>
    <col min="5645" max="5888" width="9.42578125" style="333"/>
    <col min="5889" max="5889" width="17.42578125" style="333" customWidth="1"/>
    <col min="5890" max="5891" width="20.5703125" style="333" customWidth="1"/>
    <col min="5892" max="5892" width="26" style="333" bestFit="1" customWidth="1"/>
    <col min="5893" max="5893" width="21.42578125" style="333" bestFit="1" customWidth="1"/>
    <col min="5894" max="5894" width="20.42578125" style="333" bestFit="1" customWidth="1"/>
    <col min="5895" max="5895" width="22.42578125" style="333" bestFit="1" customWidth="1"/>
    <col min="5896" max="5896" width="25.42578125" style="333" customWidth="1"/>
    <col min="5897" max="5897" width="14.5703125" style="333" customWidth="1"/>
    <col min="5898" max="5898" width="11.5703125" style="333" customWidth="1"/>
    <col min="5899" max="5899" width="12.5703125" style="333" customWidth="1"/>
    <col min="5900" max="5900" width="13" style="333" customWidth="1"/>
    <col min="5901" max="6144" width="9.42578125" style="333"/>
    <col min="6145" max="6145" width="17.42578125" style="333" customWidth="1"/>
    <col min="6146" max="6147" width="20.5703125" style="333" customWidth="1"/>
    <col min="6148" max="6148" width="26" style="333" bestFit="1" customWidth="1"/>
    <col min="6149" max="6149" width="21.42578125" style="333" bestFit="1" customWidth="1"/>
    <col min="6150" max="6150" width="20.42578125" style="333" bestFit="1" customWidth="1"/>
    <col min="6151" max="6151" width="22.42578125" style="333" bestFit="1" customWidth="1"/>
    <col min="6152" max="6152" width="25.42578125" style="333" customWidth="1"/>
    <col min="6153" max="6153" width="14.5703125" style="333" customWidth="1"/>
    <col min="6154" max="6154" width="11.5703125" style="333" customWidth="1"/>
    <col min="6155" max="6155" width="12.5703125" style="333" customWidth="1"/>
    <col min="6156" max="6156" width="13" style="333" customWidth="1"/>
    <col min="6157" max="6400" width="9.42578125" style="333"/>
    <col min="6401" max="6401" width="17.42578125" style="333" customWidth="1"/>
    <col min="6402" max="6403" width="20.5703125" style="333" customWidth="1"/>
    <col min="6404" max="6404" width="26" style="333" bestFit="1" customWidth="1"/>
    <col min="6405" max="6405" width="21.42578125" style="333" bestFit="1" customWidth="1"/>
    <col min="6406" max="6406" width="20.42578125" style="333" bestFit="1" customWidth="1"/>
    <col min="6407" max="6407" width="22.42578125" style="333" bestFit="1" customWidth="1"/>
    <col min="6408" max="6408" width="25.42578125" style="333" customWidth="1"/>
    <col min="6409" max="6409" width="14.5703125" style="333" customWidth="1"/>
    <col min="6410" max="6410" width="11.5703125" style="333" customWidth="1"/>
    <col min="6411" max="6411" width="12.5703125" style="333" customWidth="1"/>
    <col min="6412" max="6412" width="13" style="333" customWidth="1"/>
    <col min="6413" max="6656" width="9.42578125" style="333"/>
    <col min="6657" max="6657" width="17.42578125" style="333" customWidth="1"/>
    <col min="6658" max="6659" width="20.5703125" style="333" customWidth="1"/>
    <col min="6660" max="6660" width="26" style="333" bestFit="1" customWidth="1"/>
    <col min="6661" max="6661" width="21.42578125" style="333" bestFit="1" customWidth="1"/>
    <col min="6662" max="6662" width="20.42578125" style="333" bestFit="1" customWidth="1"/>
    <col min="6663" max="6663" width="22.42578125" style="333" bestFit="1" customWidth="1"/>
    <col min="6664" max="6664" width="25.42578125" style="333" customWidth="1"/>
    <col min="6665" max="6665" width="14.5703125" style="333" customWidth="1"/>
    <col min="6666" max="6666" width="11.5703125" style="333" customWidth="1"/>
    <col min="6667" max="6667" width="12.5703125" style="333" customWidth="1"/>
    <col min="6668" max="6668" width="13" style="333" customWidth="1"/>
    <col min="6669" max="6912" width="9.42578125" style="333"/>
    <col min="6913" max="6913" width="17.42578125" style="333" customWidth="1"/>
    <col min="6914" max="6915" width="20.5703125" style="333" customWidth="1"/>
    <col min="6916" max="6916" width="26" style="333" bestFit="1" customWidth="1"/>
    <col min="6917" max="6917" width="21.42578125" style="333" bestFit="1" customWidth="1"/>
    <col min="6918" max="6918" width="20.42578125" style="333" bestFit="1" customWidth="1"/>
    <col min="6919" max="6919" width="22.42578125" style="333" bestFit="1" customWidth="1"/>
    <col min="6920" max="6920" width="25.42578125" style="333" customWidth="1"/>
    <col min="6921" max="6921" width="14.5703125" style="333" customWidth="1"/>
    <col min="6922" max="6922" width="11.5703125" style="333" customWidth="1"/>
    <col min="6923" max="6923" width="12.5703125" style="333" customWidth="1"/>
    <col min="6924" max="6924" width="13" style="333" customWidth="1"/>
    <col min="6925" max="7168" width="9.42578125" style="333"/>
    <col min="7169" max="7169" width="17.42578125" style="333" customWidth="1"/>
    <col min="7170" max="7171" width="20.5703125" style="333" customWidth="1"/>
    <col min="7172" max="7172" width="26" style="333" bestFit="1" customWidth="1"/>
    <col min="7173" max="7173" width="21.42578125" style="333" bestFit="1" customWidth="1"/>
    <col min="7174" max="7174" width="20.42578125" style="333" bestFit="1" customWidth="1"/>
    <col min="7175" max="7175" width="22.42578125" style="333" bestFit="1" customWidth="1"/>
    <col min="7176" max="7176" width="25.42578125" style="333" customWidth="1"/>
    <col min="7177" max="7177" width="14.5703125" style="333" customWidth="1"/>
    <col min="7178" max="7178" width="11.5703125" style="333" customWidth="1"/>
    <col min="7179" max="7179" width="12.5703125" style="333" customWidth="1"/>
    <col min="7180" max="7180" width="13" style="333" customWidth="1"/>
    <col min="7181" max="7424" width="9.42578125" style="333"/>
    <col min="7425" max="7425" width="17.42578125" style="333" customWidth="1"/>
    <col min="7426" max="7427" width="20.5703125" style="333" customWidth="1"/>
    <col min="7428" max="7428" width="26" style="333" bestFit="1" customWidth="1"/>
    <col min="7429" max="7429" width="21.42578125" style="333" bestFit="1" customWidth="1"/>
    <col min="7430" max="7430" width="20.42578125" style="333" bestFit="1" customWidth="1"/>
    <col min="7431" max="7431" width="22.42578125" style="333" bestFit="1" customWidth="1"/>
    <col min="7432" max="7432" width="25.42578125" style="333" customWidth="1"/>
    <col min="7433" max="7433" width="14.5703125" style="333" customWidth="1"/>
    <col min="7434" max="7434" width="11.5703125" style="333" customWidth="1"/>
    <col min="7435" max="7435" width="12.5703125" style="333" customWidth="1"/>
    <col min="7436" max="7436" width="13" style="333" customWidth="1"/>
    <col min="7437" max="7680" width="9.42578125" style="333"/>
    <col min="7681" max="7681" width="17.42578125" style="333" customWidth="1"/>
    <col min="7682" max="7683" width="20.5703125" style="333" customWidth="1"/>
    <col min="7684" max="7684" width="26" style="333" bestFit="1" customWidth="1"/>
    <col min="7685" max="7685" width="21.42578125" style="333" bestFit="1" customWidth="1"/>
    <col min="7686" max="7686" width="20.42578125" style="333" bestFit="1" customWidth="1"/>
    <col min="7687" max="7687" width="22.42578125" style="333" bestFit="1" customWidth="1"/>
    <col min="7688" max="7688" width="25.42578125" style="333" customWidth="1"/>
    <col min="7689" max="7689" width="14.5703125" style="333" customWidth="1"/>
    <col min="7690" max="7690" width="11.5703125" style="333" customWidth="1"/>
    <col min="7691" max="7691" width="12.5703125" style="333" customWidth="1"/>
    <col min="7692" max="7692" width="13" style="333" customWidth="1"/>
    <col min="7693" max="7936" width="9.42578125" style="333"/>
    <col min="7937" max="7937" width="17.42578125" style="333" customWidth="1"/>
    <col min="7938" max="7939" width="20.5703125" style="333" customWidth="1"/>
    <col min="7940" max="7940" width="26" style="333" bestFit="1" customWidth="1"/>
    <col min="7941" max="7941" width="21.42578125" style="333" bestFit="1" customWidth="1"/>
    <col min="7942" max="7942" width="20.42578125" style="333" bestFit="1" customWidth="1"/>
    <col min="7943" max="7943" width="22.42578125" style="333" bestFit="1" customWidth="1"/>
    <col min="7944" max="7944" width="25.42578125" style="333" customWidth="1"/>
    <col min="7945" max="7945" width="14.5703125" style="333" customWidth="1"/>
    <col min="7946" max="7946" width="11.5703125" style="333" customWidth="1"/>
    <col min="7947" max="7947" width="12.5703125" style="333" customWidth="1"/>
    <col min="7948" max="7948" width="13" style="333" customWidth="1"/>
    <col min="7949" max="8192" width="9.42578125" style="333"/>
    <col min="8193" max="8193" width="17.42578125" style="333" customWidth="1"/>
    <col min="8194" max="8195" width="20.5703125" style="333" customWidth="1"/>
    <col min="8196" max="8196" width="26" style="333" bestFit="1" customWidth="1"/>
    <col min="8197" max="8197" width="21.42578125" style="333" bestFit="1" customWidth="1"/>
    <col min="8198" max="8198" width="20.42578125" style="333" bestFit="1" customWidth="1"/>
    <col min="8199" max="8199" width="22.42578125" style="333" bestFit="1" customWidth="1"/>
    <col min="8200" max="8200" width="25.42578125" style="333" customWidth="1"/>
    <col min="8201" max="8201" width="14.5703125" style="333" customWidth="1"/>
    <col min="8202" max="8202" width="11.5703125" style="333" customWidth="1"/>
    <col min="8203" max="8203" width="12.5703125" style="333" customWidth="1"/>
    <col min="8204" max="8204" width="13" style="333" customWidth="1"/>
    <col min="8205" max="8448" width="9.42578125" style="333"/>
    <col min="8449" max="8449" width="17.42578125" style="333" customWidth="1"/>
    <col min="8450" max="8451" width="20.5703125" style="333" customWidth="1"/>
    <col min="8452" max="8452" width="26" style="333" bestFit="1" customWidth="1"/>
    <col min="8453" max="8453" width="21.42578125" style="333" bestFit="1" customWidth="1"/>
    <col min="8454" max="8454" width="20.42578125" style="333" bestFit="1" customWidth="1"/>
    <col min="8455" max="8455" width="22.42578125" style="333" bestFit="1" customWidth="1"/>
    <col min="8456" max="8456" width="25.42578125" style="333" customWidth="1"/>
    <col min="8457" max="8457" width="14.5703125" style="333" customWidth="1"/>
    <col min="8458" max="8458" width="11.5703125" style="333" customWidth="1"/>
    <col min="8459" max="8459" width="12.5703125" style="333" customWidth="1"/>
    <col min="8460" max="8460" width="13" style="333" customWidth="1"/>
    <col min="8461" max="8704" width="9.42578125" style="333"/>
    <col min="8705" max="8705" width="17.42578125" style="333" customWidth="1"/>
    <col min="8706" max="8707" width="20.5703125" style="333" customWidth="1"/>
    <col min="8708" max="8708" width="26" style="333" bestFit="1" customWidth="1"/>
    <col min="8709" max="8709" width="21.42578125" style="333" bestFit="1" customWidth="1"/>
    <col min="8710" max="8710" width="20.42578125" style="333" bestFit="1" customWidth="1"/>
    <col min="8711" max="8711" width="22.42578125" style="333" bestFit="1" customWidth="1"/>
    <col min="8712" max="8712" width="25.42578125" style="333" customWidth="1"/>
    <col min="8713" max="8713" width="14.5703125" style="333" customWidth="1"/>
    <col min="8714" max="8714" width="11.5703125" style="333" customWidth="1"/>
    <col min="8715" max="8715" width="12.5703125" style="333" customWidth="1"/>
    <col min="8716" max="8716" width="13" style="333" customWidth="1"/>
    <col min="8717" max="8960" width="9.42578125" style="333"/>
    <col min="8961" max="8961" width="17.42578125" style="333" customWidth="1"/>
    <col min="8962" max="8963" width="20.5703125" style="333" customWidth="1"/>
    <col min="8964" max="8964" width="26" style="333" bestFit="1" customWidth="1"/>
    <col min="8965" max="8965" width="21.42578125" style="333" bestFit="1" customWidth="1"/>
    <col min="8966" max="8966" width="20.42578125" style="333" bestFit="1" customWidth="1"/>
    <col min="8967" max="8967" width="22.42578125" style="333" bestFit="1" customWidth="1"/>
    <col min="8968" max="8968" width="25.42578125" style="333" customWidth="1"/>
    <col min="8969" max="8969" width="14.5703125" style="333" customWidth="1"/>
    <col min="8970" max="8970" width="11.5703125" style="333" customWidth="1"/>
    <col min="8971" max="8971" width="12.5703125" style="333" customWidth="1"/>
    <col min="8972" max="8972" width="13" style="333" customWidth="1"/>
    <col min="8973" max="9216" width="9.42578125" style="333"/>
    <col min="9217" max="9217" width="17.42578125" style="333" customWidth="1"/>
    <col min="9218" max="9219" width="20.5703125" style="333" customWidth="1"/>
    <col min="9220" max="9220" width="26" style="333" bestFit="1" customWidth="1"/>
    <col min="9221" max="9221" width="21.42578125" style="333" bestFit="1" customWidth="1"/>
    <col min="9222" max="9222" width="20.42578125" style="333" bestFit="1" customWidth="1"/>
    <col min="9223" max="9223" width="22.42578125" style="333" bestFit="1" customWidth="1"/>
    <col min="9224" max="9224" width="25.42578125" style="333" customWidth="1"/>
    <col min="9225" max="9225" width="14.5703125" style="333" customWidth="1"/>
    <col min="9226" max="9226" width="11.5703125" style="333" customWidth="1"/>
    <col min="9227" max="9227" width="12.5703125" style="333" customWidth="1"/>
    <col min="9228" max="9228" width="13" style="333" customWidth="1"/>
    <col min="9229" max="9472" width="9.42578125" style="333"/>
    <col min="9473" max="9473" width="17.42578125" style="333" customWidth="1"/>
    <col min="9474" max="9475" width="20.5703125" style="333" customWidth="1"/>
    <col min="9476" max="9476" width="26" style="333" bestFit="1" customWidth="1"/>
    <col min="9477" max="9477" width="21.42578125" style="333" bestFit="1" customWidth="1"/>
    <col min="9478" max="9478" width="20.42578125" style="333" bestFit="1" customWidth="1"/>
    <col min="9479" max="9479" width="22.42578125" style="333" bestFit="1" customWidth="1"/>
    <col min="9480" max="9480" width="25.42578125" style="333" customWidth="1"/>
    <col min="9481" max="9481" width="14.5703125" style="333" customWidth="1"/>
    <col min="9482" max="9482" width="11.5703125" style="333" customWidth="1"/>
    <col min="9483" max="9483" width="12.5703125" style="333" customWidth="1"/>
    <col min="9484" max="9484" width="13" style="333" customWidth="1"/>
    <col min="9485" max="9728" width="9.42578125" style="333"/>
    <col min="9729" max="9729" width="17.42578125" style="333" customWidth="1"/>
    <col min="9730" max="9731" width="20.5703125" style="333" customWidth="1"/>
    <col min="9732" max="9732" width="26" style="333" bestFit="1" customWidth="1"/>
    <col min="9733" max="9733" width="21.42578125" style="333" bestFit="1" customWidth="1"/>
    <col min="9734" max="9734" width="20.42578125" style="333" bestFit="1" customWidth="1"/>
    <col min="9735" max="9735" width="22.42578125" style="333" bestFit="1" customWidth="1"/>
    <col min="9736" max="9736" width="25.42578125" style="333" customWidth="1"/>
    <col min="9737" max="9737" width="14.5703125" style="333" customWidth="1"/>
    <col min="9738" max="9738" width="11.5703125" style="333" customWidth="1"/>
    <col min="9739" max="9739" width="12.5703125" style="333" customWidth="1"/>
    <col min="9740" max="9740" width="13" style="333" customWidth="1"/>
    <col min="9741" max="9984" width="9.42578125" style="333"/>
    <col min="9985" max="9985" width="17.42578125" style="333" customWidth="1"/>
    <col min="9986" max="9987" width="20.5703125" style="333" customWidth="1"/>
    <col min="9988" max="9988" width="26" style="333" bestFit="1" customWidth="1"/>
    <col min="9989" max="9989" width="21.42578125" style="333" bestFit="1" customWidth="1"/>
    <col min="9990" max="9990" width="20.42578125" style="333" bestFit="1" customWidth="1"/>
    <col min="9991" max="9991" width="22.42578125" style="333" bestFit="1" customWidth="1"/>
    <col min="9992" max="9992" width="25.42578125" style="333" customWidth="1"/>
    <col min="9993" max="9993" width="14.5703125" style="333" customWidth="1"/>
    <col min="9994" max="9994" width="11.5703125" style="333" customWidth="1"/>
    <col min="9995" max="9995" width="12.5703125" style="333" customWidth="1"/>
    <col min="9996" max="9996" width="13" style="333" customWidth="1"/>
    <col min="9997" max="10240" width="9.42578125" style="333"/>
    <col min="10241" max="10241" width="17.42578125" style="333" customWidth="1"/>
    <col min="10242" max="10243" width="20.5703125" style="333" customWidth="1"/>
    <col min="10244" max="10244" width="26" style="333" bestFit="1" customWidth="1"/>
    <col min="10245" max="10245" width="21.42578125" style="333" bestFit="1" customWidth="1"/>
    <col min="10246" max="10246" width="20.42578125" style="333" bestFit="1" customWidth="1"/>
    <col min="10247" max="10247" width="22.42578125" style="333" bestFit="1" customWidth="1"/>
    <col min="10248" max="10248" width="25.42578125" style="333" customWidth="1"/>
    <col min="10249" max="10249" width="14.5703125" style="333" customWidth="1"/>
    <col min="10250" max="10250" width="11.5703125" style="333" customWidth="1"/>
    <col min="10251" max="10251" width="12.5703125" style="333" customWidth="1"/>
    <col min="10252" max="10252" width="13" style="333" customWidth="1"/>
    <col min="10253" max="10496" width="9.42578125" style="333"/>
    <col min="10497" max="10497" width="17.42578125" style="333" customWidth="1"/>
    <col min="10498" max="10499" width="20.5703125" style="333" customWidth="1"/>
    <col min="10500" max="10500" width="26" style="333" bestFit="1" customWidth="1"/>
    <col min="10501" max="10501" width="21.42578125" style="333" bestFit="1" customWidth="1"/>
    <col min="10502" max="10502" width="20.42578125" style="333" bestFit="1" customWidth="1"/>
    <col min="10503" max="10503" width="22.42578125" style="333" bestFit="1" customWidth="1"/>
    <col min="10504" max="10504" width="25.42578125" style="333" customWidth="1"/>
    <col min="10505" max="10505" width="14.5703125" style="333" customWidth="1"/>
    <col min="10506" max="10506" width="11.5703125" style="333" customWidth="1"/>
    <col min="10507" max="10507" width="12.5703125" style="333" customWidth="1"/>
    <col min="10508" max="10508" width="13" style="333" customWidth="1"/>
    <col min="10509" max="10752" width="9.42578125" style="333"/>
    <col min="10753" max="10753" width="17.42578125" style="333" customWidth="1"/>
    <col min="10754" max="10755" width="20.5703125" style="333" customWidth="1"/>
    <col min="10756" max="10756" width="26" style="333" bestFit="1" customWidth="1"/>
    <col min="10757" max="10757" width="21.42578125" style="333" bestFit="1" customWidth="1"/>
    <col min="10758" max="10758" width="20.42578125" style="333" bestFit="1" customWidth="1"/>
    <col min="10759" max="10759" width="22.42578125" style="333" bestFit="1" customWidth="1"/>
    <col min="10760" max="10760" width="25.42578125" style="333" customWidth="1"/>
    <col min="10761" max="10761" width="14.5703125" style="333" customWidth="1"/>
    <col min="10762" max="10762" width="11.5703125" style="333" customWidth="1"/>
    <col min="10763" max="10763" width="12.5703125" style="333" customWidth="1"/>
    <col min="10764" max="10764" width="13" style="333" customWidth="1"/>
    <col min="10765" max="11008" width="9.42578125" style="333"/>
    <col min="11009" max="11009" width="17.42578125" style="333" customWidth="1"/>
    <col min="11010" max="11011" width="20.5703125" style="333" customWidth="1"/>
    <col min="11012" max="11012" width="26" style="333" bestFit="1" customWidth="1"/>
    <col min="11013" max="11013" width="21.42578125" style="333" bestFit="1" customWidth="1"/>
    <col min="11014" max="11014" width="20.42578125" style="333" bestFit="1" customWidth="1"/>
    <col min="11015" max="11015" width="22.42578125" style="333" bestFit="1" customWidth="1"/>
    <col min="11016" max="11016" width="25.42578125" style="333" customWidth="1"/>
    <col min="11017" max="11017" width="14.5703125" style="333" customWidth="1"/>
    <col min="11018" max="11018" width="11.5703125" style="333" customWidth="1"/>
    <col min="11019" max="11019" width="12.5703125" style="333" customWidth="1"/>
    <col min="11020" max="11020" width="13" style="333" customWidth="1"/>
    <col min="11021" max="11264" width="9.42578125" style="333"/>
    <col min="11265" max="11265" width="17.42578125" style="333" customWidth="1"/>
    <col min="11266" max="11267" width="20.5703125" style="333" customWidth="1"/>
    <col min="11268" max="11268" width="26" style="333" bestFit="1" customWidth="1"/>
    <col min="11269" max="11269" width="21.42578125" style="333" bestFit="1" customWidth="1"/>
    <col min="11270" max="11270" width="20.42578125" style="333" bestFit="1" customWidth="1"/>
    <col min="11271" max="11271" width="22.42578125" style="333" bestFit="1" customWidth="1"/>
    <col min="11272" max="11272" width="25.42578125" style="333" customWidth="1"/>
    <col min="11273" max="11273" width="14.5703125" style="333" customWidth="1"/>
    <col min="11274" max="11274" width="11.5703125" style="333" customWidth="1"/>
    <col min="11275" max="11275" width="12.5703125" style="333" customWidth="1"/>
    <col min="11276" max="11276" width="13" style="333" customWidth="1"/>
    <col min="11277" max="11520" width="9.42578125" style="333"/>
    <col min="11521" max="11521" width="17.42578125" style="333" customWidth="1"/>
    <col min="11522" max="11523" width="20.5703125" style="333" customWidth="1"/>
    <col min="11524" max="11524" width="26" style="333" bestFit="1" customWidth="1"/>
    <col min="11525" max="11525" width="21.42578125" style="333" bestFit="1" customWidth="1"/>
    <col min="11526" max="11526" width="20.42578125" style="333" bestFit="1" customWidth="1"/>
    <col min="11527" max="11527" width="22.42578125" style="333" bestFit="1" customWidth="1"/>
    <col min="11528" max="11528" width="25.42578125" style="333" customWidth="1"/>
    <col min="11529" max="11529" width="14.5703125" style="333" customWidth="1"/>
    <col min="11530" max="11530" width="11.5703125" style="333" customWidth="1"/>
    <col min="11531" max="11531" width="12.5703125" style="333" customWidth="1"/>
    <col min="11532" max="11532" width="13" style="333" customWidth="1"/>
    <col min="11533" max="11776" width="9.42578125" style="333"/>
    <col min="11777" max="11777" width="17.42578125" style="333" customWidth="1"/>
    <col min="11778" max="11779" width="20.5703125" style="333" customWidth="1"/>
    <col min="11780" max="11780" width="26" style="333" bestFit="1" customWidth="1"/>
    <col min="11781" max="11781" width="21.42578125" style="333" bestFit="1" customWidth="1"/>
    <col min="11782" max="11782" width="20.42578125" style="333" bestFit="1" customWidth="1"/>
    <col min="11783" max="11783" width="22.42578125" style="333" bestFit="1" customWidth="1"/>
    <col min="11784" max="11784" width="25.42578125" style="333" customWidth="1"/>
    <col min="11785" max="11785" width="14.5703125" style="333" customWidth="1"/>
    <col min="11786" max="11786" width="11.5703125" style="333" customWidth="1"/>
    <col min="11787" max="11787" width="12.5703125" style="333" customWidth="1"/>
    <col min="11788" max="11788" width="13" style="333" customWidth="1"/>
    <col min="11789" max="12032" width="9.42578125" style="333"/>
    <col min="12033" max="12033" width="17.42578125" style="333" customWidth="1"/>
    <col min="12034" max="12035" width="20.5703125" style="333" customWidth="1"/>
    <col min="12036" max="12036" width="26" style="333" bestFit="1" customWidth="1"/>
    <col min="12037" max="12037" width="21.42578125" style="333" bestFit="1" customWidth="1"/>
    <col min="12038" max="12038" width="20.42578125" style="333" bestFit="1" customWidth="1"/>
    <col min="12039" max="12039" width="22.42578125" style="333" bestFit="1" customWidth="1"/>
    <col min="12040" max="12040" width="25.42578125" style="333" customWidth="1"/>
    <col min="12041" max="12041" width="14.5703125" style="333" customWidth="1"/>
    <col min="12042" max="12042" width="11.5703125" style="333" customWidth="1"/>
    <col min="12043" max="12043" width="12.5703125" style="333" customWidth="1"/>
    <col min="12044" max="12044" width="13" style="333" customWidth="1"/>
    <col min="12045" max="12288" width="9.42578125" style="333"/>
    <col min="12289" max="12289" width="17.42578125" style="333" customWidth="1"/>
    <col min="12290" max="12291" width="20.5703125" style="333" customWidth="1"/>
    <col min="12292" max="12292" width="26" style="333" bestFit="1" customWidth="1"/>
    <col min="12293" max="12293" width="21.42578125" style="333" bestFit="1" customWidth="1"/>
    <col min="12294" max="12294" width="20.42578125" style="333" bestFit="1" customWidth="1"/>
    <col min="12295" max="12295" width="22.42578125" style="333" bestFit="1" customWidth="1"/>
    <col min="12296" max="12296" width="25.42578125" style="333" customWidth="1"/>
    <col min="12297" max="12297" width="14.5703125" style="333" customWidth="1"/>
    <col min="12298" max="12298" width="11.5703125" style="333" customWidth="1"/>
    <col min="12299" max="12299" width="12.5703125" style="333" customWidth="1"/>
    <col min="12300" max="12300" width="13" style="333" customWidth="1"/>
    <col min="12301" max="12544" width="9.42578125" style="333"/>
    <col min="12545" max="12545" width="17.42578125" style="333" customWidth="1"/>
    <col min="12546" max="12547" width="20.5703125" style="333" customWidth="1"/>
    <col min="12548" max="12548" width="26" style="333" bestFit="1" customWidth="1"/>
    <col min="12549" max="12549" width="21.42578125" style="333" bestFit="1" customWidth="1"/>
    <col min="12550" max="12550" width="20.42578125" style="333" bestFit="1" customWidth="1"/>
    <col min="12551" max="12551" width="22.42578125" style="333" bestFit="1" customWidth="1"/>
    <col min="12552" max="12552" width="25.42578125" style="333" customWidth="1"/>
    <col min="12553" max="12553" width="14.5703125" style="333" customWidth="1"/>
    <col min="12554" max="12554" width="11.5703125" style="333" customWidth="1"/>
    <col min="12555" max="12555" width="12.5703125" style="333" customWidth="1"/>
    <col min="12556" max="12556" width="13" style="333" customWidth="1"/>
    <col min="12557" max="12800" width="9.42578125" style="333"/>
    <col min="12801" max="12801" width="17.42578125" style="333" customWidth="1"/>
    <col min="12802" max="12803" width="20.5703125" style="333" customWidth="1"/>
    <col min="12804" max="12804" width="26" style="333" bestFit="1" customWidth="1"/>
    <col min="12805" max="12805" width="21.42578125" style="333" bestFit="1" customWidth="1"/>
    <col min="12806" max="12806" width="20.42578125" style="333" bestFit="1" customWidth="1"/>
    <col min="12807" max="12807" width="22.42578125" style="333" bestFit="1" customWidth="1"/>
    <col min="12808" max="12808" width="25.42578125" style="333" customWidth="1"/>
    <col min="12809" max="12809" width="14.5703125" style="333" customWidth="1"/>
    <col min="12810" max="12810" width="11.5703125" style="333" customWidth="1"/>
    <col min="12811" max="12811" width="12.5703125" style="333" customWidth="1"/>
    <col min="12812" max="12812" width="13" style="333" customWidth="1"/>
    <col min="12813" max="13056" width="9.42578125" style="333"/>
    <col min="13057" max="13057" width="17.42578125" style="333" customWidth="1"/>
    <col min="13058" max="13059" width="20.5703125" style="333" customWidth="1"/>
    <col min="13060" max="13060" width="26" style="333" bestFit="1" customWidth="1"/>
    <col min="13061" max="13061" width="21.42578125" style="333" bestFit="1" customWidth="1"/>
    <col min="13062" max="13062" width="20.42578125" style="333" bestFit="1" customWidth="1"/>
    <col min="13063" max="13063" width="22.42578125" style="333" bestFit="1" customWidth="1"/>
    <col min="13064" max="13064" width="25.42578125" style="333" customWidth="1"/>
    <col min="13065" max="13065" width="14.5703125" style="333" customWidth="1"/>
    <col min="13066" max="13066" width="11.5703125" style="333" customWidth="1"/>
    <col min="13067" max="13067" width="12.5703125" style="333" customWidth="1"/>
    <col min="13068" max="13068" width="13" style="333" customWidth="1"/>
    <col min="13069" max="13312" width="9.42578125" style="333"/>
    <col min="13313" max="13313" width="17.42578125" style="333" customWidth="1"/>
    <col min="13314" max="13315" width="20.5703125" style="333" customWidth="1"/>
    <col min="13316" max="13316" width="26" style="333" bestFit="1" customWidth="1"/>
    <col min="13317" max="13317" width="21.42578125" style="333" bestFit="1" customWidth="1"/>
    <col min="13318" max="13318" width="20.42578125" style="333" bestFit="1" customWidth="1"/>
    <col min="13319" max="13319" width="22.42578125" style="333" bestFit="1" customWidth="1"/>
    <col min="13320" max="13320" width="25.42578125" style="333" customWidth="1"/>
    <col min="13321" max="13321" width="14.5703125" style="333" customWidth="1"/>
    <col min="13322" max="13322" width="11.5703125" style="333" customWidth="1"/>
    <col min="13323" max="13323" width="12.5703125" style="333" customWidth="1"/>
    <col min="13324" max="13324" width="13" style="333" customWidth="1"/>
    <col min="13325" max="13568" width="9.42578125" style="333"/>
    <col min="13569" max="13569" width="17.42578125" style="333" customWidth="1"/>
    <col min="13570" max="13571" width="20.5703125" style="333" customWidth="1"/>
    <col min="13572" max="13572" width="26" style="333" bestFit="1" customWidth="1"/>
    <col min="13573" max="13573" width="21.42578125" style="333" bestFit="1" customWidth="1"/>
    <col min="13574" max="13574" width="20.42578125" style="333" bestFit="1" customWidth="1"/>
    <col min="13575" max="13575" width="22.42578125" style="333" bestFit="1" customWidth="1"/>
    <col min="13576" max="13576" width="25.42578125" style="333" customWidth="1"/>
    <col min="13577" max="13577" width="14.5703125" style="333" customWidth="1"/>
    <col min="13578" max="13578" width="11.5703125" style="333" customWidth="1"/>
    <col min="13579" max="13579" width="12.5703125" style="333" customWidth="1"/>
    <col min="13580" max="13580" width="13" style="333" customWidth="1"/>
    <col min="13581" max="13824" width="9.42578125" style="333"/>
    <col min="13825" max="13825" width="17.42578125" style="333" customWidth="1"/>
    <col min="13826" max="13827" width="20.5703125" style="333" customWidth="1"/>
    <col min="13828" max="13828" width="26" style="333" bestFit="1" customWidth="1"/>
    <col min="13829" max="13829" width="21.42578125" style="333" bestFit="1" customWidth="1"/>
    <col min="13830" max="13830" width="20.42578125" style="333" bestFit="1" customWidth="1"/>
    <col min="13831" max="13831" width="22.42578125" style="333" bestFit="1" customWidth="1"/>
    <col min="13832" max="13832" width="25.42578125" style="333" customWidth="1"/>
    <col min="13833" max="13833" width="14.5703125" style="333" customWidth="1"/>
    <col min="13834" max="13834" width="11.5703125" style="333" customWidth="1"/>
    <col min="13835" max="13835" width="12.5703125" style="333" customWidth="1"/>
    <col min="13836" max="13836" width="13" style="333" customWidth="1"/>
    <col min="13837" max="14080" width="9.42578125" style="333"/>
    <col min="14081" max="14081" width="17.42578125" style="333" customWidth="1"/>
    <col min="14082" max="14083" width="20.5703125" style="333" customWidth="1"/>
    <col min="14084" max="14084" width="26" style="333" bestFit="1" customWidth="1"/>
    <col min="14085" max="14085" width="21.42578125" style="333" bestFit="1" customWidth="1"/>
    <col min="14086" max="14086" width="20.42578125" style="333" bestFit="1" customWidth="1"/>
    <col min="14087" max="14087" width="22.42578125" style="333" bestFit="1" customWidth="1"/>
    <col min="14088" max="14088" width="25.42578125" style="333" customWidth="1"/>
    <col min="14089" max="14089" width="14.5703125" style="333" customWidth="1"/>
    <col min="14090" max="14090" width="11.5703125" style="333" customWidth="1"/>
    <col min="14091" max="14091" width="12.5703125" style="333" customWidth="1"/>
    <col min="14092" max="14092" width="13" style="333" customWidth="1"/>
    <col min="14093" max="14336" width="9.42578125" style="333"/>
    <col min="14337" max="14337" width="17.42578125" style="333" customWidth="1"/>
    <col min="14338" max="14339" width="20.5703125" style="333" customWidth="1"/>
    <col min="14340" max="14340" width="26" style="333" bestFit="1" customWidth="1"/>
    <col min="14341" max="14341" width="21.42578125" style="333" bestFit="1" customWidth="1"/>
    <col min="14342" max="14342" width="20.42578125" style="333" bestFit="1" customWidth="1"/>
    <col min="14343" max="14343" width="22.42578125" style="333" bestFit="1" customWidth="1"/>
    <col min="14344" max="14344" width="25.42578125" style="333" customWidth="1"/>
    <col min="14345" max="14345" width="14.5703125" style="333" customWidth="1"/>
    <col min="14346" max="14346" width="11.5703125" style="333" customWidth="1"/>
    <col min="14347" max="14347" width="12.5703125" style="333" customWidth="1"/>
    <col min="14348" max="14348" width="13" style="333" customWidth="1"/>
    <col min="14349" max="14592" width="9.42578125" style="333"/>
    <col min="14593" max="14593" width="17.42578125" style="333" customWidth="1"/>
    <col min="14594" max="14595" width="20.5703125" style="333" customWidth="1"/>
    <col min="14596" max="14596" width="26" style="333" bestFit="1" customWidth="1"/>
    <col min="14597" max="14597" width="21.42578125" style="333" bestFit="1" customWidth="1"/>
    <col min="14598" max="14598" width="20.42578125" style="333" bestFit="1" customWidth="1"/>
    <col min="14599" max="14599" width="22.42578125" style="333" bestFit="1" customWidth="1"/>
    <col min="14600" max="14600" width="25.42578125" style="333" customWidth="1"/>
    <col min="14601" max="14601" width="14.5703125" style="333" customWidth="1"/>
    <col min="14602" max="14602" width="11.5703125" style="333" customWidth="1"/>
    <col min="14603" max="14603" width="12.5703125" style="333" customWidth="1"/>
    <col min="14604" max="14604" width="13" style="333" customWidth="1"/>
    <col min="14605" max="14848" width="9.42578125" style="333"/>
    <col min="14849" max="14849" width="17.42578125" style="333" customWidth="1"/>
    <col min="14850" max="14851" width="20.5703125" style="333" customWidth="1"/>
    <col min="14852" max="14852" width="26" style="333" bestFit="1" customWidth="1"/>
    <col min="14853" max="14853" width="21.42578125" style="333" bestFit="1" customWidth="1"/>
    <col min="14854" max="14854" width="20.42578125" style="333" bestFit="1" customWidth="1"/>
    <col min="14855" max="14855" width="22.42578125" style="333" bestFit="1" customWidth="1"/>
    <col min="14856" max="14856" width="25.42578125" style="333" customWidth="1"/>
    <col min="14857" max="14857" width="14.5703125" style="333" customWidth="1"/>
    <col min="14858" max="14858" width="11.5703125" style="333" customWidth="1"/>
    <col min="14859" max="14859" width="12.5703125" style="333" customWidth="1"/>
    <col min="14860" max="14860" width="13" style="333" customWidth="1"/>
    <col min="14861" max="15104" width="9.42578125" style="333"/>
    <col min="15105" max="15105" width="17.42578125" style="333" customWidth="1"/>
    <col min="15106" max="15107" width="20.5703125" style="333" customWidth="1"/>
    <col min="15108" max="15108" width="26" style="333" bestFit="1" customWidth="1"/>
    <col min="15109" max="15109" width="21.42578125" style="333" bestFit="1" customWidth="1"/>
    <col min="15110" max="15110" width="20.42578125" style="333" bestFit="1" customWidth="1"/>
    <col min="15111" max="15111" width="22.42578125" style="333" bestFit="1" customWidth="1"/>
    <col min="15112" max="15112" width="25.42578125" style="333" customWidth="1"/>
    <col min="15113" max="15113" width="14.5703125" style="333" customWidth="1"/>
    <col min="15114" max="15114" width="11.5703125" style="333" customWidth="1"/>
    <col min="15115" max="15115" width="12.5703125" style="333" customWidth="1"/>
    <col min="15116" max="15116" width="13" style="333" customWidth="1"/>
    <col min="15117" max="15360" width="9.42578125" style="333"/>
    <col min="15361" max="15361" width="17.42578125" style="333" customWidth="1"/>
    <col min="15362" max="15363" width="20.5703125" style="333" customWidth="1"/>
    <col min="15364" max="15364" width="26" style="333" bestFit="1" customWidth="1"/>
    <col min="15365" max="15365" width="21.42578125" style="333" bestFit="1" customWidth="1"/>
    <col min="15366" max="15366" width="20.42578125" style="333" bestFit="1" customWidth="1"/>
    <col min="15367" max="15367" width="22.42578125" style="333" bestFit="1" customWidth="1"/>
    <col min="15368" max="15368" width="25.42578125" style="333" customWidth="1"/>
    <col min="15369" max="15369" width="14.5703125" style="333" customWidth="1"/>
    <col min="15370" max="15370" width="11.5703125" style="333" customWidth="1"/>
    <col min="15371" max="15371" width="12.5703125" style="333" customWidth="1"/>
    <col min="15372" max="15372" width="13" style="333" customWidth="1"/>
    <col min="15373" max="15616" width="9.42578125" style="333"/>
    <col min="15617" max="15617" width="17.42578125" style="333" customWidth="1"/>
    <col min="15618" max="15619" width="20.5703125" style="333" customWidth="1"/>
    <col min="15620" max="15620" width="26" style="333" bestFit="1" customWidth="1"/>
    <col min="15621" max="15621" width="21.42578125" style="333" bestFit="1" customWidth="1"/>
    <col min="15622" max="15622" width="20.42578125" style="333" bestFit="1" customWidth="1"/>
    <col min="15623" max="15623" width="22.42578125" style="333" bestFit="1" customWidth="1"/>
    <col min="15624" max="15624" width="25.42578125" style="333" customWidth="1"/>
    <col min="15625" max="15625" width="14.5703125" style="333" customWidth="1"/>
    <col min="15626" max="15626" width="11.5703125" style="333" customWidth="1"/>
    <col min="15627" max="15627" width="12.5703125" style="333" customWidth="1"/>
    <col min="15628" max="15628" width="13" style="333" customWidth="1"/>
    <col min="15629" max="15872" width="9.42578125" style="333"/>
    <col min="15873" max="15873" width="17.42578125" style="333" customWidth="1"/>
    <col min="15874" max="15875" width="20.5703125" style="333" customWidth="1"/>
    <col min="15876" max="15876" width="26" style="333" bestFit="1" customWidth="1"/>
    <col min="15877" max="15877" width="21.42578125" style="333" bestFit="1" customWidth="1"/>
    <col min="15878" max="15878" width="20.42578125" style="333" bestFit="1" customWidth="1"/>
    <col min="15879" max="15879" width="22.42578125" style="333" bestFit="1" customWidth="1"/>
    <col min="15880" max="15880" width="25.42578125" style="333" customWidth="1"/>
    <col min="15881" max="15881" width="14.5703125" style="333" customWidth="1"/>
    <col min="15882" max="15882" width="11.5703125" style="333" customWidth="1"/>
    <col min="15883" max="15883" width="12.5703125" style="333" customWidth="1"/>
    <col min="15884" max="15884" width="13" style="333" customWidth="1"/>
    <col min="15885" max="16128" width="9.42578125" style="333"/>
    <col min="16129" max="16129" width="17.42578125" style="333" customWidth="1"/>
    <col min="16130" max="16131" width="20.5703125" style="333" customWidth="1"/>
    <col min="16132" max="16132" width="26" style="333" bestFit="1" customWidth="1"/>
    <col min="16133" max="16133" width="21.42578125" style="333" bestFit="1" customWidth="1"/>
    <col min="16134" max="16134" width="20.42578125" style="333" bestFit="1" customWidth="1"/>
    <col min="16135" max="16135" width="22.42578125" style="333" bestFit="1" customWidth="1"/>
    <col min="16136" max="16136" width="25.42578125" style="333" customWidth="1"/>
    <col min="16137" max="16137" width="14.5703125" style="333" customWidth="1"/>
    <col min="16138" max="16138" width="11.5703125" style="333" customWidth="1"/>
    <col min="16139" max="16139" width="12.5703125" style="333" customWidth="1"/>
    <col min="16140" max="16140" width="13" style="333" customWidth="1"/>
    <col min="16141" max="16384" width="9.42578125" style="333"/>
  </cols>
  <sheetData>
    <row r="2" spans="1:14" s="326" customFormat="1" ht="18" x14ac:dyDescent="0.25">
      <c r="A2" s="1252" t="s">
        <v>461</v>
      </c>
      <c r="B2" s="1252"/>
      <c r="C2" s="1252"/>
      <c r="D2" s="1252"/>
      <c r="E2" s="1252"/>
      <c r="F2" s="1252"/>
      <c r="G2" s="1252"/>
      <c r="H2" s="676" t="str">
        <f>Instructions!$H$2</f>
        <v>p-sbap5-20  •  7/28/2025</v>
      </c>
    </row>
    <row r="3" spans="1:14" s="364" customFormat="1" ht="60" customHeight="1" x14ac:dyDescent="0.2">
      <c r="A3" s="422"/>
      <c r="B3" s="423" t="s">
        <v>135</v>
      </c>
      <c r="C3" s="423" t="s">
        <v>462</v>
      </c>
      <c r="D3" s="423" t="s">
        <v>463</v>
      </c>
      <c r="E3" s="423" t="s">
        <v>464</v>
      </c>
      <c r="F3" s="423" t="s">
        <v>136</v>
      </c>
      <c r="G3" s="424" t="s">
        <v>137</v>
      </c>
      <c r="H3" s="423" t="s">
        <v>138</v>
      </c>
      <c r="I3" s="825" t="s">
        <v>840</v>
      </c>
    </row>
    <row r="4" spans="1:14" s="429" customFormat="1" ht="13.5" x14ac:dyDescent="0.2">
      <c r="A4" s="425" t="s">
        <v>139</v>
      </c>
      <c r="B4" s="426" t="s">
        <v>140</v>
      </c>
      <c r="C4" s="426" t="s">
        <v>141</v>
      </c>
      <c r="D4" s="426" t="s">
        <v>142</v>
      </c>
      <c r="E4" s="426" t="s">
        <v>140</v>
      </c>
      <c r="F4" s="426" t="s">
        <v>143</v>
      </c>
      <c r="G4" s="427" t="s">
        <v>144</v>
      </c>
      <c r="H4" s="428" t="s">
        <v>144</v>
      </c>
      <c r="I4" s="791" t="s">
        <v>841</v>
      </c>
      <c r="J4" s="364"/>
      <c r="K4" s="364"/>
      <c r="L4" s="364"/>
      <c r="M4" s="364"/>
      <c r="N4" s="364"/>
    </row>
    <row r="5" spans="1:14" s="364" customFormat="1" ht="12" x14ac:dyDescent="0.2">
      <c r="A5" s="430" t="s">
        <v>36</v>
      </c>
      <c r="B5" s="431">
        <v>0.31</v>
      </c>
      <c r="C5" s="431">
        <v>0.1</v>
      </c>
      <c r="D5" s="431">
        <v>6.6E-3</v>
      </c>
      <c r="E5" s="431">
        <v>0.1</v>
      </c>
      <c r="F5" s="431">
        <f>0.0095+0.00991</f>
        <v>1.941E-2</v>
      </c>
      <c r="G5" s="431">
        <f>0.0000771+0.00991</f>
        <v>9.9871000000000005E-3</v>
      </c>
      <c r="H5" s="826">
        <f>0.0384+0.00991</f>
        <v>4.8309999999999999E-2</v>
      </c>
      <c r="I5" s="792">
        <f>I6</f>
        <v>5.434782608695652E-2</v>
      </c>
    </row>
    <row r="6" spans="1:14" s="364" customFormat="1" ht="12" x14ac:dyDescent="0.2">
      <c r="A6" s="433" t="s">
        <v>37</v>
      </c>
      <c r="B6" s="672">
        <v>0.31</v>
      </c>
      <c r="C6" s="672">
        <f>0.0496+0.0077</f>
        <v>5.7299999999999997E-2</v>
      </c>
      <c r="D6" s="673">
        <f>0.0019+0.0047</f>
        <v>6.6E-3</v>
      </c>
      <c r="E6" s="672">
        <v>0.1</v>
      </c>
      <c r="F6" s="432">
        <f>0.0095+0.00991</f>
        <v>1.941E-2</v>
      </c>
      <c r="G6" s="672">
        <f>G5</f>
        <v>9.9871000000000005E-3</v>
      </c>
      <c r="H6" s="742">
        <f>H5</f>
        <v>4.8309999999999999E-2</v>
      </c>
      <c r="I6" s="793">
        <f>5/(H55/(10^6)*1000)</f>
        <v>5.434782608695652E-2</v>
      </c>
    </row>
    <row r="7" spans="1:14" s="364" customFormat="1" ht="12" x14ac:dyDescent="0.2">
      <c r="A7" s="433" t="s">
        <v>97</v>
      </c>
      <c r="B7" s="672">
        <v>0.31</v>
      </c>
      <c r="C7" s="672">
        <f>0.0479+0.0077</f>
        <v>5.5599999999999997E-2</v>
      </c>
      <c r="D7" s="673">
        <f>D6</f>
        <v>6.6E-3</v>
      </c>
      <c r="E7" s="672">
        <v>0.1</v>
      </c>
      <c r="F7" s="672">
        <f>F6</f>
        <v>1.941E-2</v>
      </c>
      <c r="G7" s="672">
        <f>G5</f>
        <v>9.9871000000000005E-3</v>
      </c>
      <c r="H7" s="742">
        <f>H6</f>
        <v>4.8309999999999999E-2</v>
      </c>
      <c r="I7" s="793">
        <f>I6</f>
        <v>5.434782608695652E-2</v>
      </c>
    </row>
    <row r="8" spans="1:14" s="364" customFormat="1" ht="12" x14ac:dyDescent="0.2">
      <c r="A8" s="433" t="s">
        <v>38</v>
      </c>
      <c r="B8" s="432">
        <v>1.01</v>
      </c>
      <c r="C8" s="432">
        <v>1.01</v>
      </c>
      <c r="D8" s="432">
        <v>0.94</v>
      </c>
      <c r="E8" s="432">
        <v>8.4000000000000005E-2</v>
      </c>
      <c r="F8" s="432">
        <v>5.8799999999999998E-4</v>
      </c>
      <c r="G8" s="432">
        <v>5.8799999999999998E-4</v>
      </c>
      <c r="H8" s="827">
        <v>5.8799999999999998E-4</v>
      </c>
      <c r="I8" s="794">
        <f>(0.1)/(H55/(10^6)*1000)</f>
        <v>1.0869565217391304E-3</v>
      </c>
    </row>
    <row r="9" spans="1:14" s="364" customFormat="1" ht="12" x14ac:dyDescent="0.2">
      <c r="A9" s="433" t="s">
        <v>39</v>
      </c>
      <c r="B9" s="432">
        <v>4.41</v>
      </c>
      <c r="C9" s="432">
        <v>3.2</v>
      </c>
      <c r="D9" s="432">
        <v>0.32</v>
      </c>
      <c r="E9" s="432">
        <v>1.63</v>
      </c>
      <c r="F9" s="432">
        <v>2.21</v>
      </c>
      <c r="G9" s="432">
        <v>4.08</v>
      </c>
      <c r="H9" s="827">
        <v>3.17</v>
      </c>
      <c r="I9" s="795">
        <f>139/(H55/(10^6)*1000)</f>
        <v>1.5108695652173914</v>
      </c>
    </row>
    <row r="10" spans="1:14" s="364" customFormat="1" ht="12" x14ac:dyDescent="0.2">
      <c r="A10" s="433" t="s">
        <v>40</v>
      </c>
      <c r="B10" s="432">
        <f>0.35+0+0.01+0</f>
        <v>0.36</v>
      </c>
      <c r="C10" s="432">
        <v>0.09</v>
      </c>
      <c r="D10" s="432">
        <v>2.0999999999999999E-3</v>
      </c>
      <c r="E10" s="432">
        <f>2.1+0.09+0.69+0.15</f>
        <v>3.03</v>
      </c>
      <c r="F10" s="432">
        <v>2.9600000000000001E-2</v>
      </c>
      <c r="G10" s="432">
        <v>0.11799999999999999</v>
      </c>
      <c r="H10" s="827">
        <v>0.12</v>
      </c>
      <c r="I10" s="796">
        <f>83/(H55/(10^6)*1000)</f>
        <v>0.90217391304347827</v>
      </c>
    </row>
    <row r="11" spans="1:14" s="364" customFormat="1" ht="12" x14ac:dyDescent="0.2">
      <c r="A11" s="433" t="s">
        <v>41</v>
      </c>
      <c r="B11" s="432">
        <v>0.95</v>
      </c>
      <c r="C11" s="432">
        <v>0.85</v>
      </c>
      <c r="D11" s="432">
        <v>8.2000000000000003E-2</v>
      </c>
      <c r="E11" s="432">
        <v>0.99</v>
      </c>
      <c r="F11" s="432">
        <v>3.72</v>
      </c>
      <c r="G11" s="432">
        <v>0.317</v>
      </c>
      <c r="H11" s="827">
        <v>0.38600000000000001</v>
      </c>
      <c r="I11" s="795">
        <f>129/(H55/(10^6)*1000)</f>
        <v>1.4021739130434783</v>
      </c>
    </row>
    <row r="12" spans="1:14" s="364" customFormat="1" ht="12.75" customHeight="1" x14ac:dyDescent="0.2">
      <c r="A12" s="426" t="s">
        <v>145</v>
      </c>
      <c r="B12" s="434"/>
      <c r="C12" s="434"/>
      <c r="D12" s="434"/>
      <c r="E12" s="434"/>
      <c r="F12" s="434"/>
      <c r="G12" s="434"/>
      <c r="H12" s="828" t="s">
        <v>146</v>
      </c>
      <c r="I12" s="797" t="s">
        <v>146</v>
      </c>
    </row>
    <row r="13" spans="1:14" s="364" customFormat="1" ht="13.5" x14ac:dyDescent="0.25">
      <c r="A13" s="430" t="s">
        <v>465</v>
      </c>
      <c r="B13" s="435">
        <f>B53</f>
        <v>163.05402211679217</v>
      </c>
      <c r="C13" s="435">
        <f>B53</f>
        <v>163.05402211679217</v>
      </c>
      <c r="D13" s="435">
        <f>B52</f>
        <v>116.97737173495123</v>
      </c>
      <c r="E13" s="435">
        <f>B54</f>
        <v>154.80872678530486</v>
      </c>
      <c r="F13" s="435">
        <f>B52</f>
        <v>116.97737173495123</v>
      </c>
      <c r="G13" s="435">
        <f>B52</f>
        <v>116.97737173495123</v>
      </c>
      <c r="H13" s="829">
        <f>G13</f>
        <v>116.97737173495123</v>
      </c>
      <c r="I13" s="798">
        <f>B55</f>
        <v>136.0473729695409</v>
      </c>
    </row>
    <row r="14" spans="1:14" s="364" customFormat="1" ht="13.5" x14ac:dyDescent="0.25">
      <c r="A14" s="433" t="s">
        <v>466</v>
      </c>
      <c r="B14" s="436">
        <f>C53</f>
        <v>6.6138732605513324E-3</v>
      </c>
      <c r="C14" s="436">
        <f>C53</f>
        <v>6.6138732605513324E-3</v>
      </c>
      <c r="D14" s="436">
        <f>C52</f>
        <v>2.2046244201837776E-3</v>
      </c>
      <c r="E14" s="436">
        <f>C54</f>
        <v>6.6138732605513324E-3</v>
      </c>
      <c r="F14" s="436">
        <f>C52</f>
        <v>2.2046244201837776E-3</v>
      </c>
      <c r="G14" s="436">
        <f>C52</f>
        <v>2.2046244201837776E-3</v>
      </c>
      <c r="H14" s="436">
        <f t="shared" ref="H14:H15" si="0">G14</f>
        <v>2.2046244201837776E-3</v>
      </c>
      <c r="I14" s="799">
        <f>C55</f>
        <v>6.6138732605513324E-3</v>
      </c>
    </row>
    <row r="15" spans="1:14" s="364" customFormat="1" ht="13.5" x14ac:dyDescent="0.25">
      <c r="A15" s="338" t="s">
        <v>467</v>
      </c>
      <c r="B15" s="437">
        <f>D53</f>
        <v>1.3227746521102665E-3</v>
      </c>
      <c r="C15" s="437">
        <f>D53</f>
        <v>1.3227746521102665E-3</v>
      </c>
      <c r="D15" s="437">
        <f>D52</f>
        <v>2.2046244201837776E-4</v>
      </c>
      <c r="E15" s="437">
        <f>D54</f>
        <v>1.3227746521102665E-3</v>
      </c>
      <c r="F15" s="438">
        <f>D52</f>
        <v>2.2046244201837776E-4</v>
      </c>
      <c r="G15" s="438">
        <f>D52</f>
        <v>2.2046244201837776E-4</v>
      </c>
      <c r="H15" s="438">
        <f t="shared" si="0"/>
        <v>2.2046244201837776E-4</v>
      </c>
      <c r="I15" s="439">
        <f>D55</f>
        <v>1.3227746521102665E-3</v>
      </c>
    </row>
    <row r="16" spans="1:14" s="364" customFormat="1" ht="12.75" customHeight="1" x14ac:dyDescent="0.2">
      <c r="A16" s="440" t="s">
        <v>147</v>
      </c>
      <c r="B16" s="789" t="s">
        <v>140</v>
      </c>
      <c r="C16" s="789" t="s">
        <v>141</v>
      </c>
      <c r="D16" s="789" t="s">
        <v>142</v>
      </c>
      <c r="E16" s="790" t="s">
        <v>148</v>
      </c>
      <c r="F16" s="789" t="s">
        <v>143</v>
      </c>
      <c r="G16" s="789" t="s">
        <v>144</v>
      </c>
      <c r="H16" s="830" t="s">
        <v>144</v>
      </c>
      <c r="I16" s="831" t="s">
        <v>839</v>
      </c>
    </row>
    <row r="17" spans="1:11" s="364" customFormat="1" ht="12" x14ac:dyDescent="0.2">
      <c r="A17" s="441" t="s">
        <v>116</v>
      </c>
      <c r="B17" s="442"/>
      <c r="C17" s="442"/>
      <c r="D17" s="442"/>
      <c r="E17" s="442"/>
      <c r="F17" s="443">
        <v>2.5299999999999998E-5</v>
      </c>
      <c r="G17" s="443">
        <v>4.0000000000000003E-5</v>
      </c>
      <c r="H17" s="443">
        <v>6.6299999999999999E-5</v>
      </c>
      <c r="I17" s="800">
        <f>AVERAGE(F17:H17)*$G$52/$G$55</f>
        <v>1.7783783783783785E-5</v>
      </c>
    </row>
    <row r="18" spans="1:11" s="364" customFormat="1" ht="12" x14ac:dyDescent="0.2">
      <c r="A18" s="444" t="s">
        <v>117</v>
      </c>
      <c r="B18" s="445"/>
      <c r="C18" s="445"/>
      <c r="D18" s="445"/>
      <c r="E18" s="445"/>
      <c r="F18" s="446">
        <v>1.5299999999999999E-5</v>
      </c>
      <c r="G18" s="446">
        <v>3.18E-5</v>
      </c>
      <c r="H18" s="446">
        <v>5.27E-5</v>
      </c>
      <c r="I18" s="801">
        <f t="shared" ref="I18:I41" si="1">AVERAGE(F18:H18)*$G$52/$G$55</f>
        <v>1.3486486486486486E-5</v>
      </c>
    </row>
    <row r="19" spans="1:11" s="364" customFormat="1" ht="12" x14ac:dyDescent="0.2">
      <c r="A19" s="444" t="s">
        <v>118</v>
      </c>
      <c r="B19" s="446">
        <v>3.9100000000000002E-5</v>
      </c>
      <c r="C19" s="446"/>
      <c r="D19" s="446">
        <v>4.3000000000000001E-7</v>
      </c>
      <c r="E19" s="446">
        <v>3.9100000000000002E-5</v>
      </c>
      <c r="F19" s="446">
        <v>6.6299999999999996E-4</v>
      </c>
      <c r="G19" s="446">
        <v>2.6699999999999998E-4</v>
      </c>
      <c r="H19" s="446">
        <v>8.1999999999999998E-4</v>
      </c>
      <c r="I19" s="802">
        <f t="shared" si="1"/>
        <v>2.3648648648648648E-4</v>
      </c>
    </row>
    <row r="20" spans="1:11" s="364" customFormat="1" ht="12.75" customHeight="1" x14ac:dyDescent="0.2">
      <c r="A20" s="444" t="s">
        <v>119</v>
      </c>
      <c r="B20" s="445"/>
      <c r="C20" s="445"/>
      <c r="D20" s="445"/>
      <c r="E20" s="445"/>
      <c r="F20" s="446">
        <v>1.27E-5</v>
      </c>
      <c r="G20" s="446">
        <v>2.6400000000000001E-5</v>
      </c>
      <c r="H20" s="446">
        <v>4.3800000000000001E-5</v>
      </c>
      <c r="I20" s="801">
        <f t="shared" si="1"/>
        <v>1.1202702702702703E-5</v>
      </c>
    </row>
    <row r="21" spans="1:11" s="364" customFormat="1" ht="12" x14ac:dyDescent="0.2">
      <c r="A21" s="448" t="s">
        <v>120</v>
      </c>
      <c r="B21" s="449">
        <v>7.67E-4</v>
      </c>
      <c r="C21" s="449">
        <v>2.5199999999999999E-5</v>
      </c>
      <c r="D21" s="449">
        <v>4.0000000000000003E-5</v>
      </c>
      <c r="E21" s="449">
        <f>B21</f>
        <v>7.67E-4</v>
      </c>
      <c r="F21" s="449">
        <v>2.7899999999999999E-3</v>
      </c>
      <c r="G21" s="449">
        <v>8.3599999999999994E-3</v>
      </c>
      <c r="H21" s="449">
        <v>7.7600000000000004E-3</v>
      </c>
      <c r="I21" s="803">
        <f t="shared" si="1"/>
        <v>2.5554054054054056E-3</v>
      </c>
    </row>
    <row r="22" spans="1:11" s="364" customFormat="1" ht="12" x14ac:dyDescent="0.2">
      <c r="A22" s="450" t="s">
        <v>121</v>
      </c>
      <c r="B22" s="451">
        <v>9.2499999999999999E-5</v>
      </c>
      <c r="C22" s="451">
        <v>7.8800000000000008E-6</v>
      </c>
      <c r="D22" s="451">
        <v>6.3999999999999997E-6</v>
      </c>
      <c r="E22" s="451">
        <f>B22</f>
        <v>9.2499999999999999E-5</v>
      </c>
      <c r="F22" s="451">
        <v>2.63E-3</v>
      </c>
      <c r="G22" s="451">
        <v>5.1399999999999996E-3</v>
      </c>
      <c r="H22" s="451">
        <v>7.7799999999999996E-3</v>
      </c>
      <c r="I22" s="804">
        <f t="shared" si="1"/>
        <v>2.1013513513513508E-3</v>
      </c>
    </row>
    <row r="23" spans="1:11" s="364" customFormat="1" ht="12" x14ac:dyDescent="0.2">
      <c r="A23" s="452" t="s">
        <v>43</v>
      </c>
      <c r="B23" s="445">
        <v>9.3300000000000002E-4</v>
      </c>
      <c r="C23" s="445">
        <v>7.76E-4</v>
      </c>
      <c r="D23" s="445">
        <v>1.2E-5</v>
      </c>
      <c r="E23" s="445">
        <f>B23</f>
        <v>9.3300000000000002E-4</v>
      </c>
      <c r="F23" s="445">
        <v>1.58E-3</v>
      </c>
      <c r="G23" s="445">
        <v>4.4000000000000002E-4</v>
      </c>
      <c r="H23" s="445">
        <v>1.9400000000000001E-3</v>
      </c>
      <c r="I23" s="805">
        <f t="shared" si="1"/>
        <v>5.3513513513513513E-4</v>
      </c>
    </row>
    <row r="24" spans="1:11" s="364" customFormat="1" ht="15" customHeight="1" x14ac:dyDescent="0.2">
      <c r="A24" s="444" t="s">
        <v>122</v>
      </c>
      <c r="B24" s="445"/>
      <c r="C24" s="445"/>
      <c r="D24" s="445"/>
      <c r="E24" s="445"/>
      <c r="F24" s="446"/>
      <c r="G24" s="446">
        <v>2.12E-4</v>
      </c>
      <c r="H24" s="446">
        <v>3.9500000000000003E-6</v>
      </c>
      <c r="I24" s="801">
        <f t="shared" si="1"/>
        <v>4.3773648648648644E-5</v>
      </c>
    </row>
    <row r="25" spans="1:11" s="364" customFormat="1" ht="12" x14ac:dyDescent="0.2">
      <c r="A25" s="444" t="s">
        <v>123</v>
      </c>
      <c r="B25" s="445"/>
      <c r="C25" s="445"/>
      <c r="D25" s="445"/>
      <c r="E25" s="445"/>
      <c r="F25" s="446">
        <v>1.77E-5</v>
      </c>
      <c r="G25" s="446">
        <v>3.6699999999999998E-5</v>
      </c>
      <c r="H25" s="446">
        <v>6.0699999999999998E-5</v>
      </c>
      <c r="I25" s="801">
        <f t="shared" si="1"/>
        <v>1.5554054054054056E-5</v>
      </c>
    </row>
    <row r="26" spans="1:11" s="364" customFormat="1" ht="12" x14ac:dyDescent="0.2">
      <c r="A26" s="453" t="s">
        <v>124</v>
      </c>
      <c r="B26" s="449"/>
      <c r="C26" s="449"/>
      <c r="D26" s="449"/>
      <c r="E26" s="449"/>
      <c r="F26" s="454">
        <v>1.29E-5</v>
      </c>
      <c r="G26" s="454">
        <v>3.04E-5</v>
      </c>
      <c r="H26" s="454">
        <v>4.4400000000000002E-5</v>
      </c>
      <c r="I26" s="806">
        <f t="shared" si="1"/>
        <v>1.1851351351351351E-5</v>
      </c>
    </row>
    <row r="27" spans="1:11" s="364" customFormat="1" ht="15" customHeight="1" x14ac:dyDescent="0.2">
      <c r="A27" s="450" t="s">
        <v>125</v>
      </c>
      <c r="B27" s="451"/>
      <c r="C27" s="451"/>
      <c r="D27" s="451"/>
      <c r="E27" s="451"/>
      <c r="F27" s="451">
        <v>1.3699999999999999E-5</v>
      </c>
      <c r="G27" s="451">
        <v>2.8500000000000002E-5</v>
      </c>
      <c r="H27" s="451">
        <v>4.71E-5</v>
      </c>
      <c r="I27" s="807">
        <f t="shared" si="1"/>
        <v>1.2067567567567568E-5</v>
      </c>
    </row>
    <row r="28" spans="1:11" s="447" customFormat="1" ht="15" customHeight="1" x14ac:dyDescent="0.2">
      <c r="A28" s="452" t="s">
        <v>126</v>
      </c>
      <c r="B28" s="445"/>
      <c r="C28" s="445"/>
      <c r="D28" s="445">
        <v>3.1999999999999999E-5</v>
      </c>
      <c r="E28" s="445"/>
      <c r="F28" s="445">
        <v>2.48E-5</v>
      </c>
      <c r="G28" s="445">
        <v>3.9700000000000003E-5</v>
      </c>
      <c r="H28" s="445">
        <v>1.08E-4</v>
      </c>
      <c r="I28" s="808">
        <f t="shared" si="1"/>
        <v>2.3310810810810808E-5</v>
      </c>
    </row>
    <row r="29" spans="1:11" s="447" customFormat="1" ht="12" x14ac:dyDescent="0.2">
      <c r="A29" s="444" t="s">
        <v>127</v>
      </c>
      <c r="B29" s="445"/>
      <c r="C29" s="445"/>
      <c r="D29" s="445"/>
      <c r="E29" s="445"/>
      <c r="F29" s="446">
        <v>2.1299999999999999E-5</v>
      </c>
      <c r="G29" s="446">
        <v>4.4299999999999999E-5</v>
      </c>
      <c r="H29" s="446">
        <v>7.3399999999999995E-5</v>
      </c>
      <c r="I29" s="801">
        <f t="shared" si="1"/>
        <v>1.8783783783783782E-5</v>
      </c>
    </row>
    <row r="30" spans="1:11" s="364" customFormat="1" ht="12" x14ac:dyDescent="0.2">
      <c r="A30" s="444" t="s">
        <v>44</v>
      </c>
      <c r="B30" s="445">
        <v>1.1800000000000001E-3</v>
      </c>
      <c r="C30" s="445">
        <v>7.8899999999999993E-5</v>
      </c>
      <c r="D30" s="445">
        <v>7.1000000000000002E-4</v>
      </c>
      <c r="E30" s="445">
        <f>B30</f>
        <v>1.1800000000000001E-3</v>
      </c>
      <c r="F30" s="446">
        <v>2.0500000000000001E-2</v>
      </c>
      <c r="G30" s="446">
        <v>5.28E-2</v>
      </c>
      <c r="H30" s="446">
        <v>5.5199999999999999E-2</v>
      </c>
      <c r="I30" s="809">
        <f t="shared" si="1"/>
        <v>1.7364864864864864E-2</v>
      </c>
    </row>
    <row r="31" spans="1:11" s="447" customFormat="1" ht="12" x14ac:dyDescent="0.2">
      <c r="A31" s="453" t="s">
        <v>45</v>
      </c>
      <c r="B31" s="449"/>
      <c r="C31" s="449"/>
      <c r="D31" s="449"/>
      <c r="E31" s="449"/>
      <c r="F31" s="454"/>
      <c r="G31" s="454">
        <v>1.1100000000000001E-3</v>
      </c>
      <c r="H31" s="454">
        <v>4.4499999999999997E-4</v>
      </c>
      <c r="I31" s="810">
        <f t="shared" si="1"/>
        <v>3.1520270270270272E-4</v>
      </c>
      <c r="J31" s="455"/>
      <c r="K31" s="455"/>
    </row>
    <row r="32" spans="1:11" s="364" customFormat="1" ht="12" x14ac:dyDescent="0.2">
      <c r="A32" s="450" t="s">
        <v>128</v>
      </c>
      <c r="B32" s="451"/>
      <c r="C32" s="451"/>
      <c r="D32" s="451"/>
      <c r="E32" s="451"/>
      <c r="F32" s="451">
        <v>3.0599999999999998E-3</v>
      </c>
      <c r="G32" s="451">
        <v>2.5000000000000001E-3</v>
      </c>
      <c r="H32" s="451">
        <v>2.48E-3</v>
      </c>
      <c r="I32" s="811">
        <f t="shared" si="1"/>
        <v>1.0864864864864865E-3</v>
      </c>
      <c r="J32" s="456"/>
      <c r="K32" s="447"/>
    </row>
    <row r="33" spans="1:11" s="364" customFormat="1" ht="12" x14ac:dyDescent="0.2">
      <c r="A33" s="452" t="s">
        <v>129</v>
      </c>
      <c r="B33" s="445"/>
      <c r="C33" s="445"/>
      <c r="D33" s="445"/>
      <c r="E33" s="445"/>
      <c r="F33" s="445">
        <v>4.1199999999999999E-5</v>
      </c>
      <c r="G33" s="445">
        <v>2.0000000000000002E-5</v>
      </c>
      <c r="H33" s="445">
        <v>1.47E-4</v>
      </c>
      <c r="I33" s="808">
        <f t="shared" si="1"/>
        <v>2.8135135135135132E-5</v>
      </c>
      <c r="J33" s="456"/>
      <c r="K33" s="447"/>
    </row>
    <row r="34" spans="1:11" s="364" customFormat="1" ht="12" x14ac:dyDescent="0.2">
      <c r="A34" s="444" t="s">
        <v>46</v>
      </c>
      <c r="B34" s="445">
        <v>8.4800000000000001E-5</v>
      </c>
      <c r="C34" s="445">
        <v>1.2999999999999999E-4</v>
      </c>
      <c r="D34" s="445">
        <v>1.3E-6</v>
      </c>
      <c r="E34" s="445">
        <f>B34</f>
        <v>8.4800000000000001E-5</v>
      </c>
      <c r="F34" s="446">
        <v>9.7100000000000002E-5</v>
      </c>
      <c r="G34" s="446">
        <v>7.4400000000000006E-5</v>
      </c>
      <c r="H34" s="446">
        <v>9.6299999999999996E-5</v>
      </c>
      <c r="I34" s="801">
        <f t="shared" si="1"/>
        <v>3.6189189189189185E-5</v>
      </c>
      <c r="J34" s="456"/>
      <c r="K34" s="447"/>
    </row>
    <row r="35" spans="1:11" s="364" customFormat="1" ht="12" x14ac:dyDescent="0.2">
      <c r="A35" s="444" t="s">
        <v>285</v>
      </c>
      <c r="B35" s="445">
        <v>1.6799999999999999E-4</v>
      </c>
      <c r="C35" s="445">
        <v>2.12E-4</v>
      </c>
      <c r="D35" s="445">
        <v>2.2000000000000001E-6</v>
      </c>
      <c r="E35" s="445">
        <v>1.6799999999999999E-4</v>
      </c>
      <c r="F35" s="446">
        <v>1.4100000000000001E-4</v>
      </c>
      <c r="G35" s="446">
        <v>2.69E-5</v>
      </c>
      <c r="H35" s="446">
        <v>1.34E-4</v>
      </c>
      <c r="I35" s="801">
        <f t="shared" si="1"/>
        <v>4.0797297297297304E-5</v>
      </c>
      <c r="J35" s="456"/>
      <c r="K35" s="447"/>
    </row>
    <row r="36" spans="1:11" s="364" customFormat="1" ht="12" x14ac:dyDescent="0.2">
      <c r="A36" s="453" t="s">
        <v>130</v>
      </c>
      <c r="B36" s="449"/>
      <c r="C36" s="449"/>
      <c r="D36" s="449"/>
      <c r="E36" s="449"/>
      <c r="F36" s="454"/>
      <c r="G36" s="454">
        <v>2.4000000000000001E-5</v>
      </c>
      <c r="H36" s="454">
        <v>4.21E-5</v>
      </c>
      <c r="I36" s="806">
        <f t="shared" si="1"/>
        <v>1.3398648648648651E-5</v>
      </c>
      <c r="J36" s="456"/>
      <c r="K36" s="447"/>
    </row>
    <row r="37" spans="1:11" s="364" customFormat="1" ht="12" x14ac:dyDescent="0.2">
      <c r="A37" s="444" t="s">
        <v>131</v>
      </c>
      <c r="B37" s="445"/>
      <c r="C37" s="445"/>
      <c r="D37" s="445"/>
      <c r="E37" s="445"/>
      <c r="F37" s="446">
        <v>1.19E-5</v>
      </c>
      <c r="G37" s="446">
        <v>2.3600000000000001E-5</v>
      </c>
      <c r="H37" s="446">
        <v>5.4799999999999997E-5</v>
      </c>
      <c r="I37" s="801">
        <f t="shared" si="1"/>
        <v>1.2202702702702704E-5</v>
      </c>
      <c r="J37" s="456"/>
      <c r="K37" s="447"/>
    </row>
    <row r="38" spans="1:11" s="364" customFormat="1" ht="12" x14ac:dyDescent="0.2">
      <c r="A38" s="444" t="s">
        <v>132</v>
      </c>
      <c r="B38" s="457"/>
      <c r="C38" s="457"/>
      <c r="D38" s="457"/>
      <c r="E38" s="457"/>
      <c r="F38" s="457"/>
      <c r="G38" s="446">
        <v>2.48E-6</v>
      </c>
      <c r="H38" s="457"/>
      <c r="I38" s="812">
        <f t="shared" si="1"/>
        <v>1.0054054054054054E-6</v>
      </c>
      <c r="J38" s="456"/>
      <c r="K38" s="447"/>
    </row>
    <row r="39" spans="1:11" s="364" customFormat="1" ht="12" x14ac:dyDescent="0.2">
      <c r="A39" s="452" t="s">
        <v>47</v>
      </c>
      <c r="B39" s="445">
        <v>4.0900000000000002E-4</v>
      </c>
      <c r="C39" s="445">
        <v>2.81E-4</v>
      </c>
      <c r="D39" s="445">
        <v>1.2999999999999999E-4</v>
      </c>
      <c r="E39" s="445">
        <f>B39</f>
        <v>4.0900000000000002E-4</v>
      </c>
      <c r="F39" s="445">
        <v>5.5800000000000001E-4</v>
      </c>
      <c r="G39" s="445">
        <v>4.08E-4</v>
      </c>
      <c r="H39" s="445">
        <v>9.6299999999999999E-4</v>
      </c>
      <c r="I39" s="805">
        <f t="shared" si="1"/>
        <v>2.6067567567567565E-4</v>
      </c>
      <c r="J39" s="456"/>
      <c r="K39" s="447"/>
    </row>
    <row r="40" spans="1:11" s="364" customFormat="1" ht="12" x14ac:dyDescent="0.2">
      <c r="A40" s="444" t="s">
        <v>133</v>
      </c>
      <c r="B40" s="445"/>
      <c r="C40" s="445"/>
      <c r="D40" s="445"/>
      <c r="E40" s="445"/>
      <c r="F40" s="446">
        <v>7.1799999999999999E-6</v>
      </c>
      <c r="G40" s="446">
        <v>1.49E-5</v>
      </c>
      <c r="H40" s="446">
        <v>2.4700000000000001E-5</v>
      </c>
      <c r="I40" s="813">
        <f t="shared" si="1"/>
        <v>6.3216216216216207E-6</v>
      </c>
      <c r="J40" s="456"/>
      <c r="K40" s="447"/>
    </row>
    <row r="41" spans="1:11" s="364" customFormat="1" ht="12" x14ac:dyDescent="0.2">
      <c r="A41" s="458" t="s">
        <v>134</v>
      </c>
      <c r="B41" s="459">
        <v>2.8499999999999999E-4</v>
      </c>
      <c r="C41" s="459">
        <v>1.93E-4</v>
      </c>
      <c r="D41" s="459">
        <v>6.3999999999999997E-5</v>
      </c>
      <c r="E41" s="459">
        <f>B41</f>
        <v>2.8499999999999999E-4</v>
      </c>
      <c r="F41" s="459">
        <v>1.95E-4</v>
      </c>
      <c r="G41" s="459">
        <v>1.84E-4</v>
      </c>
      <c r="H41" s="459">
        <v>2.6800000000000001E-4</v>
      </c>
      <c r="I41" s="814">
        <f t="shared" si="1"/>
        <v>8.7432432432432431E-5</v>
      </c>
      <c r="J41" s="456"/>
      <c r="K41" s="447"/>
    </row>
    <row r="42" spans="1:11" s="816" customFormat="1" ht="13.5" x14ac:dyDescent="0.2">
      <c r="A42" s="815">
        <v>1</v>
      </c>
      <c r="B42" s="816" t="s">
        <v>149</v>
      </c>
    </row>
    <row r="43" spans="1:11" s="816" customFormat="1" ht="13.5" x14ac:dyDescent="0.2">
      <c r="A43" s="815">
        <v>2</v>
      </c>
      <c r="B43" s="816" t="s">
        <v>150</v>
      </c>
    </row>
    <row r="44" spans="1:11" s="816" customFormat="1" ht="13.5" x14ac:dyDescent="0.2">
      <c r="A44" s="815">
        <v>3</v>
      </c>
      <c r="B44" s="816" t="s">
        <v>842</v>
      </c>
    </row>
    <row r="45" spans="1:11" s="816" customFormat="1" ht="13.5" x14ac:dyDescent="0.2">
      <c r="A45" s="815">
        <v>4</v>
      </c>
      <c r="B45" s="816" t="s">
        <v>843</v>
      </c>
    </row>
    <row r="46" spans="1:11" s="816" customFormat="1" ht="13.5" x14ac:dyDescent="0.2">
      <c r="A46" s="815"/>
      <c r="B46" s="816" t="s">
        <v>844</v>
      </c>
      <c r="C46" s="1251" t="s">
        <v>845</v>
      </c>
      <c r="D46" s="1251"/>
      <c r="E46" s="1251"/>
      <c r="F46" s="1251"/>
    </row>
    <row r="47" spans="1:11" s="816" customFormat="1" ht="14.25" x14ac:dyDescent="0.25">
      <c r="A47" s="815">
        <v>5</v>
      </c>
      <c r="B47" s="720" t="s">
        <v>846</v>
      </c>
      <c r="C47" s="751"/>
      <c r="D47" s="751"/>
      <c r="E47" s="751"/>
      <c r="F47" s="817"/>
      <c r="G47" s="720"/>
      <c r="H47" s="720"/>
      <c r="I47" s="720"/>
      <c r="J47" s="720"/>
    </row>
    <row r="48" spans="1:11" s="816" customFormat="1" ht="14.25" x14ac:dyDescent="0.25">
      <c r="A48" s="815"/>
      <c r="B48" s="818" t="s">
        <v>847</v>
      </c>
      <c r="C48" s="720"/>
      <c r="D48" s="720"/>
      <c r="E48" s="720"/>
      <c r="F48" s="720"/>
      <c r="G48" s="720"/>
      <c r="H48" s="720"/>
      <c r="I48" s="720"/>
    </row>
    <row r="49" spans="1:8" s="364" customFormat="1" ht="13.5" x14ac:dyDescent="0.2">
      <c r="A49" s="460"/>
      <c r="B49" s="447"/>
      <c r="C49" s="447"/>
      <c r="D49" s="447"/>
      <c r="E49" s="447"/>
      <c r="F49" s="447"/>
      <c r="G49" s="447"/>
    </row>
    <row r="50" spans="1:8" s="364" customFormat="1" ht="12" x14ac:dyDescent="0.2"/>
    <row r="51" spans="1:8" s="364" customFormat="1" ht="37.5" x14ac:dyDescent="0.2">
      <c r="A51" s="461" t="s">
        <v>151</v>
      </c>
      <c r="B51" s="462" t="s">
        <v>848</v>
      </c>
      <c r="C51" s="462" t="s">
        <v>849</v>
      </c>
      <c r="D51" s="462" t="s">
        <v>850</v>
      </c>
      <c r="E51" s="463" t="s">
        <v>152</v>
      </c>
      <c r="F51" s="820" t="s">
        <v>851</v>
      </c>
      <c r="G51" s="820" t="s">
        <v>852</v>
      </c>
      <c r="H51" s="462" t="s">
        <v>853</v>
      </c>
    </row>
    <row r="52" spans="1:8" s="364" customFormat="1" ht="24" x14ac:dyDescent="0.2">
      <c r="A52" s="464" t="s">
        <v>153</v>
      </c>
      <c r="B52" s="674">
        <f>53.06/0.453592</f>
        <v>116.97737173495123</v>
      </c>
      <c r="C52" s="466">
        <f>0.001/0.453592</f>
        <v>2.2046244201837776E-3</v>
      </c>
      <c r="D52" s="466">
        <f>0.0001/0.453592</f>
        <v>2.2046244201837776E-4</v>
      </c>
      <c r="E52" s="467" t="s">
        <v>154</v>
      </c>
      <c r="F52" s="468"/>
      <c r="G52" s="422">
        <v>1020</v>
      </c>
      <c r="H52" s="422"/>
    </row>
    <row r="53" spans="1:8" s="364" customFormat="1" ht="24" x14ac:dyDescent="0.2">
      <c r="A53" s="469" t="s">
        <v>155</v>
      </c>
      <c r="B53" s="465">
        <f>73.96/0.453592</f>
        <v>163.05402211679217</v>
      </c>
      <c r="C53" s="466">
        <f>0.003/0.453592</f>
        <v>6.6138732605513324E-3</v>
      </c>
      <c r="D53" s="466">
        <f>0.0006/0.453592</f>
        <v>1.3227746521102665E-3</v>
      </c>
      <c r="E53" s="467" t="s">
        <v>154</v>
      </c>
      <c r="F53" s="422">
        <v>7000</v>
      </c>
      <c r="G53" s="422"/>
      <c r="H53" s="465">
        <f>0.138*1000000</f>
        <v>138000</v>
      </c>
    </row>
    <row r="54" spans="1:8" s="364" customFormat="1" ht="24" x14ac:dyDescent="0.2">
      <c r="A54" s="422" t="s">
        <v>156</v>
      </c>
      <c r="B54" s="422">
        <f>70.22/0.453592</f>
        <v>154.80872678530486</v>
      </c>
      <c r="C54" s="470">
        <f>C53</f>
        <v>6.6138732605513324E-3</v>
      </c>
      <c r="D54" s="470">
        <f>D53</f>
        <v>1.3227746521102665E-3</v>
      </c>
      <c r="E54" s="467" t="s">
        <v>154</v>
      </c>
      <c r="F54" s="422">
        <v>7000</v>
      </c>
      <c r="G54" s="422"/>
      <c r="H54" s="422">
        <v>125000</v>
      </c>
    </row>
    <row r="55" spans="1:8" s="816" customFormat="1" ht="24" x14ac:dyDescent="0.2">
      <c r="A55" s="821" t="s">
        <v>854</v>
      </c>
      <c r="B55" s="821">
        <f>61.71/0.453592</f>
        <v>136.0473729695409</v>
      </c>
      <c r="C55" s="822">
        <f>C53</f>
        <v>6.6138732605513324E-3</v>
      </c>
      <c r="D55" s="822">
        <f>D53</f>
        <v>1.3227746521102665E-3</v>
      </c>
      <c r="E55" s="823" t="s">
        <v>145</v>
      </c>
      <c r="F55" s="821"/>
      <c r="G55" s="824">
        <v>2516</v>
      </c>
      <c r="H55" s="821">
        <f>0.092*1000000</f>
        <v>92000</v>
      </c>
    </row>
    <row r="56" spans="1:8" s="364" customFormat="1" ht="13.5" x14ac:dyDescent="0.2">
      <c r="A56" s="815">
        <v>1</v>
      </c>
      <c r="B56" s="816" t="s">
        <v>157</v>
      </c>
      <c r="C56" s="816"/>
      <c r="D56" s="819"/>
      <c r="E56" s="819"/>
      <c r="F56" s="455"/>
      <c r="G56" s="447"/>
    </row>
    <row r="57" spans="1:8" s="364" customFormat="1" ht="13.5" x14ac:dyDescent="0.2">
      <c r="A57" s="815">
        <v>2</v>
      </c>
      <c r="B57" s="816" t="s">
        <v>158</v>
      </c>
      <c r="C57" s="816"/>
      <c r="D57" s="816"/>
      <c r="E57" s="816"/>
    </row>
    <row r="58" spans="1:8" s="364" customFormat="1" ht="12" x14ac:dyDescent="0.2">
      <c r="A58" s="816"/>
      <c r="B58" s="816" t="s">
        <v>159</v>
      </c>
      <c r="C58" s="816"/>
      <c r="D58" s="816"/>
      <c r="E58" s="816"/>
    </row>
    <row r="59" spans="1:8" s="364" customFormat="1" ht="13.5" x14ac:dyDescent="0.2">
      <c r="A59" s="815">
        <v>3</v>
      </c>
      <c r="B59" s="1251" t="s">
        <v>95</v>
      </c>
      <c r="C59" s="1251"/>
      <c r="D59" s="1251"/>
      <c r="E59" s="1251"/>
    </row>
    <row r="60" spans="1:8" x14ac:dyDescent="0.2">
      <c r="A60" s="832"/>
      <c r="B60" s="833"/>
      <c r="C60" s="832"/>
      <c r="D60" s="832"/>
      <c r="E60" s="832"/>
      <c r="F60" s="832" t="s">
        <v>146</v>
      </c>
      <c r="G60" s="832"/>
    </row>
    <row r="65" spans="5:5" x14ac:dyDescent="0.2">
      <c r="E65" s="326"/>
    </row>
  </sheetData>
  <mergeCells count="3">
    <mergeCell ref="B59:E59"/>
    <mergeCell ref="A2:G2"/>
    <mergeCell ref="C46:F46"/>
  </mergeCells>
  <conditionalFormatting sqref="H5:H13">
    <cfRule type="cellIs" dxfId="2" priority="3" operator="equal">
      <formula>0</formula>
    </cfRule>
  </conditionalFormatting>
  <conditionalFormatting sqref="H17:I36">
    <cfRule type="cellIs" dxfId="1" priority="1" operator="equal">
      <formula>0</formula>
    </cfRule>
  </conditionalFormatting>
  <conditionalFormatting sqref="I5:I12">
    <cfRule type="cellIs" dxfId="0" priority="2" operator="equal">
      <formula>0</formula>
    </cfRule>
  </conditionalFormatting>
  <hyperlinks>
    <hyperlink ref="G4" r:id="rId1" xr:uid="{00000000-0004-0000-0D00-000000000000}"/>
    <hyperlink ref="F4" r:id="rId2" xr:uid="{00000000-0004-0000-0D00-000001000000}"/>
    <hyperlink ref="D4" r:id="rId3" xr:uid="{00000000-0004-0000-0D00-000002000000}"/>
    <hyperlink ref="B4" r:id="rId4" xr:uid="{00000000-0004-0000-0D00-000003000000}"/>
    <hyperlink ref="E4" r:id="rId5" xr:uid="{00000000-0004-0000-0D00-000004000000}"/>
    <hyperlink ref="C4" r:id="rId6" xr:uid="{00000000-0004-0000-0D00-000005000000}"/>
    <hyperlink ref="H4" r:id="rId7" xr:uid="{00000000-0004-0000-0D00-000006000000}"/>
    <hyperlink ref="A12" r:id="rId8" xr:uid="{00000000-0004-0000-0D00-000007000000}"/>
    <hyperlink ref="D16" r:id="rId9" xr:uid="{613C1B16-1584-4BC6-BF62-EFD704B24722}"/>
    <hyperlink ref="B16" r:id="rId10" xr:uid="{6E229C8B-390F-4969-A34F-0D59548752A1}"/>
    <hyperlink ref="C16" r:id="rId11" xr:uid="{637445B4-7A46-4B28-91A9-3478A20EEE01}"/>
    <hyperlink ref="G16" r:id="rId12" xr:uid="{D6554F5E-8317-49EC-956D-7A169F27F4E3}"/>
    <hyperlink ref="F16" r:id="rId13" xr:uid="{E306F2AA-A4E8-48FB-8437-EF8E26CBA00B}"/>
    <hyperlink ref="H16" r:id="rId14" xr:uid="{26E33DE0-68BA-4D49-AA75-FBC714DF341D}"/>
    <hyperlink ref="C46" r:id="rId15" xr:uid="{1464748B-9446-4D51-9AE0-FCFE82A8F4E6}"/>
    <hyperlink ref="B59" r:id="rId16" xr:uid="{7FCB24EA-BA9D-4AF2-B9C7-6945DE8465E5}"/>
  </hyperlinks>
  <pageMargins left="0.25" right="0.25" top="0.5" bottom="0.5" header="0.3" footer="0.3"/>
  <pageSetup scale="75" orientation="landscape" r:id="rId17"/>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1" manualBreakCount="1">
    <brk id="49" max="16383" man="1"/>
  </rowBreaks>
  <legacyDrawing r:id="rId1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0" tint="-0.249977111117893"/>
    <pageSetUpPr fitToPage="1"/>
  </sheetPr>
  <dimension ref="A1:G51"/>
  <sheetViews>
    <sheetView zoomScaleNormal="100" workbookViewId="0">
      <selection activeCell="A2" sqref="A2:C2"/>
    </sheetView>
  </sheetViews>
  <sheetFormatPr defaultColWidth="9.42578125" defaultRowHeight="15" customHeight="1" x14ac:dyDescent="0.2"/>
  <cols>
    <col min="1" max="1" width="18" style="11" customWidth="1"/>
    <col min="2" max="2" width="26.42578125" style="11" bestFit="1" customWidth="1"/>
    <col min="3" max="3" width="26.42578125" style="11" customWidth="1"/>
    <col min="4" max="4" width="34.85546875" style="11" bestFit="1" customWidth="1"/>
    <col min="5" max="16384" width="9.42578125" style="11"/>
  </cols>
  <sheetData>
    <row r="1" spans="1:7" ht="15" customHeight="1" x14ac:dyDescent="0.2">
      <c r="A1" s="915" t="str">
        <f>Instructions!H2</f>
        <v>p-sbap5-20  •  7/28/2025</v>
      </c>
      <c r="B1" s="915"/>
      <c r="C1" s="915"/>
      <c r="D1" s="915"/>
    </row>
    <row r="2" spans="1:7" ht="20.25" customHeight="1" thickBot="1" x14ac:dyDescent="0.35">
      <c r="A2" s="1253" t="s">
        <v>246</v>
      </c>
      <c r="B2" s="1253"/>
      <c r="C2" s="1253"/>
    </row>
    <row r="3" spans="1:7" ht="15" customHeight="1" x14ac:dyDescent="0.2">
      <c r="A3" s="341"/>
      <c r="B3" s="341"/>
      <c r="C3" s="341"/>
    </row>
    <row r="4" spans="1:7" ht="15" customHeight="1" x14ac:dyDescent="0.2">
      <c r="A4" s="355" t="s">
        <v>244</v>
      </c>
      <c r="B4" s="1254" t="s">
        <v>233</v>
      </c>
      <c r="C4" s="1254"/>
      <c r="D4" s="788" t="s">
        <v>294</v>
      </c>
    </row>
    <row r="5" spans="1:7" s="344" customFormat="1" ht="15" customHeight="1" x14ac:dyDescent="0.2">
      <c r="A5" s="640" t="s">
        <v>268</v>
      </c>
      <c r="B5" s="342" t="s">
        <v>184</v>
      </c>
      <c r="D5" s="343" t="s">
        <v>94</v>
      </c>
      <c r="E5" s="345"/>
      <c r="F5" s="345"/>
      <c r="G5" s="346"/>
    </row>
    <row r="6" spans="1:7" s="344" customFormat="1" ht="15" customHeight="1" x14ac:dyDescent="0.2">
      <c r="A6" s="348" t="s">
        <v>103</v>
      </c>
      <c r="B6" s="347" t="s">
        <v>103</v>
      </c>
      <c r="D6" s="352" t="s">
        <v>103</v>
      </c>
      <c r="E6" s="345"/>
      <c r="G6" s="346"/>
    </row>
    <row r="7" spans="1:7" s="344" customFormat="1" ht="15" customHeight="1" x14ac:dyDescent="0.2">
      <c r="A7" s="348" t="s">
        <v>15</v>
      </c>
      <c r="B7" s="347" t="s">
        <v>191</v>
      </c>
      <c r="D7" s="352" t="s">
        <v>293</v>
      </c>
      <c r="E7" s="345"/>
      <c r="G7" s="346"/>
    </row>
    <row r="8" spans="1:7" s="344" customFormat="1" ht="15" customHeight="1" x14ac:dyDescent="0.2">
      <c r="A8" s="348" t="s">
        <v>16</v>
      </c>
      <c r="B8" s="347" t="s">
        <v>192</v>
      </c>
      <c r="D8" s="352" t="s">
        <v>409</v>
      </c>
      <c r="E8" s="345"/>
      <c r="G8" s="346"/>
    </row>
    <row r="9" spans="1:7" s="344" customFormat="1" ht="15" customHeight="1" x14ac:dyDescent="0.2">
      <c r="A9" s="348"/>
      <c r="B9" s="347"/>
      <c r="C9" s="356"/>
      <c r="D9" s="352"/>
      <c r="E9" s="345"/>
      <c r="G9" s="346"/>
    </row>
    <row r="10" spans="1:7" s="344" customFormat="1" ht="15" customHeight="1" x14ac:dyDescent="0.2">
      <c r="A10" s="641" t="s">
        <v>269</v>
      </c>
      <c r="B10" s="347"/>
      <c r="C10" s="356"/>
      <c r="D10" s="352"/>
      <c r="E10" s="346"/>
      <c r="F10" s="349"/>
      <c r="G10" s="346"/>
    </row>
    <row r="11" spans="1:7" s="344" customFormat="1" ht="15" customHeight="1" x14ac:dyDescent="0.2">
      <c r="A11" s="348" t="s">
        <v>252</v>
      </c>
      <c r="B11" s="350" t="s">
        <v>241</v>
      </c>
      <c r="C11" s="356"/>
      <c r="D11" s="351" t="s">
        <v>71</v>
      </c>
      <c r="E11" s="346"/>
      <c r="F11" s="349"/>
      <c r="G11" s="346"/>
    </row>
    <row r="12" spans="1:7" s="344" customFormat="1" ht="15" customHeight="1" x14ac:dyDescent="0.2">
      <c r="A12" s="348" t="s">
        <v>15</v>
      </c>
      <c r="B12" s="347" t="s">
        <v>103</v>
      </c>
      <c r="C12" s="356"/>
      <c r="D12" s="352" t="s">
        <v>103</v>
      </c>
      <c r="E12" s="346"/>
      <c r="F12" s="349"/>
      <c r="G12" s="346"/>
    </row>
    <row r="13" spans="1:7" s="344" customFormat="1" ht="15" customHeight="1" x14ac:dyDescent="0.2">
      <c r="A13" s="348" t="s">
        <v>16</v>
      </c>
      <c r="B13" s="347" t="s">
        <v>172</v>
      </c>
      <c r="C13" s="356"/>
      <c r="D13" s="352" t="s">
        <v>293</v>
      </c>
      <c r="E13" s="346"/>
      <c r="F13" s="346"/>
      <c r="G13" s="346"/>
    </row>
    <row r="14" spans="1:7" s="344" customFormat="1" ht="15" customHeight="1" x14ac:dyDescent="0.2">
      <c r="A14" s="348"/>
      <c r="B14" s="347" t="s">
        <v>230</v>
      </c>
      <c r="C14" s="356"/>
      <c r="D14" s="352" t="s">
        <v>317</v>
      </c>
      <c r="E14" s="346"/>
      <c r="F14" s="346"/>
      <c r="G14" s="346"/>
    </row>
    <row r="15" spans="1:7" s="344" customFormat="1" ht="15" customHeight="1" x14ac:dyDescent="0.2">
      <c r="A15" s="348"/>
      <c r="B15" s="347" t="s">
        <v>229</v>
      </c>
      <c r="C15" s="356"/>
      <c r="D15" s="844"/>
      <c r="E15" s="346"/>
      <c r="F15" s="346"/>
      <c r="G15" s="346"/>
    </row>
    <row r="16" spans="1:7" s="344" customFormat="1" ht="15" customHeight="1" x14ac:dyDescent="0.2">
      <c r="A16" s="348"/>
      <c r="B16" s="347"/>
      <c r="C16" s="356"/>
      <c r="D16" s="844"/>
      <c r="E16" s="346"/>
      <c r="F16" s="346"/>
      <c r="G16" s="346"/>
    </row>
    <row r="17" spans="1:4" s="344" customFormat="1" ht="15" customHeight="1" x14ac:dyDescent="0.2">
      <c r="A17" s="348"/>
      <c r="B17" s="347"/>
      <c r="C17" s="356"/>
      <c r="D17" s="844"/>
    </row>
    <row r="18" spans="1:4" s="344" customFormat="1" ht="15" customHeight="1" x14ac:dyDescent="0.2">
      <c r="A18" s="640" t="s">
        <v>272</v>
      </c>
      <c r="B18" s="350" t="s">
        <v>242</v>
      </c>
      <c r="C18" s="356"/>
      <c r="D18" s="844"/>
    </row>
    <row r="19" spans="1:4" s="344" customFormat="1" ht="15" customHeight="1" x14ac:dyDescent="0.2">
      <c r="A19" s="348" t="s">
        <v>271</v>
      </c>
      <c r="B19" s="347" t="s">
        <v>448</v>
      </c>
      <c r="C19" s="356" t="s">
        <v>243</v>
      </c>
      <c r="D19" s="844"/>
    </row>
    <row r="20" spans="1:4" s="344" customFormat="1" ht="15" customHeight="1" x14ac:dyDescent="0.2">
      <c r="A20" s="642">
        <f>SUM(A21:A24)</f>
        <v>0</v>
      </c>
      <c r="B20" s="347" t="s">
        <v>177</v>
      </c>
      <c r="C20" s="356" t="s">
        <v>172</v>
      </c>
      <c r="D20" s="844"/>
    </row>
    <row r="21" spans="1:4" s="344" customFormat="1" ht="15" customHeight="1" x14ac:dyDescent="0.2">
      <c r="A21" s="642">
        <f>COUNTIF('Federal standards'!N15,"Yes")</f>
        <v>0</v>
      </c>
      <c r="B21" s="347" t="s">
        <v>178</v>
      </c>
      <c r="C21" s="356" t="s">
        <v>172</v>
      </c>
      <c r="D21" s="844"/>
    </row>
    <row r="22" spans="1:4" s="344" customFormat="1" ht="15" customHeight="1" x14ac:dyDescent="0.2">
      <c r="A22" s="642">
        <f>COUNTIF('Federal standards'!N31,"Yes")</f>
        <v>0</v>
      </c>
      <c r="B22" s="347" t="s">
        <v>71</v>
      </c>
      <c r="C22" s="356" t="s">
        <v>172</v>
      </c>
      <c r="D22" s="844"/>
    </row>
    <row r="23" spans="1:4" s="344" customFormat="1" ht="15" customHeight="1" x14ac:dyDescent="0.2">
      <c r="A23" s="642">
        <f>COUNTIF('Federal standards'!N39,"Yes")</f>
        <v>0</v>
      </c>
      <c r="B23" s="347" t="s">
        <v>173</v>
      </c>
      <c r="C23" s="356" t="s">
        <v>230</v>
      </c>
      <c r="D23" s="844"/>
    </row>
    <row r="24" spans="1:4" s="344" customFormat="1" ht="15" customHeight="1" x14ac:dyDescent="0.2">
      <c r="A24" s="642"/>
      <c r="B24" s="347" t="s">
        <v>174</v>
      </c>
      <c r="C24" s="356" t="s">
        <v>229</v>
      </c>
      <c r="D24" s="844"/>
    </row>
    <row r="25" spans="1:4" s="344" customFormat="1" ht="15" customHeight="1" x14ac:dyDescent="0.2">
      <c r="A25" s="348"/>
      <c r="B25" s="347" t="s">
        <v>175</v>
      </c>
      <c r="C25" s="356" t="s">
        <v>229</v>
      </c>
      <c r="D25" s="844"/>
    </row>
    <row r="26" spans="1:4" s="344" customFormat="1" ht="15" customHeight="1" x14ac:dyDescent="0.2">
      <c r="A26" s="348"/>
      <c r="B26" s="347" t="s">
        <v>176</v>
      </c>
      <c r="C26" s="356" t="s">
        <v>229</v>
      </c>
      <c r="D26" s="844"/>
    </row>
    <row r="27" spans="1:4" s="344" customFormat="1" ht="15" customHeight="1" x14ac:dyDescent="0.2">
      <c r="A27" s="348" t="s">
        <v>280</v>
      </c>
      <c r="B27" s="347" t="s">
        <v>179</v>
      </c>
      <c r="C27" s="356" t="s">
        <v>230</v>
      </c>
      <c r="D27" s="844"/>
    </row>
    <row r="28" spans="1:4" s="344" customFormat="1" ht="15" customHeight="1" x14ac:dyDescent="0.2">
      <c r="A28" s="642">
        <f>SUM(A29:A32)</f>
        <v>3</v>
      </c>
      <c r="B28" s="347" t="s">
        <v>180</v>
      </c>
      <c r="C28" s="356" t="s">
        <v>230</v>
      </c>
      <c r="D28" s="844"/>
    </row>
    <row r="29" spans="1:4" s="344" customFormat="1" ht="15" customHeight="1" x14ac:dyDescent="0.2">
      <c r="A29" s="642">
        <f>IF('Federal standards'!N15="Choose Y/N",1,0)</f>
        <v>1</v>
      </c>
      <c r="B29" s="347" t="s">
        <v>181</v>
      </c>
      <c r="C29" s="356" t="s">
        <v>230</v>
      </c>
      <c r="D29" s="844"/>
    </row>
    <row r="30" spans="1:4" s="344" customFormat="1" ht="15" customHeight="1" x14ac:dyDescent="0.2">
      <c r="A30" s="642">
        <f>IF('Federal standards'!N31="Choose Y/N",1,0)</f>
        <v>1</v>
      </c>
      <c r="B30" s="347"/>
      <c r="C30" s="356"/>
      <c r="D30" s="844"/>
    </row>
    <row r="31" spans="1:4" s="344" customFormat="1" ht="15" customHeight="1" x14ac:dyDescent="0.2">
      <c r="A31" s="642">
        <f>IF('Federal standards'!$N$39="Choose Y/N",1,0)</f>
        <v>1</v>
      </c>
      <c r="B31" s="347"/>
      <c r="C31" s="356"/>
      <c r="D31" s="844"/>
    </row>
    <row r="32" spans="1:4" s="344" customFormat="1" ht="15" customHeight="1" x14ac:dyDescent="0.2">
      <c r="A32" s="642"/>
      <c r="B32" s="350" t="s">
        <v>245</v>
      </c>
      <c r="C32" s="498" t="s">
        <v>503</v>
      </c>
      <c r="D32" s="844"/>
    </row>
    <row r="33" spans="1:4" s="344" customFormat="1" ht="15" customHeight="1" x14ac:dyDescent="0.2">
      <c r="A33" s="348"/>
      <c r="B33" s="347" t="s">
        <v>103</v>
      </c>
      <c r="C33" s="498" t="s">
        <v>502</v>
      </c>
      <c r="D33" s="844"/>
    </row>
    <row r="34" spans="1:4" s="344" customFormat="1" ht="15" customHeight="1" x14ac:dyDescent="0.2">
      <c r="A34" s="348"/>
      <c r="B34" s="353" t="s">
        <v>182</v>
      </c>
      <c r="C34" s="344">
        <f>IF(OR('Hot mix asphalt'!G17='Data Validation'!B33,'Hot mix asphalt'!G17='Data Validation'!B34),0,IF('Hot mix asphalt'!G17='Data Validation'!B35,'Hot mix emission factors'!B91,IF('Hot mix asphalt'!G17='Data Validation'!B36,'Hot mix emission factors'!B92,IF('Hot mix asphalt'!G17='Data Validation'!B37,'Hot mix emission factors'!B93,IF('Hot mix asphalt'!G17='Data Validation'!B38,'Hot mix emission factors'!B94,IF('Hot mix asphalt'!G17='Data Validation'!B39,'Hot mix emission factors'!B95,IF('Hot mix asphalt'!G17='Data Validation'!B40,'Hot mix emission factors'!B96)))))))</f>
        <v>0</v>
      </c>
      <c r="D34" s="844"/>
    </row>
    <row r="35" spans="1:4" s="344" customFormat="1" ht="15" customHeight="1" x14ac:dyDescent="0.2">
      <c r="A35" s="348" t="s">
        <v>286</v>
      </c>
      <c r="B35" s="499" t="s">
        <v>495</v>
      </c>
      <c r="D35" s="844"/>
    </row>
    <row r="36" spans="1:4" s="344" customFormat="1" ht="15" customHeight="1" x14ac:dyDescent="0.2">
      <c r="A36" s="348" t="str">
        <f>IF((OR('Potential emissions'!J7&gt;=100,OR('Potential emissions'!J8&gt;=25,OR('Potential emissions'!J9&gt;=100,OR('Potential emissions'!J10&gt;=50,OR('Potential emissions'!J11&gt;=100,OR('Potential emissions'!J12&gt;=100,OR('Potential emissions'!J13&gt;=100,OR('Potential emissions'!J14&gt;=0.5,OR('Potential emissions'!J19&gt;=100000,OR('Potential emissions'!J104&gt;=10,'Potential emissions'!J105&gt;=25))))))))))),"yes","no")</f>
        <v>no</v>
      </c>
      <c r="B36" s="499" t="s">
        <v>496</v>
      </c>
      <c r="C36" s="498" t="s">
        <v>501</v>
      </c>
      <c r="D36" s="844"/>
    </row>
    <row r="37" spans="1:4" s="344" customFormat="1" ht="15" customHeight="1" x14ac:dyDescent="0.2">
      <c r="A37" s="348"/>
      <c r="B37" s="499" t="s">
        <v>497</v>
      </c>
      <c r="C37" s="356">
        <f>IF(OR('Hot mix asphalt'!G17='Data Validation'!B33,'Hot mix asphalt'!G17='Data Validation'!B34),0,IF('Hot mix asphalt'!G17='Data Validation'!B35,'Hot mix emission factors'!D91,IF('Hot mix asphalt'!G17='Data Validation'!B36,'Hot mix emission factors'!D92,IF('Hot mix asphalt'!G17='Data Validation'!B37,'Hot mix emission factors'!D93,IF('Hot mix asphalt'!G17='Data Validation'!B38,'Hot mix emission factors'!D94,IF('Hot mix asphalt'!G17='Data Validation'!B39,'Hot mix emission factors'!D95,IF('Hot mix asphalt'!G17='Data Validation'!B40,'Hot mix emission factors'!D96)))))))</f>
        <v>0</v>
      </c>
      <c r="D37" s="844"/>
    </row>
    <row r="38" spans="1:4" s="344" customFormat="1" ht="15" customHeight="1" x14ac:dyDescent="0.2">
      <c r="A38" s="354" t="s">
        <v>28</v>
      </c>
      <c r="B38" s="499" t="s">
        <v>498</v>
      </c>
      <c r="C38" s="356"/>
      <c r="D38" s="844"/>
    </row>
    <row r="39" spans="1:4" ht="15" customHeight="1" x14ac:dyDescent="0.2">
      <c r="A39" s="531" t="str">
        <f>IF((OR('Actual emissions'!J7&gt;=50,OR('Actual emissions'!J8&gt;=50,OR('Actual emissions'!J9&gt;=50,OR('Actual emissions'!J10&gt;=50,OR('Actual emissions'!J11&gt;=50,OR('Actual emissions'!J12&gt;=50,OR('Actual emissions'!J13&gt;=50,OR('Actual emissions'!J14&gt;=0.5,OR('Actual emissions'!J19&gt;=50000,OR('Actual emissions'!J67&gt;=5,'Actual emissions'!J68&gt;=12.5))))))))))),"yes","no")</f>
        <v>no</v>
      </c>
      <c r="B39" s="499" t="s">
        <v>493</v>
      </c>
      <c r="C39" s="356"/>
      <c r="D39" s="138"/>
    </row>
    <row r="40" spans="1:4" ht="15" customHeight="1" x14ac:dyDescent="0.2">
      <c r="A40" s="531"/>
      <c r="B40" s="499" t="s">
        <v>494</v>
      </c>
      <c r="C40" s="356"/>
      <c r="D40" s="138"/>
    </row>
    <row r="41" spans="1:4" ht="15" customHeight="1" x14ac:dyDescent="0.2">
      <c r="A41" s="21"/>
      <c r="B41" s="679"/>
      <c r="C41" s="357"/>
      <c r="D41" s="138"/>
    </row>
    <row r="42" spans="1:4" s="21" customFormat="1" ht="15" customHeight="1" x14ac:dyDescent="0.2">
      <c r="B42" s="679"/>
      <c r="D42" s="138"/>
    </row>
    <row r="43" spans="1:4" s="21" customFormat="1" ht="15" customHeight="1" x14ac:dyDescent="0.2">
      <c r="B43" s="681" t="s">
        <v>635</v>
      </c>
      <c r="D43" s="138"/>
    </row>
    <row r="44" spans="1:4" s="21" customFormat="1" ht="15" customHeight="1" x14ac:dyDescent="0.2">
      <c r="B44" s="679" t="s">
        <v>451</v>
      </c>
      <c r="C44" s="357"/>
      <c r="D44" s="138"/>
    </row>
    <row r="45" spans="1:4" s="21" customFormat="1" ht="15" customHeight="1" x14ac:dyDescent="0.2">
      <c r="B45" s="679" t="s">
        <v>112</v>
      </c>
      <c r="C45" s="21" t="s">
        <v>226</v>
      </c>
      <c r="D45" s="138"/>
    </row>
    <row r="46" spans="1:4" s="21" customFormat="1" ht="15" customHeight="1" x14ac:dyDescent="0.2">
      <c r="B46" s="679" t="s">
        <v>636</v>
      </c>
      <c r="C46" s="21" t="s">
        <v>22</v>
      </c>
      <c r="D46" s="138"/>
    </row>
    <row r="47" spans="1:4" ht="15" customHeight="1" x14ac:dyDescent="0.2">
      <c r="B47" s="679"/>
      <c r="D47" s="138"/>
    </row>
    <row r="48" spans="1:4" ht="15" customHeight="1" x14ac:dyDescent="0.2">
      <c r="B48" s="681"/>
      <c r="D48" s="138"/>
    </row>
    <row r="51" spans="1:1" ht="15" customHeight="1" x14ac:dyDescent="0.2">
      <c r="A51" s="675"/>
    </row>
  </sheetData>
  <mergeCells count="3">
    <mergeCell ref="A1:D1"/>
    <mergeCell ref="A2:C2"/>
    <mergeCell ref="B4:C4"/>
  </mergeCells>
  <pageMargins left="0.7" right="0.7" top="0.75" bottom="0.75" header="0.3" footer="0.3"/>
  <pageSetup scale="82"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85D64-F5D8-4821-A57B-2A38E67172E8}">
  <sheetPr codeName="Sheet6">
    <tabColor theme="0" tint="-0.249977111117893"/>
  </sheetPr>
  <dimension ref="A1:C30"/>
  <sheetViews>
    <sheetView workbookViewId="0">
      <selection activeCell="G34" sqref="G34"/>
    </sheetView>
  </sheetViews>
  <sheetFormatPr defaultRowHeight="15" x14ac:dyDescent="0.25"/>
  <cols>
    <col min="1" max="1" width="34.42578125" bestFit="1" customWidth="1"/>
    <col min="2" max="2" width="39.140625" bestFit="1" customWidth="1"/>
  </cols>
  <sheetData>
    <row r="1" spans="1:3" x14ac:dyDescent="0.25">
      <c r="A1" s="1255" t="str">
        <f>Instructions!H2</f>
        <v>p-sbap5-20  •  7/28/2025</v>
      </c>
      <c r="B1" s="1255"/>
      <c r="C1" s="1255"/>
    </row>
    <row r="2" spans="1:3" ht="19.5" thickBot="1" x14ac:dyDescent="0.35">
      <c r="A2" s="1256" t="s">
        <v>857</v>
      </c>
      <c r="B2" s="1256"/>
      <c r="C2" s="1256"/>
    </row>
    <row r="3" spans="1:3" x14ac:dyDescent="0.25">
      <c r="A3" s="834"/>
      <c r="B3" s="834"/>
      <c r="C3" s="720"/>
    </row>
    <row r="4" spans="1:3" x14ac:dyDescent="0.25">
      <c r="A4" s="835" t="s">
        <v>858</v>
      </c>
      <c r="B4" s="836"/>
      <c r="C4" s="835"/>
    </row>
    <row r="5" spans="1:3" x14ac:dyDescent="0.25">
      <c r="A5" s="837" t="s">
        <v>859</v>
      </c>
      <c r="B5" s="837" t="s">
        <v>451</v>
      </c>
      <c r="C5" s="11"/>
    </row>
    <row r="6" spans="1:3" x14ac:dyDescent="0.25">
      <c r="A6" s="838" t="s">
        <v>103</v>
      </c>
      <c r="B6" s="839" t="s">
        <v>112</v>
      </c>
      <c r="C6" s="11"/>
    </row>
    <row r="7" spans="1:3" x14ac:dyDescent="0.25">
      <c r="A7" s="838" t="s">
        <v>160</v>
      </c>
      <c r="B7" s="839" t="s">
        <v>472</v>
      </c>
      <c r="C7" s="11"/>
    </row>
    <row r="8" spans="1:3" x14ac:dyDescent="0.25">
      <c r="A8" s="838" t="s">
        <v>162</v>
      </c>
      <c r="B8" s="839"/>
      <c r="C8" s="11"/>
    </row>
    <row r="9" spans="1:3" x14ac:dyDescent="0.25">
      <c r="A9" s="839" t="s">
        <v>855</v>
      </c>
      <c r="B9" s="839"/>
      <c r="C9" s="11"/>
    </row>
    <row r="10" spans="1:3" x14ac:dyDescent="0.25">
      <c r="A10" s="838" t="s">
        <v>164</v>
      </c>
      <c r="B10" s="839" t="s">
        <v>468</v>
      </c>
      <c r="C10" s="11"/>
    </row>
    <row r="11" spans="1:3" x14ac:dyDescent="0.25">
      <c r="A11" s="838" t="s">
        <v>165</v>
      </c>
      <c r="B11" s="839" t="s">
        <v>469</v>
      </c>
      <c r="C11" s="11"/>
    </row>
    <row r="12" spans="1:3" x14ac:dyDescent="0.25">
      <c r="A12" s="838" t="s">
        <v>166</v>
      </c>
      <c r="B12" s="839" t="s">
        <v>470</v>
      </c>
      <c r="C12" s="11"/>
    </row>
    <row r="13" spans="1:3" x14ac:dyDescent="0.25">
      <c r="A13" s="838" t="s">
        <v>167</v>
      </c>
      <c r="B13" s="839" t="s">
        <v>471</v>
      </c>
      <c r="C13" s="11"/>
    </row>
    <row r="14" spans="1:3" x14ac:dyDescent="0.25">
      <c r="A14" s="839"/>
      <c r="B14" s="839"/>
      <c r="C14" s="11"/>
    </row>
    <row r="15" spans="1:3" x14ac:dyDescent="0.25">
      <c r="A15" s="11"/>
      <c r="B15" s="787"/>
      <c r="C15" s="11"/>
    </row>
    <row r="16" spans="1:3" x14ac:dyDescent="0.25">
      <c r="A16" s="840" t="s">
        <v>860</v>
      </c>
      <c r="B16" s="841"/>
      <c r="C16" s="11"/>
    </row>
    <row r="17" spans="1:3" x14ac:dyDescent="0.25">
      <c r="A17" s="838" t="s">
        <v>103</v>
      </c>
      <c r="B17" s="787"/>
      <c r="C17" s="11"/>
    </row>
    <row r="18" spans="1:3" x14ac:dyDescent="0.25">
      <c r="A18" s="838" t="s">
        <v>161</v>
      </c>
      <c r="B18" s="842"/>
      <c r="C18" s="11"/>
    </row>
    <row r="19" spans="1:3" x14ac:dyDescent="0.25">
      <c r="A19" s="838" t="s">
        <v>163</v>
      </c>
      <c r="B19" s="842"/>
      <c r="C19" s="11"/>
    </row>
    <row r="20" spans="1:3" x14ac:dyDescent="0.25">
      <c r="A20" s="11"/>
      <c r="B20" s="787"/>
      <c r="C20" s="11"/>
    </row>
    <row r="21" spans="1:3" x14ac:dyDescent="0.25">
      <c r="A21" s="11"/>
      <c r="B21" s="841"/>
      <c r="C21" s="11"/>
    </row>
    <row r="22" spans="1:3" x14ac:dyDescent="0.25">
      <c r="A22" s="840" t="s">
        <v>313</v>
      </c>
      <c r="B22" s="787"/>
      <c r="C22" s="11"/>
    </row>
    <row r="23" spans="1:3" x14ac:dyDescent="0.25">
      <c r="A23" s="838" t="s">
        <v>103</v>
      </c>
      <c r="B23" s="842"/>
      <c r="C23" s="11"/>
    </row>
    <row r="24" spans="1:3" x14ac:dyDescent="0.25">
      <c r="A24" s="838" t="s">
        <v>861</v>
      </c>
      <c r="B24" s="842"/>
      <c r="C24" s="11"/>
    </row>
    <row r="25" spans="1:3" x14ac:dyDescent="0.25">
      <c r="A25" s="838" t="s">
        <v>862</v>
      </c>
      <c r="B25" s="787"/>
      <c r="C25" s="11"/>
    </row>
    <row r="26" spans="1:3" x14ac:dyDescent="0.25">
      <c r="A26" s="838" t="s">
        <v>856</v>
      </c>
      <c r="B26" s="787"/>
      <c r="C26" s="11"/>
    </row>
    <row r="27" spans="1:3" x14ac:dyDescent="0.25">
      <c r="A27" s="11"/>
      <c r="B27" s="843"/>
      <c r="C27" s="11"/>
    </row>
    <row r="28" spans="1:3" x14ac:dyDescent="0.25">
      <c r="A28" s="840" t="s">
        <v>314</v>
      </c>
      <c r="B28" s="787"/>
      <c r="C28" s="11"/>
    </row>
    <row r="29" spans="1:3" x14ac:dyDescent="0.25">
      <c r="A29" s="838" t="s">
        <v>315</v>
      </c>
      <c r="B29" s="787"/>
      <c r="C29" s="11"/>
    </row>
    <row r="30" spans="1:3" x14ac:dyDescent="0.25">
      <c r="A30" s="838" t="s">
        <v>316</v>
      </c>
      <c r="B30" s="843"/>
      <c r="C30" s="11"/>
    </row>
  </sheetData>
  <protectedRanges>
    <protectedRange sqref="C1:C3 C5:C30" name="Range1"/>
  </protectedRanges>
  <mergeCells count="2">
    <mergeCell ref="A1:C1"/>
    <mergeCell ref="A2:C2"/>
  </mergeCells>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D1EAFF"/>
  </sheetPr>
  <dimension ref="B1:Q98"/>
  <sheetViews>
    <sheetView showGridLines="0" zoomScaleNormal="100" zoomScaleSheetLayoutView="100" workbookViewId="0">
      <selection activeCell="B2" sqref="B2:O2"/>
    </sheetView>
  </sheetViews>
  <sheetFormatPr defaultColWidth="9.42578125" defaultRowHeight="15" x14ac:dyDescent="0.25"/>
  <cols>
    <col min="1" max="1" width="4.42578125" style="4" customWidth="1"/>
    <col min="2" max="13" width="9.42578125" style="4" customWidth="1"/>
    <col min="14" max="15" width="9.5703125" style="4" customWidth="1"/>
    <col min="16" max="16384" width="9.42578125" style="4"/>
  </cols>
  <sheetData>
    <row r="1" spans="2:15" x14ac:dyDescent="0.25">
      <c r="B1" s="915" t="str">
        <f>Instructions!$H$2</f>
        <v>p-sbap5-20  •  7/28/2025</v>
      </c>
      <c r="C1" s="915"/>
      <c r="D1" s="915"/>
      <c r="E1" s="915"/>
      <c r="F1" s="915"/>
      <c r="G1" s="915"/>
      <c r="H1" s="915"/>
      <c r="I1" s="915"/>
      <c r="J1" s="915"/>
      <c r="K1" s="915"/>
      <c r="L1" s="915"/>
      <c r="M1" s="915"/>
      <c r="N1" s="915"/>
      <c r="O1" s="915"/>
    </row>
    <row r="2" spans="2:15" s="23" customFormat="1" ht="19.5" thickBot="1" x14ac:dyDescent="0.3">
      <c r="B2" s="920" t="s">
        <v>333</v>
      </c>
      <c r="C2" s="920"/>
      <c r="D2" s="920"/>
      <c r="E2" s="920"/>
      <c r="F2" s="920"/>
      <c r="G2" s="920"/>
      <c r="H2" s="920"/>
      <c r="I2" s="920"/>
      <c r="J2" s="920"/>
      <c r="K2" s="920"/>
      <c r="L2" s="920"/>
      <c r="M2" s="920"/>
      <c r="N2" s="920"/>
      <c r="O2" s="920"/>
    </row>
    <row r="3" spans="2:15" s="23" customFormat="1" ht="18.75" x14ac:dyDescent="0.25">
      <c r="B3" s="921"/>
      <c r="C3" s="921"/>
      <c r="D3" s="921"/>
      <c r="E3" s="921"/>
      <c r="F3" s="921"/>
      <c r="G3" s="921"/>
      <c r="H3" s="921"/>
      <c r="I3" s="921"/>
      <c r="J3" s="921"/>
      <c r="K3" s="921"/>
      <c r="L3" s="921"/>
      <c r="M3" s="921"/>
      <c r="N3" s="921"/>
      <c r="O3" s="921"/>
    </row>
    <row r="4" spans="2:15" s="24" customFormat="1" ht="15" customHeight="1" x14ac:dyDescent="0.2">
      <c r="B4" s="943" t="s">
        <v>334</v>
      </c>
      <c r="C4" s="943"/>
      <c r="D4" s="943"/>
      <c r="E4" s="943"/>
      <c r="F4" s="943"/>
      <c r="G4" s="943"/>
      <c r="H4" s="943"/>
      <c r="I4" s="943"/>
      <c r="J4" s="943"/>
      <c r="K4" s="943"/>
      <c r="L4" s="943"/>
      <c r="M4" s="943"/>
      <c r="N4" s="943"/>
      <c r="O4" s="943"/>
    </row>
    <row r="5" spans="2:15" s="24" customFormat="1" ht="15" customHeight="1" x14ac:dyDescent="0.2">
      <c r="B5" s="943" t="s">
        <v>335</v>
      </c>
      <c r="C5" s="943"/>
      <c r="D5" s="943"/>
      <c r="E5" s="943"/>
      <c r="F5" s="943"/>
      <c r="G5" s="943"/>
      <c r="H5" s="943"/>
      <c r="I5" s="943"/>
      <c r="J5" s="943"/>
      <c r="K5" s="943"/>
      <c r="L5" s="943"/>
      <c r="M5" s="943"/>
      <c r="N5" s="943"/>
      <c r="O5" s="943"/>
    </row>
    <row r="6" spans="2:15" s="24" customFormat="1" ht="15" customHeight="1" x14ac:dyDescent="0.2">
      <c r="B6" s="25" t="s">
        <v>281</v>
      </c>
      <c r="C6" s="917" t="s">
        <v>282</v>
      </c>
      <c r="D6" s="917"/>
      <c r="E6" s="917"/>
      <c r="F6" s="917"/>
      <c r="G6" s="917"/>
      <c r="H6" s="917"/>
      <c r="I6" s="917"/>
      <c r="J6" s="917"/>
      <c r="K6" s="917"/>
      <c r="L6" s="917"/>
      <c r="M6" s="917"/>
      <c r="N6" s="917"/>
      <c r="O6" s="959"/>
    </row>
    <row r="7" spans="2:15" s="24" customFormat="1" ht="15" customHeight="1" x14ac:dyDescent="0.2">
      <c r="B7" s="913" t="s">
        <v>281</v>
      </c>
      <c r="C7" s="943" t="s">
        <v>283</v>
      </c>
      <c r="D7" s="943"/>
      <c r="E7" s="943"/>
      <c r="F7" s="943"/>
      <c r="G7" s="943"/>
      <c r="H7" s="943"/>
      <c r="I7" s="943"/>
      <c r="J7" s="943"/>
      <c r="K7" s="943"/>
      <c r="L7" s="943"/>
      <c r="M7" s="943"/>
      <c r="N7" s="943"/>
      <c r="O7" s="959"/>
    </row>
    <row r="8" spans="2:15" s="24" customFormat="1" ht="15" customHeight="1" x14ac:dyDescent="0.2">
      <c r="B8" s="913"/>
      <c r="C8" s="943"/>
      <c r="D8" s="943"/>
      <c r="E8" s="943"/>
      <c r="F8" s="943"/>
      <c r="G8" s="943"/>
      <c r="H8" s="943"/>
      <c r="I8" s="943"/>
      <c r="J8" s="943"/>
      <c r="K8" s="943"/>
      <c r="L8" s="943"/>
      <c r="M8" s="943"/>
      <c r="N8" s="943"/>
      <c r="O8" s="959"/>
    </row>
    <row r="9" spans="2:15" s="24" customFormat="1" ht="15" customHeight="1" x14ac:dyDescent="0.2">
      <c r="B9" s="913" t="s">
        <v>281</v>
      </c>
      <c r="C9" s="943" t="s">
        <v>435</v>
      </c>
      <c r="D9" s="943"/>
      <c r="E9" s="943"/>
      <c r="F9" s="943"/>
      <c r="G9" s="943"/>
      <c r="H9" s="943"/>
      <c r="I9" s="943"/>
      <c r="J9" s="943"/>
      <c r="K9" s="943"/>
      <c r="L9" s="943"/>
      <c r="M9" s="943"/>
      <c r="N9" s="943"/>
      <c r="O9" s="959"/>
    </row>
    <row r="10" spans="2:15" s="24" customFormat="1" ht="15" customHeight="1" x14ac:dyDescent="0.2">
      <c r="B10" s="913"/>
      <c r="C10" s="943"/>
      <c r="D10" s="943"/>
      <c r="E10" s="943"/>
      <c r="F10" s="943"/>
      <c r="G10" s="943"/>
      <c r="H10" s="943"/>
      <c r="I10" s="943"/>
      <c r="J10" s="943"/>
      <c r="K10" s="943"/>
      <c r="L10" s="943"/>
      <c r="M10" s="943"/>
      <c r="N10" s="943"/>
      <c r="O10" s="959"/>
    </row>
    <row r="11" spans="2:15" s="24" customFormat="1" ht="15" customHeight="1" x14ac:dyDescent="0.2">
      <c r="B11" s="913"/>
      <c r="C11" s="943"/>
      <c r="D11" s="943"/>
      <c r="E11" s="943"/>
      <c r="F11" s="943"/>
      <c r="G11" s="943"/>
      <c r="H11" s="943"/>
      <c r="I11" s="943"/>
      <c r="J11" s="943"/>
      <c r="K11" s="943"/>
      <c r="L11" s="943"/>
      <c r="M11" s="943"/>
      <c r="N11" s="943"/>
      <c r="O11" s="959"/>
    </row>
    <row r="12" spans="2:15" s="24" customFormat="1" ht="15" customHeight="1" x14ac:dyDescent="0.2">
      <c r="B12" s="946"/>
      <c r="C12" s="946"/>
      <c r="D12" s="946"/>
      <c r="E12" s="946"/>
      <c r="F12" s="946"/>
      <c r="G12" s="946"/>
      <c r="H12" s="946"/>
      <c r="I12" s="946"/>
      <c r="J12" s="946"/>
      <c r="K12" s="946"/>
      <c r="L12" s="946"/>
      <c r="M12" s="946"/>
      <c r="N12" s="946"/>
      <c r="O12" s="946"/>
    </row>
    <row r="13" spans="2:15" s="24" customFormat="1" ht="15" customHeight="1" x14ac:dyDescent="0.2">
      <c r="B13" s="942"/>
      <c r="C13" s="942"/>
      <c r="D13" s="942"/>
      <c r="E13" s="942"/>
      <c r="F13" s="942"/>
      <c r="G13" s="942"/>
      <c r="H13" s="942"/>
      <c r="I13" s="942"/>
      <c r="J13" s="942"/>
      <c r="K13" s="942"/>
      <c r="L13" s="942"/>
      <c r="M13" s="942"/>
      <c r="N13" s="942"/>
      <c r="O13" s="942"/>
    </row>
    <row r="14" spans="2:15" s="23" customFormat="1" ht="15" customHeight="1" x14ac:dyDescent="0.25">
      <c r="B14" s="928" t="s">
        <v>336</v>
      </c>
      <c r="C14" s="928"/>
      <c r="D14" s="928"/>
      <c r="E14" s="928"/>
      <c r="F14" s="928"/>
      <c r="G14" s="928"/>
      <c r="H14" s="928"/>
      <c r="I14" s="928"/>
      <c r="J14" s="928"/>
      <c r="K14" s="928"/>
      <c r="L14" s="928"/>
      <c r="M14" s="928"/>
      <c r="N14" s="928"/>
      <c r="O14" s="928"/>
    </row>
    <row r="15" spans="2:15" s="24" customFormat="1" ht="15" customHeight="1" x14ac:dyDescent="0.2">
      <c r="B15" s="948" t="s">
        <v>270</v>
      </c>
      <c r="C15" s="948"/>
      <c r="D15" s="948"/>
      <c r="E15" s="948"/>
      <c r="F15" s="948"/>
      <c r="G15" s="948"/>
      <c r="H15" s="948"/>
      <c r="I15" s="948"/>
      <c r="J15" s="948"/>
      <c r="K15" s="948"/>
      <c r="L15" s="948"/>
      <c r="M15" s="948"/>
      <c r="N15" s="922" t="s">
        <v>252</v>
      </c>
      <c r="O15" s="923"/>
    </row>
    <row r="16" spans="2:15" ht="15" customHeight="1" x14ac:dyDescent="0.25">
      <c r="B16" s="935" t="s">
        <v>253</v>
      </c>
      <c r="C16" s="935"/>
      <c r="D16" s="935"/>
      <c r="E16" s="935"/>
      <c r="F16" s="935"/>
      <c r="G16" s="935"/>
      <c r="H16" s="935"/>
      <c r="I16" s="935"/>
      <c r="J16" s="935"/>
      <c r="K16" s="935"/>
      <c r="L16" s="935"/>
      <c r="M16" s="935"/>
      <c r="N16" s="932" t="str">
        <f>IF($N$15="Yes","Because this NSPS applies to your operation, you need an air permit.",IF($N$15="No","Continue to the next question.",IF($N$15="Choose Y/N"," "," ")))</f>
        <v xml:space="preserve"> </v>
      </c>
      <c r="O16" s="932"/>
    </row>
    <row r="17" spans="2:15" ht="15" customHeight="1" x14ac:dyDescent="0.25">
      <c r="B17" s="22" t="s">
        <v>254</v>
      </c>
      <c r="C17" s="935" t="s">
        <v>278</v>
      </c>
      <c r="D17" s="935"/>
      <c r="E17" s="935"/>
      <c r="F17" s="935"/>
      <c r="G17" s="935"/>
      <c r="H17" s="935"/>
      <c r="I17" s="935"/>
      <c r="J17" s="935"/>
      <c r="K17" s="935"/>
      <c r="L17" s="935"/>
      <c r="M17" s="935"/>
      <c r="N17" s="933"/>
      <c r="O17" s="933"/>
    </row>
    <row r="18" spans="2:15" ht="15" customHeight="1" x14ac:dyDescent="0.25">
      <c r="B18" s="22" t="s">
        <v>255</v>
      </c>
      <c r="C18" s="945" t="s">
        <v>436</v>
      </c>
      <c r="D18" s="945"/>
      <c r="E18" s="945"/>
      <c r="F18" s="945"/>
      <c r="G18" s="945"/>
      <c r="H18" s="945"/>
      <c r="I18" s="945"/>
      <c r="J18" s="945"/>
      <c r="K18" s="945"/>
      <c r="L18" s="945"/>
      <c r="M18" s="945"/>
      <c r="N18" s="933"/>
      <c r="O18" s="933"/>
    </row>
    <row r="19" spans="2:15" ht="15" customHeight="1" x14ac:dyDescent="0.25">
      <c r="B19" s="925"/>
      <c r="C19" s="925"/>
      <c r="D19" s="925"/>
      <c r="E19" s="925"/>
      <c r="F19" s="925"/>
      <c r="G19" s="925"/>
      <c r="H19" s="925"/>
      <c r="I19" s="925"/>
      <c r="J19" s="925"/>
      <c r="K19" s="925"/>
      <c r="L19" s="925"/>
      <c r="M19" s="925"/>
      <c r="N19" s="933"/>
      <c r="O19" s="933"/>
    </row>
    <row r="20" spans="2:15" ht="15" customHeight="1" x14ac:dyDescent="0.25">
      <c r="B20" s="944" t="s">
        <v>256</v>
      </c>
      <c r="C20" s="944"/>
      <c r="D20" s="936" t="s">
        <v>257</v>
      </c>
      <c r="E20" s="936"/>
      <c r="F20" s="936"/>
      <c r="G20" s="927"/>
      <c r="H20" s="927"/>
      <c r="I20" s="927"/>
      <c r="J20" s="927"/>
      <c r="K20" s="927"/>
      <c r="L20" s="927"/>
      <c r="M20" s="927"/>
      <c r="N20" s="931" t="str">
        <f>IF(N15="Yes","Continue to the next question",IF(N15="No","",IF(N15="Choose Y/N"," ")))</f>
        <v xml:space="preserve"> </v>
      </c>
      <c r="O20" s="931"/>
    </row>
    <row r="21" spans="2:15" ht="15" customHeight="1" x14ac:dyDescent="0.25">
      <c r="B21" s="944" t="s">
        <v>258</v>
      </c>
      <c r="C21" s="944"/>
      <c r="D21" s="936" t="s">
        <v>277</v>
      </c>
      <c r="E21" s="936"/>
      <c r="F21" s="936"/>
      <c r="G21" s="936"/>
      <c r="H21" s="936"/>
      <c r="I21" s="21"/>
      <c r="J21" s="21"/>
      <c r="K21" s="21"/>
      <c r="L21" s="21"/>
      <c r="M21" s="21"/>
      <c r="N21" s="931"/>
      <c r="O21" s="931"/>
    </row>
    <row r="22" spans="2:15" ht="15" customHeight="1" x14ac:dyDescent="0.25">
      <c r="B22" s="361"/>
      <c r="C22" s="361"/>
      <c r="D22" s="359"/>
      <c r="E22" s="359"/>
      <c r="F22" s="359"/>
      <c r="G22" s="359"/>
      <c r="H22" s="359"/>
      <c r="I22" s="21"/>
      <c r="J22" s="21"/>
      <c r="K22" s="21"/>
      <c r="L22" s="21"/>
      <c r="M22" s="21"/>
    </row>
    <row r="23" spans="2:15" ht="15" customHeight="1" x14ac:dyDescent="0.25">
      <c r="D23" s="957" t="s">
        <v>414</v>
      </c>
      <c r="E23" s="958"/>
      <c r="F23" s="958"/>
      <c r="G23" s="958"/>
      <c r="H23" s="958"/>
      <c r="I23" s="958"/>
      <c r="J23" s="958"/>
      <c r="K23" s="373"/>
      <c r="L23" s="367"/>
      <c r="M23" s="367"/>
    </row>
    <row r="24" spans="2:15" ht="15" customHeight="1" x14ac:dyDescent="0.25">
      <c r="D24" s="374" t="s">
        <v>254</v>
      </c>
      <c r="E24" s="947" t="s">
        <v>626</v>
      </c>
      <c r="F24" s="947"/>
      <c r="G24" s="947"/>
      <c r="H24" s="947"/>
      <c r="I24" s="947"/>
      <c r="J24" s="947"/>
      <c r="K24" s="375"/>
      <c r="L24" s="366"/>
      <c r="M24" s="395"/>
      <c r="N24" s="30"/>
      <c r="O24" s="30"/>
    </row>
    <row r="25" spans="2:15" ht="15" customHeight="1" x14ac:dyDescent="0.25">
      <c r="D25" s="376"/>
      <c r="E25" s="919" t="s">
        <v>256</v>
      </c>
      <c r="F25" s="919"/>
      <c r="G25" s="926" t="s">
        <v>257</v>
      </c>
      <c r="H25" s="926"/>
      <c r="I25" s="926"/>
      <c r="J25" s="736"/>
      <c r="K25" s="377"/>
      <c r="L25" s="360"/>
      <c r="M25" s="357"/>
      <c r="N25" s="30"/>
      <c r="O25" s="30"/>
    </row>
    <row r="26" spans="2:15" ht="15" customHeight="1" x14ac:dyDescent="0.25">
      <c r="D26" s="376"/>
      <c r="E26" s="919" t="s">
        <v>258</v>
      </c>
      <c r="F26" s="919"/>
      <c r="G26" s="926" t="s">
        <v>413</v>
      </c>
      <c r="H26" s="926"/>
      <c r="I26" s="926"/>
      <c r="J26" s="736"/>
      <c r="K26" s="375"/>
      <c r="L26" s="366"/>
      <c r="M26" s="357"/>
      <c r="N26" s="30"/>
      <c r="O26" s="30"/>
    </row>
    <row r="27" spans="2:15" ht="15" customHeight="1" x14ac:dyDescent="0.25">
      <c r="D27" s="374" t="s">
        <v>255</v>
      </c>
      <c r="E27" s="955" t="s">
        <v>450</v>
      </c>
      <c r="F27" s="955"/>
      <c r="G27" s="955"/>
      <c r="H27" s="955"/>
      <c r="I27" s="955"/>
      <c r="J27" s="955"/>
      <c r="K27" s="956"/>
      <c r="L27" s="356"/>
      <c r="M27" s="362"/>
      <c r="N27" s="30"/>
      <c r="O27" s="30"/>
    </row>
    <row r="28" spans="2:15" ht="15" customHeight="1" x14ac:dyDescent="0.25">
      <c r="D28" s="378"/>
      <c r="E28" s="953" t="s">
        <v>799</v>
      </c>
      <c r="F28" s="953"/>
      <c r="G28" s="953"/>
      <c r="H28" s="953"/>
      <c r="I28" s="953"/>
      <c r="J28" s="953"/>
      <c r="K28" s="954"/>
      <c r="L28" s="356"/>
      <c r="M28" s="362"/>
      <c r="N28" s="30"/>
      <c r="O28" s="30"/>
    </row>
    <row r="29" spans="2:15" ht="15" customHeight="1" x14ac:dyDescent="0.25">
      <c r="B29" s="925"/>
      <c r="C29" s="925"/>
      <c r="D29" s="925"/>
      <c r="E29" s="925"/>
      <c r="F29" s="925"/>
      <c r="G29" s="925"/>
      <c r="H29" s="925"/>
      <c r="I29" s="925"/>
      <c r="J29" s="925"/>
      <c r="K29" s="925"/>
      <c r="L29" s="925"/>
      <c r="M29" s="925"/>
      <c r="N29" s="30"/>
      <c r="O29" s="30"/>
    </row>
    <row r="30" spans="2:15" s="2" customFormat="1" ht="15" customHeight="1" x14ac:dyDescent="0.25">
      <c r="B30" s="925"/>
      <c r="C30" s="925"/>
      <c r="D30" s="925"/>
      <c r="E30" s="925"/>
      <c r="F30" s="925"/>
      <c r="G30" s="925"/>
      <c r="H30" s="925"/>
      <c r="I30" s="925"/>
      <c r="J30" s="925"/>
      <c r="K30" s="925"/>
      <c r="L30" s="925"/>
      <c r="M30" s="925"/>
      <c r="N30" s="30"/>
      <c r="O30" s="30"/>
    </row>
    <row r="31" spans="2:15" s="24" customFormat="1" ht="15" customHeight="1" x14ac:dyDescent="0.2">
      <c r="B31" s="948" t="s">
        <v>341</v>
      </c>
      <c r="C31" s="948"/>
      <c r="D31" s="948"/>
      <c r="E31" s="948"/>
      <c r="F31" s="948"/>
      <c r="G31" s="948"/>
      <c r="H31" s="948"/>
      <c r="I31" s="948"/>
      <c r="J31" s="948"/>
      <c r="K31" s="948"/>
      <c r="L31" s="948"/>
      <c r="M31" s="948"/>
      <c r="N31" s="922" t="s">
        <v>252</v>
      </c>
      <c r="O31" s="923"/>
    </row>
    <row r="32" spans="2:15" s="24" customFormat="1" ht="15" customHeight="1" x14ac:dyDescent="0.2">
      <c r="B32" s="924" t="s">
        <v>960</v>
      </c>
      <c r="C32" s="924"/>
      <c r="D32" s="924"/>
      <c r="E32" s="924"/>
      <c r="F32" s="924"/>
      <c r="G32" s="924"/>
      <c r="H32" s="924"/>
      <c r="I32" s="924"/>
      <c r="J32" s="924"/>
      <c r="K32" s="924"/>
      <c r="L32" s="924"/>
      <c r="M32" s="924"/>
      <c r="N32" s="932" t="str">
        <f>IF(N31="Yes","You must follow NSPS requirements. Assess emissions to see if you need a permit.",IF(N31="No","Continue to the next question.",IF(N31="Choose Y/N"," "," ")))</f>
        <v xml:space="preserve"> </v>
      </c>
      <c r="O32" s="932"/>
    </row>
    <row r="33" spans="2:17" s="24" customFormat="1" ht="15" customHeight="1" x14ac:dyDescent="0.2">
      <c r="B33" s="27" t="s">
        <v>254</v>
      </c>
      <c r="C33" s="924" t="s">
        <v>259</v>
      </c>
      <c r="D33" s="924"/>
      <c r="E33" s="924"/>
      <c r="F33" s="924"/>
      <c r="G33" s="924"/>
      <c r="H33" s="924"/>
      <c r="I33" s="27" t="s">
        <v>260</v>
      </c>
      <c r="J33" s="918" t="s">
        <v>261</v>
      </c>
      <c r="K33" s="918"/>
      <c r="L33" s="918"/>
      <c r="M33" s="918"/>
      <c r="N33" s="933"/>
      <c r="O33" s="933"/>
    </row>
    <row r="34" spans="2:17" s="24" customFormat="1" ht="15" customHeight="1" x14ac:dyDescent="0.2">
      <c r="B34" s="27" t="s">
        <v>255</v>
      </c>
      <c r="C34" s="924" t="s">
        <v>262</v>
      </c>
      <c r="D34" s="924"/>
      <c r="E34" s="924"/>
      <c r="F34" s="924"/>
      <c r="G34" s="924"/>
      <c r="H34" s="924"/>
      <c r="I34" s="924"/>
      <c r="J34" s="918" t="s">
        <v>263</v>
      </c>
      <c r="K34" s="918"/>
      <c r="L34" s="918"/>
      <c r="M34" s="918"/>
      <c r="N34" s="933"/>
      <c r="O34" s="933"/>
    </row>
    <row r="35" spans="2:17" s="24" customFormat="1" ht="15" customHeight="1" x14ac:dyDescent="0.2">
      <c r="B35" s="949"/>
      <c r="C35" s="949"/>
      <c r="D35" s="949"/>
      <c r="E35" s="949"/>
      <c r="F35" s="949"/>
      <c r="G35" s="949"/>
      <c r="H35" s="949"/>
      <c r="I35" s="949"/>
      <c r="J35" s="949"/>
      <c r="K35" s="949"/>
      <c r="L35" s="949"/>
      <c r="M35" s="949"/>
      <c r="N35" s="933"/>
      <c r="O35" s="933"/>
    </row>
    <row r="36" spans="2:17" s="24" customFormat="1" ht="15" customHeight="1" x14ac:dyDescent="0.2">
      <c r="B36" s="28"/>
      <c r="C36" s="924" t="s">
        <v>956</v>
      </c>
      <c r="D36" s="924"/>
      <c r="E36" s="924"/>
      <c r="F36" s="924"/>
      <c r="G36" s="924"/>
      <c r="H36" s="924"/>
      <c r="I36" s="924"/>
      <c r="J36" s="924"/>
      <c r="K36" s="924"/>
      <c r="L36" s="924"/>
      <c r="M36" s="924"/>
      <c r="N36" s="933"/>
      <c r="O36" s="933"/>
    </row>
    <row r="37" spans="2:17" s="24" customFormat="1" ht="15" customHeight="1" x14ac:dyDescent="0.2">
      <c r="B37" s="938"/>
      <c r="C37" s="938"/>
      <c r="D37" s="938"/>
      <c r="E37" s="938"/>
      <c r="F37" s="938"/>
      <c r="G37" s="938"/>
      <c r="H37" s="938"/>
      <c r="I37" s="938"/>
      <c r="J37" s="938"/>
      <c r="K37" s="938"/>
      <c r="L37" s="938"/>
      <c r="M37" s="938"/>
      <c r="N37" s="938"/>
      <c r="O37" s="938"/>
    </row>
    <row r="38" spans="2:17" s="29" customFormat="1" ht="15" customHeight="1" x14ac:dyDescent="0.2">
      <c r="B38" s="930"/>
      <c r="C38" s="930"/>
      <c r="D38" s="930"/>
      <c r="E38" s="930"/>
      <c r="F38" s="930"/>
      <c r="G38" s="930"/>
      <c r="H38" s="930"/>
      <c r="I38" s="930"/>
      <c r="J38" s="930"/>
      <c r="K38" s="930"/>
      <c r="L38" s="930"/>
      <c r="M38" s="930"/>
    </row>
    <row r="39" spans="2:17" s="24" customFormat="1" ht="15" customHeight="1" x14ac:dyDescent="0.2">
      <c r="B39" s="952" t="s">
        <v>415</v>
      </c>
      <c r="C39" s="952"/>
      <c r="D39" s="952"/>
      <c r="E39" s="952"/>
      <c r="F39" s="952"/>
      <c r="G39" s="952"/>
      <c r="H39" s="952"/>
      <c r="I39" s="952"/>
      <c r="J39" s="952"/>
      <c r="K39" s="952"/>
      <c r="L39" s="952"/>
      <c r="M39" s="952"/>
      <c r="N39" s="922" t="s">
        <v>252</v>
      </c>
      <c r="O39" s="923"/>
    </row>
    <row r="40" spans="2:17" s="24" customFormat="1" ht="15" customHeight="1" x14ac:dyDescent="0.2">
      <c r="B40" s="950" t="s">
        <v>342</v>
      </c>
      <c r="C40" s="950"/>
      <c r="D40" s="950"/>
      <c r="E40" s="950"/>
      <c r="F40" s="950"/>
      <c r="G40" s="950"/>
      <c r="H40" s="950"/>
      <c r="I40" s="950"/>
      <c r="J40" s="950"/>
      <c r="K40" s="950"/>
      <c r="L40" s="950"/>
      <c r="M40" s="950"/>
      <c r="N40" s="932" t="str">
        <f>IF(N39="Yes","Because an NSPS applies to your operation, you need an air permit.",IF(N39="No","Continue to the next question.",IF(N39="Choose Y/N"," "," ")))</f>
        <v xml:space="preserve"> </v>
      </c>
      <c r="O40" s="932"/>
      <c r="Q40" s="34"/>
    </row>
    <row r="41" spans="2:17" s="24" customFormat="1" ht="15" customHeight="1" x14ac:dyDescent="0.2">
      <c r="B41" s="950"/>
      <c r="C41" s="950"/>
      <c r="D41" s="950"/>
      <c r="E41" s="950"/>
      <c r="F41" s="950"/>
      <c r="G41" s="950"/>
      <c r="H41" s="950"/>
      <c r="I41" s="950"/>
      <c r="J41" s="950"/>
      <c r="K41" s="950"/>
      <c r="L41" s="950"/>
      <c r="M41" s="950"/>
      <c r="N41" s="933"/>
      <c r="O41" s="933"/>
    </row>
    <row r="42" spans="2:17" s="24" customFormat="1" ht="15" customHeight="1" x14ac:dyDescent="0.2">
      <c r="B42" s="951"/>
      <c r="C42" s="951"/>
      <c r="D42" s="951"/>
      <c r="E42" s="951"/>
      <c r="F42" s="951"/>
      <c r="G42" s="951"/>
      <c r="H42" s="951"/>
      <c r="I42" s="951"/>
      <c r="J42" s="951"/>
      <c r="K42" s="951"/>
      <c r="L42" s="951"/>
      <c r="M42" s="951"/>
      <c r="N42" s="933"/>
      <c r="O42" s="933"/>
    </row>
    <row r="43" spans="2:17" s="24" customFormat="1" ht="15" customHeight="1" x14ac:dyDescent="0.2">
      <c r="C43" s="924" t="s">
        <v>330</v>
      </c>
      <c r="D43" s="924"/>
      <c r="E43" s="924"/>
      <c r="F43" s="924"/>
      <c r="G43" s="934" t="s">
        <v>264</v>
      </c>
      <c r="H43" s="934"/>
      <c r="I43" s="934"/>
      <c r="J43" s="934"/>
      <c r="K43" s="934"/>
      <c r="L43" s="934"/>
      <c r="M43" s="934"/>
      <c r="N43" s="933"/>
      <c r="O43" s="933"/>
    </row>
    <row r="44" spans="2:17" s="24" customFormat="1" ht="15" customHeight="1" x14ac:dyDescent="0.2">
      <c r="B44" s="578"/>
      <c r="C44" s="924" t="s">
        <v>864</v>
      </c>
      <c r="D44" s="924"/>
      <c r="E44" s="924"/>
      <c r="F44" s="924"/>
      <c r="G44" s="924"/>
      <c r="H44" s="924"/>
      <c r="I44" s="924"/>
      <c r="J44" s="924"/>
      <c r="K44" s="929" t="s">
        <v>603</v>
      </c>
      <c r="L44" s="929"/>
      <c r="N44" s="931" t="str">
        <f>IF(N39="Yes","Continue to the next question.",IF(N39="No","",IF(N39="Choose Y/N"," ")))</f>
        <v xml:space="preserve"> </v>
      </c>
      <c r="O44" s="931"/>
    </row>
    <row r="45" spans="2:17" s="24" customFormat="1" ht="15" customHeight="1" x14ac:dyDescent="0.2">
      <c r="B45" s="930"/>
      <c r="C45" s="930"/>
      <c r="D45" s="930"/>
      <c r="E45" s="930"/>
      <c r="F45" s="930"/>
      <c r="G45" s="930"/>
      <c r="H45" s="930"/>
      <c r="I45" s="930"/>
      <c r="J45" s="930"/>
      <c r="K45" s="930"/>
      <c r="L45" s="930"/>
      <c r="M45" s="930"/>
      <c r="N45" s="931"/>
      <c r="O45" s="931"/>
    </row>
    <row r="46" spans="2:17" s="23" customFormat="1" ht="15" customHeight="1" x14ac:dyDescent="0.25">
      <c r="B46" s="930"/>
      <c r="C46" s="930"/>
      <c r="D46" s="930"/>
      <c r="E46" s="930"/>
      <c r="F46" s="930"/>
      <c r="G46" s="930"/>
      <c r="H46" s="930"/>
      <c r="I46" s="930"/>
      <c r="J46" s="930"/>
      <c r="K46" s="930"/>
      <c r="L46" s="930"/>
      <c r="M46" s="930"/>
    </row>
    <row r="47" spans="2:17" s="23" customFormat="1" ht="15" customHeight="1" x14ac:dyDescent="0.25">
      <c r="B47" s="916" t="s">
        <v>265</v>
      </c>
      <c r="C47" s="916"/>
      <c r="D47" s="916"/>
      <c r="E47" s="916"/>
      <c r="F47" s="916"/>
      <c r="G47" s="916"/>
      <c r="H47" s="916"/>
      <c r="I47" s="916"/>
      <c r="J47" s="916"/>
      <c r="K47" s="916"/>
      <c r="L47" s="916"/>
      <c r="M47" s="916"/>
      <c r="N47" s="916"/>
      <c r="O47" s="916"/>
    </row>
    <row r="48" spans="2:17" s="24" customFormat="1" ht="15" customHeight="1" x14ac:dyDescent="0.2">
      <c r="B48" s="948" t="s">
        <v>343</v>
      </c>
      <c r="C48" s="948"/>
      <c r="D48" s="948"/>
      <c r="E48" s="948"/>
      <c r="F48" s="948"/>
      <c r="G48" s="948"/>
      <c r="H48" s="948"/>
      <c r="I48" s="948"/>
      <c r="J48" s="948"/>
      <c r="K48" s="948"/>
      <c r="L48" s="948"/>
      <c r="M48" s="948"/>
      <c r="N48" s="922" t="s">
        <v>252</v>
      </c>
      <c r="O48" s="923"/>
    </row>
    <row r="49" spans="2:15" s="24" customFormat="1" ht="15" customHeight="1" x14ac:dyDescent="0.2">
      <c r="B49" s="924" t="s">
        <v>957</v>
      </c>
      <c r="C49" s="924"/>
      <c r="D49" s="924"/>
      <c r="E49" s="924"/>
      <c r="F49" s="924"/>
      <c r="G49" s="924"/>
      <c r="H49" s="924"/>
      <c r="I49" s="924"/>
      <c r="J49" s="924"/>
      <c r="K49" s="924"/>
      <c r="L49" s="924"/>
      <c r="M49" s="924"/>
      <c r="N49" s="932" t="str">
        <f>IF(N48="Yes","Follow NESHAP requirements. Assess emissions to see if you need a permit.",IF(N48="No","Continue to the next blue tab.",IF(N48="Choose Y/N"," "," ")))</f>
        <v xml:space="preserve"> </v>
      </c>
      <c r="O49" s="932"/>
    </row>
    <row r="50" spans="2:15" s="24" customFormat="1" ht="15" customHeight="1" x14ac:dyDescent="0.2">
      <c r="B50" s="27"/>
      <c r="C50" s="924" t="s">
        <v>266</v>
      </c>
      <c r="D50" s="924"/>
      <c r="E50" s="924"/>
      <c r="F50" s="924"/>
      <c r="G50" s="924"/>
      <c r="H50" s="924"/>
      <c r="I50" s="27" t="s">
        <v>260</v>
      </c>
      <c r="J50" s="939" t="s">
        <v>267</v>
      </c>
      <c r="K50" s="939"/>
      <c r="L50" s="939"/>
      <c r="M50" s="939"/>
      <c r="N50" s="933"/>
      <c r="O50" s="933"/>
    </row>
    <row r="51" spans="2:15" s="24" customFormat="1" ht="15" customHeight="1" x14ac:dyDescent="0.2">
      <c r="B51" s="31"/>
      <c r="C51" s="924" t="s">
        <v>956</v>
      </c>
      <c r="D51" s="924"/>
      <c r="E51" s="924"/>
      <c r="F51" s="924"/>
      <c r="G51" s="924"/>
      <c r="H51" s="924"/>
      <c r="I51" s="924"/>
      <c r="J51" s="924"/>
      <c r="K51" s="924"/>
      <c r="L51" s="924"/>
      <c r="M51" s="924"/>
      <c r="N51" s="933"/>
      <c r="O51" s="933"/>
    </row>
    <row r="52" spans="2:15" s="24" customFormat="1" ht="15" customHeight="1" x14ac:dyDescent="0.2">
      <c r="B52" s="28"/>
      <c r="C52" s="934"/>
      <c r="D52" s="934"/>
      <c r="E52" s="934"/>
      <c r="F52" s="934"/>
      <c r="G52" s="934"/>
      <c r="H52" s="934"/>
      <c r="I52" s="934"/>
      <c r="J52" s="934"/>
      <c r="K52" s="934"/>
      <c r="L52" s="934"/>
      <c r="M52" s="934"/>
      <c r="N52" s="933"/>
      <c r="O52" s="933"/>
    </row>
    <row r="53" spans="2:15" s="24" customFormat="1" ht="15" customHeight="1" x14ac:dyDescent="0.2">
      <c r="B53" s="33"/>
      <c r="C53" s="851" t="s">
        <v>344</v>
      </c>
      <c r="D53" s="851"/>
      <c r="E53" s="851"/>
      <c r="F53" s="851"/>
      <c r="G53" s="851"/>
      <c r="H53" s="851"/>
      <c r="I53" s="851"/>
      <c r="J53" s="851"/>
      <c r="K53" s="851"/>
      <c r="L53" s="851"/>
      <c r="M53" s="851"/>
      <c r="N53" s="933"/>
      <c r="O53" s="933"/>
    </row>
    <row r="54" spans="2:15" s="24" customFormat="1" ht="15" customHeight="1" x14ac:dyDescent="0.2">
      <c r="B54" s="29"/>
      <c r="C54" s="934" t="s">
        <v>875</v>
      </c>
      <c r="D54" s="934"/>
      <c r="E54" s="934"/>
      <c r="F54" s="934"/>
      <c r="G54" s="934"/>
      <c r="H54" s="934"/>
      <c r="I54" s="934"/>
      <c r="J54" s="934"/>
      <c r="K54" s="934"/>
      <c r="L54" s="934"/>
      <c r="M54" s="934"/>
      <c r="N54" s="931" t="str">
        <f>IF(N48="Yes","Continue to the next blue tab.",IF(N48="No","",IF(N48="Choose Y/N"," ")))</f>
        <v xml:space="preserve"> </v>
      </c>
      <c r="O54" s="931"/>
    </row>
    <row r="55" spans="2:15" s="24" customFormat="1" ht="15" customHeight="1" x14ac:dyDescent="0.2">
      <c r="B55" s="930"/>
      <c r="C55" s="930"/>
      <c r="D55" s="930"/>
      <c r="E55" s="930"/>
      <c r="F55" s="930"/>
      <c r="G55" s="930"/>
      <c r="H55" s="930"/>
      <c r="I55" s="930"/>
      <c r="J55" s="930"/>
      <c r="K55" s="930"/>
      <c r="L55" s="930"/>
      <c r="M55" s="930"/>
      <c r="N55" s="33"/>
      <c r="O55" s="33"/>
    </row>
    <row r="56" spans="2:15" s="24" customFormat="1" ht="15" customHeight="1" x14ac:dyDescent="0.2">
      <c r="B56" s="930"/>
      <c r="C56" s="930"/>
      <c r="D56" s="930"/>
      <c r="E56" s="930"/>
      <c r="F56" s="930"/>
      <c r="G56" s="930"/>
      <c r="H56" s="930"/>
      <c r="I56" s="930"/>
      <c r="J56" s="930"/>
      <c r="K56" s="930"/>
      <c r="L56" s="930"/>
      <c r="M56" s="930"/>
      <c r="N56" s="33"/>
      <c r="O56" s="33"/>
    </row>
    <row r="57" spans="2:15" s="23" customFormat="1" ht="15" customHeight="1" x14ac:dyDescent="0.25">
      <c r="B57" s="928" t="s">
        <v>337</v>
      </c>
      <c r="C57" s="928"/>
      <c r="D57" s="928"/>
      <c r="E57" s="928"/>
      <c r="F57" s="928"/>
      <c r="G57" s="928"/>
      <c r="H57" s="928"/>
      <c r="I57" s="928"/>
      <c r="J57" s="928"/>
      <c r="K57" s="928"/>
      <c r="L57" s="928"/>
      <c r="M57" s="928"/>
      <c r="N57" s="928"/>
      <c r="O57" s="928"/>
    </row>
    <row r="58" spans="2:15" s="24" customFormat="1" ht="15" customHeight="1" x14ac:dyDescent="0.2">
      <c r="B58" s="914" t="s">
        <v>338</v>
      </c>
      <c r="C58" s="914"/>
      <c r="D58" s="914"/>
      <c r="E58" s="914"/>
      <c r="F58" s="914"/>
      <c r="G58" s="914"/>
      <c r="H58" s="914"/>
      <c r="I58" s="914"/>
      <c r="J58" s="914"/>
      <c r="K58" s="914"/>
      <c r="L58" s="914"/>
      <c r="M58" s="914"/>
      <c r="N58" s="914"/>
      <c r="O58" s="914"/>
    </row>
    <row r="59" spans="2:15" s="24" customFormat="1" ht="15" customHeight="1" x14ac:dyDescent="0.2">
      <c r="B59" s="914"/>
      <c r="C59" s="914"/>
      <c r="D59" s="914"/>
      <c r="E59" s="914"/>
      <c r="F59" s="914"/>
      <c r="G59" s="914"/>
      <c r="H59" s="914"/>
      <c r="I59" s="914"/>
      <c r="J59" s="914"/>
      <c r="K59" s="914"/>
      <c r="L59" s="914"/>
      <c r="M59" s="914"/>
      <c r="N59" s="914"/>
      <c r="O59" s="914"/>
    </row>
    <row r="60" spans="2:15" s="24" customFormat="1" ht="15" customHeight="1" x14ac:dyDescent="0.2">
      <c r="B60" s="25" t="s">
        <v>281</v>
      </c>
      <c r="C60" s="914" t="s">
        <v>339</v>
      </c>
      <c r="D60" s="914"/>
      <c r="E60" s="914"/>
      <c r="F60" s="914"/>
      <c r="G60" s="914"/>
      <c r="H60" s="914"/>
      <c r="I60" s="914"/>
      <c r="J60" s="914"/>
      <c r="K60" s="914"/>
      <c r="L60" s="914"/>
      <c r="M60" s="914"/>
      <c r="N60" s="914"/>
      <c r="O60" s="914"/>
    </row>
    <row r="61" spans="2:15" s="24" customFormat="1" ht="15" customHeight="1" x14ac:dyDescent="0.2">
      <c r="B61" s="913" t="s">
        <v>281</v>
      </c>
      <c r="C61" s="914" t="s">
        <v>340</v>
      </c>
      <c r="D61" s="914"/>
      <c r="E61" s="914"/>
      <c r="F61" s="914"/>
      <c r="G61" s="914"/>
      <c r="H61" s="914"/>
      <c r="I61" s="914"/>
      <c r="J61" s="914"/>
      <c r="K61" s="914"/>
      <c r="L61" s="914"/>
      <c r="M61" s="914"/>
      <c r="N61" s="914"/>
      <c r="O61" s="914"/>
    </row>
    <row r="62" spans="2:15" s="24" customFormat="1" ht="15" customHeight="1" x14ac:dyDescent="0.2">
      <c r="B62" s="913"/>
      <c r="C62" s="914"/>
      <c r="D62" s="914"/>
      <c r="E62" s="914"/>
      <c r="F62" s="914"/>
      <c r="G62" s="914"/>
      <c r="H62" s="914"/>
      <c r="I62" s="914"/>
      <c r="J62" s="914"/>
      <c r="K62" s="914"/>
      <c r="L62" s="914"/>
      <c r="M62" s="914"/>
      <c r="N62" s="914"/>
      <c r="O62" s="914"/>
    </row>
    <row r="63" spans="2:15" s="24" customFormat="1" ht="15" customHeight="1" x14ac:dyDescent="0.2">
      <c r="B63" s="25" t="s">
        <v>281</v>
      </c>
      <c r="C63" s="914" t="s">
        <v>284</v>
      </c>
      <c r="D63" s="914"/>
      <c r="E63" s="914"/>
      <c r="F63" s="914"/>
      <c r="G63" s="914"/>
      <c r="H63" s="914"/>
      <c r="I63" s="914"/>
      <c r="J63" s="914"/>
      <c r="K63" s="914"/>
      <c r="L63" s="914"/>
      <c r="M63" s="914"/>
      <c r="N63" s="914"/>
      <c r="O63" s="914"/>
    </row>
    <row r="64" spans="2:15" s="24" customFormat="1" ht="15" customHeight="1" x14ac:dyDescent="0.2">
      <c r="B64" s="942"/>
      <c r="C64" s="942"/>
      <c r="D64" s="942"/>
      <c r="E64" s="942"/>
      <c r="F64" s="942"/>
      <c r="G64" s="942"/>
      <c r="H64" s="942"/>
      <c r="I64" s="942"/>
      <c r="J64" s="942"/>
      <c r="K64" s="942"/>
      <c r="L64" s="942"/>
      <c r="M64" s="942"/>
      <c r="N64" s="942"/>
      <c r="O64" s="942"/>
    </row>
    <row r="65" spans="2:15" s="24" customFormat="1" ht="15" customHeight="1" x14ac:dyDescent="0.2">
      <c r="B65" s="940" t="s">
        <v>248</v>
      </c>
      <c r="C65" s="940"/>
      <c r="D65" s="940"/>
      <c r="E65" s="940"/>
      <c r="F65" s="940"/>
      <c r="G65" s="940"/>
      <c r="H65" s="940"/>
      <c r="I65" s="941" t="s">
        <v>249</v>
      </c>
      <c r="J65" s="941"/>
      <c r="K65" s="937" t="s">
        <v>250</v>
      </c>
      <c r="L65" s="937"/>
      <c r="M65" s="937"/>
      <c r="N65" s="939" t="s">
        <v>251</v>
      </c>
      <c r="O65" s="939"/>
    </row>
    <row r="66" spans="2:15" s="24" customFormat="1" ht="15" customHeight="1" x14ac:dyDescent="0.2">
      <c r="B66" s="937"/>
      <c r="C66" s="937"/>
      <c r="D66" s="937"/>
      <c r="E66" s="937"/>
      <c r="F66" s="937"/>
      <c r="G66" s="937"/>
      <c r="H66" s="937"/>
      <c r="I66" s="937"/>
      <c r="J66" s="937"/>
      <c r="K66" s="937"/>
      <c r="L66" s="937"/>
      <c r="M66" s="937"/>
      <c r="N66" s="937"/>
      <c r="O66" s="937"/>
    </row>
    <row r="67" spans="2:15" ht="15" customHeight="1" x14ac:dyDescent="0.25"/>
    <row r="68" spans="2:15" ht="15" customHeight="1" x14ac:dyDescent="0.25"/>
    <row r="69" spans="2:15" ht="15" customHeight="1" x14ac:dyDescent="0.25"/>
    <row r="70" spans="2:15" ht="15" customHeight="1" x14ac:dyDescent="0.25"/>
    <row r="71" spans="2:15" ht="15" customHeight="1" x14ac:dyDescent="0.25"/>
    <row r="72" spans="2:15" ht="15" customHeight="1" x14ac:dyDescent="0.25"/>
    <row r="73" spans="2:15" ht="15" customHeight="1" x14ac:dyDescent="0.25"/>
    <row r="74" spans="2:15" ht="15" customHeight="1" x14ac:dyDescent="0.25"/>
    <row r="75" spans="2:15" ht="15" customHeight="1" x14ac:dyDescent="0.25"/>
    <row r="76" spans="2:15" ht="15" customHeight="1" x14ac:dyDescent="0.25"/>
    <row r="77" spans="2:15" ht="15" customHeight="1" x14ac:dyDescent="0.25"/>
    <row r="78" spans="2:15" ht="15" customHeight="1" x14ac:dyDescent="0.25"/>
    <row r="79" spans="2:15" ht="15" customHeight="1" x14ac:dyDescent="0.25"/>
    <row r="80" spans="2:15"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sheetData>
  <protectedRanges>
    <protectedRange sqref="P2:BT14" name="Writing_1"/>
    <protectedRange sqref="A66:O66 Q31:R35 Q37:Q43 R38:R43 S37:S44 S31:BT36 R47:S66 T37:BT66 P31:P66 Q45:Q66" name="Writing_4"/>
    <protectedRange sqref="N15:O15 N31:O31 N39:O39 N48:O48" name="FedYN"/>
  </protectedRanges>
  <mergeCells count="86">
    <mergeCell ref="B29:M30"/>
    <mergeCell ref="C34:I34"/>
    <mergeCell ref="J34:M34"/>
    <mergeCell ref="C33:H33"/>
    <mergeCell ref="B31:M31"/>
    <mergeCell ref="B4:O4"/>
    <mergeCell ref="B5:O5"/>
    <mergeCell ref="E28:K28"/>
    <mergeCell ref="E26:F26"/>
    <mergeCell ref="E27:K27"/>
    <mergeCell ref="G26:I26"/>
    <mergeCell ref="D23:J23"/>
    <mergeCell ref="O6:O11"/>
    <mergeCell ref="B7:B8"/>
    <mergeCell ref="N48:O48"/>
    <mergeCell ref="N44:O45"/>
    <mergeCell ref="B35:M35"/>
    <mergeCell ref="B40:M41"/>
    <mergeCell ref="B42:M42"/>
    <mergeCell ref="B39:M39"/>
    <mergeCell ref="B38:M38"/>
    <mergeCell ref="C36:M36"/>
    <mergeCell ref="N40:O43"/>
    <mergeCell ref="B45:M46"/>
    <mergeCell ref="C44:J44"/>
    <mergeCell ref="B48:M48"/>
    <mergeCell ref="C7:N8"/>
    <mergeCell ref="B9:B11"/>
    <mergeCell ref="N32:O36"/>
    <mergeCell ref="C9:N11"/>
    <mergeCell ref="B20:C20"/>
    <mergeCell ref="D20:F20"/>
    <mergeCell ref="C17:M17"/>
    <mergeCell ref="C18:M18"/>
    <mergeCell ref="B12:O12"/>
    <mergeCell ref="B13:O13"/>
    <mergeCell ref="E24:J24"/>
    <mergeCell ref="N20:O21"/>
    <mergeCell ref="B21:C21"/>
    <mergeCell ref="B15:M15"/>
    <mergeCell ref="N15:O15"/>
    <mergeCell ref="N16:O19"/>
    <mergeCell ref="B16:M16"/>
    <mergeCell ref="D21:F21"/>
    <mergeCell ref="G21:H21"/>
    <mergeCell ref="B66:O66"/>
    <mergeCell ref="B37:O37"/>
    <mergeCell ref="N39:O39"/>
    <mergeCell ref="C50:H50"/>
    <mergeCell ref="J50:M50"/>
    <mergeCell ref="C43:F43"/>
    <mergeCell ref="G43:M43"/>
    <mergeCell ref="B65:H65"/>
    <mergeCell ref="I65:J65"/>
    <mergeCell ref="K65:M65"/>
    <mergeCell ref="N65:O65"/>
    <mergeCell ref="C63:O63"/>
    <mergeCell ref="B64:O64"/>
    <mergeCell ref="C60:O60"/>
    <mergeCell ref="B49:M49"/>
    <mergeCell ref="B55:M55"/>
    <mergeCell ref="B56:M56"/>
    <mergeCell ref="B58:O59"/>
    <mergeCell ref="B57:O57"/>
    <mergeCell ref="N54:O54"/>
    <mergeCell ref="N49:O53"/>
    <mergeCell ref="C51:M51"/>
    <mergeCell ref="C54:I54"/>
    <mergeCell ref="J54:M54"/>
    <mergeCell ref="C52:M52"/>
    <mergeCell ref="B61:B62"/>
    <mergeCell ref="C61:O62"/>
    <mergeCell ref="B1:O1"/>
    <mergeCell ref="B47:O47"/>
    <mergeCell ref="C6:N6"/>
    <mergeCell ref="J33:M33"/>
    <mergeCell ref="E25:F25"/>
    <mergeCell ref="B2:O2"/>
    <mergeCell ref="B3:O3"/>
    <mergeCell ref="N31:O31"/>
    <mergeCell ref="B32:M32"/>
    <mergeCell ref="B19:M19"/>
    <mergeCell ref="G25:I25"/>
    <mergeCell ref="G20:M20"/>
    <mergeCell ref="B14:O14"/>
    <mergeCell ref="K44:L44"/>
  </mergeCells>
  <conditionalFormatting sqref="N16">
    <cfRule type="containsText" dxfId="55" priority="1" operator="containsText" text="Continue">
      <formula>NOT(ISERROR(SEARCH("Continue",N16)))</formula>
    </cfRule>
  </conditionalFormatting>
  <conditionalFormatting sqref="N32">
    <cfRule type="containsText" dxfId="54" priority="4" operator="containsText" text="NSPS">
      <formula>NOT(ISERROR(SEARCH("NSPS",N32)))</formula>
    </cfRule>
  </conditionalFormatting>
  <conditionalFormatting sqref="N49">
    <cfRule type="containsText" dxfId="53" priority="3" operator="containsText" text="continue">
      <formula>NOT(ISERROR(SEARCH("continue",N49)))</formula>
    </cfRule>
  </conditionalFormatting>
  <conditionalFormatting sqref="N40:O43">
    <cfRule type="containsText" dxfId="52" priority="2" operator="containsText" text="continue">
      <formula>NOT(ISERROR(SEARCH("continue",N40)))</formula>
    </cfRule>
  </conditionalFormatting>
  <hyperlinks>
    <hyperlink ref="D21" r:id="rId1" display="40 CFR pt. 60, subp. OOO" xr:uid="{00000000-0004-0000-0100-000000000000}"/>
    <hyperlink ref="D20" r:id="rId2" location="additional-resources" xr:uid="{00000000-0004-0000-0100-000001000000}"/>
    <hyperlink ref="D20:F20" r:id="rId3" display="EPA Rule information" xr:uid="{00000000-0004-0000-0100-000002000000}"/>
    <hyperlink ref="D21:H21" r:id="rId4" display="40 CFR pt. 60, subp. I" xr:uid="{00000000-0004-0000-0100-000003000000}"/>
    <hyperlink ref="J33" r:id="rId5" xr:uid="{00000000-0004-0000-0100-000005000000}"/>
    <hyperlink ref="J34" r:id="rId6" xr:uid="{00000000-0004-0000-0100-000006000000}"/>
    <hyperlink ref="J50" r:id="rId7" xr:uid="{00000000-0004-0000-0100-000007000000}"/>
    <hyperlink ref="C54" r:id="rId8" display="https://www.pca.state.mn.us/sites/default/files/aq-f3-rp07.doc" xr:uid="{00000000-0004-0000-0100-000008000000}"/>
    <hyperlink ref="I65" r:id="rId9" xr:uid="{00000000-0004-0000-0100-000009000000}"/>
    <hyperlink ref="N65:O65" r:id="rId10" display="40 CFR § 60.15" xr:uid="{00000000-0004-0000-0100-00000A000000}"/>
    <hyperlink ref="G43" r:id="rId11" xr:uid="{00000000-0004-0000-0100-00000C000000}"/>
    <hyperlink ref="G26" r:id="rId12" xr:uid="{00000000-0004-0000-0100-00000D000000}"/>
    <hyperlink ref="G25" r:id="rId13" location="additional-resources" xr:uid="{00000000-0004-0000-0100-00000E000000}"/>
    <hyperlink ref="G25:I25" r:id="rId14" display="EPA Rule information" xr:uid="{00000000-0004-0000-0100-00000F000000}"/>
    <hyperlink ref="E28" r:id="rId15" xr:uid="{00000000-0004-0000-0100-000010000000}"/>
    <hyperlink ref="K44:L44" r:id="rId16" display="Minn. R. 7007.0300" xr:uid="{00000000-0004-0000-0100-000011000000}"/>
    <hyperlink ref="C54:M54" r:id="rId17" display="https://www.pca.state.mn.us/sites/default/files/aq-f3-rp07.docx" xr:uid="{FC3D35B1-D692-4683-A6BB-82D1B644AA52}"/>
    <hyperlink ref="G43:M43" r:id="rId18" display="https://www.pca.state.mn.us/sites/default/files/aq-f1-gi09d.docx" xr:uid="{D0F3500F-8580-43B7-ACF7-0DCAD603E1B1}"/>
  </hyperlinks>
  <pageMargins left="0.25" right="0.25" top="0.5" bottom="0.5" header="0.3" footer="0.3"/>
  <pageSetup orientation="landscape" r:id="rId19"/>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2" manualBreakCount="2">
    <brk id="30" min="1" max="14" man="1"/>
    <brk id="46" min="1" max="14" man="1"/>
  </rowBreaks>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Incorrect Entry" error="Please choose &quot;yes&quot; or &quot;no&quot; from the drop down list._x000a__x000a_----&gt; Press CANCEL" xr:uid="{00000000-0002-0000-0100-000000000000}">
          <x14:formula1>
            <xm:f>'Data Validation'!$A$11:$A$13</xm:f>
          </x14:formula1>
          <xm:sqref>N15:O15 N31:O31 N48:O48 N39:O39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pageSetUpPr fitToPage="1"/>
  </sheetPr>
  <dimension ref="B1:O109"/>
  <sheetViews>
    <sheetView showGridLines="0" zoomScaleNormal="100" workbookViewId="0">
      <selection activeCell="B2" sqref="B2:O2"/>
    </sheetView>
  </sheetViews>
  <sheetFormatPr defaultColWidth="9.42578125" defaultRowHeight="14.25" x14ac:dyDescent="0.2"/>
  <cols>
    <col min="1" max="1" width="4.42578125" style="231" customWidth="1"/>
    <col min="2" max="15" width="9.42578125" style="231" customWidth="1"/>
    <col min="16" max="16384" width="9.42578125" style="231"/>
  </cols>
  <sheetData>
    <row r="1" spans="2:15" s="36" customFormat="1" ht="15" customHeight="1" x14ac:dyDescent="0.2">
      <c r="B1" s="960" t="str">
        <f>Instructions!$H$2</f>
        <v>p-sbap5-20  •  7/28/2025</v>
      </c>
      <c r="C1" s="960"/>
      <c r="D1" s="960"/>
      <c r="E1" s="960"/>
      <c r="F1" s="960"/>
      <c r="G1" s="960"/>
      <c r="H1" s="960"/>
      <c r="I1" s="960"/>
      <c r="J1" s="960"/>
      <c r="K1" s="960"/>
      <c r="L1" s="960"/>
      <c r="M1" s="960"/>
      <c r="N1" s="960"/>
      <c r="O1" s="960"/>
    </row>
    <row r="2" spans="2:15" s="36" customFormat="1" ht="19.5" thickBot="1" x14ac:dyDescent="0.25">
      <c r="B2" s="985" t="s">
        <v>412</v>
      </c>
      <c r="C2" s="985"/>
      <c r="D2" s="985"/>
      <c r="E2" s="985"/>
      <c r="F2" s="985"/>
      <c r="G2" s="985"/>
      <c r="H2" s="985"/>
      <c r="I2" s="985"/>
      <c r="J2" s="985"/>
      <c r="K2" s="985"/>
      <c r="L2" s="985"/>
      <c r="M2" s="985"/>
      <c r="N2" s="985"/>
      <c r="O2" s="985"/>
    </row>
    <row r="3" spans="2:15" s="390" customFormat="1" ht="24" customHeight="1" x14ac:dyDescent="0.25">
      <c r="B3" s="986" t="s">
        <v>437</v>
      </c>
      <c r="C3" s="986"/>
      <c r="D3" s="986"/>
      <c r="E3" s="986"/>
      <c r="F3" s="986"/>
      <c r="G3" s="986"/>
      <c r="H3" s="986"/>
      <c r="I3" s="986"/>
      <c r="J3" s="986"/>
      <c r="K3" s="986"/>
      <c r="L3" s="986"/>
      <c r="M3" s="986"/>
      <c r="N3" s="986"/>
      <c r="O3" s="986"/>
    </row>
    <row r="4" spans="2:15" s="36" customFormat="1" ht="15" customHeight="1" x14ac:dyDescent="0.2">
      <c r="B4" s="987"/>
      <c r="C4" s="987"/>
      <c r="D4" s="987"/>
      <c r="E4" s="987"/>
      <c r="F4" s="987"/>
      <c r="G4" s="987"/>
      <c r="H4" s="987"/>
      <c r="I4" s="987"/>
      <c r="J4" s="987"/>
      <c r="K4" s="987"/>
      <c r="L4" s="987"/>
      <c r="M4" s="987"/>
      <c r="N4" s="987"/>
      <c r="O4" s="987"/>
    </row>
    <row r="5" spans="2:15" s="36" customFormat="1" ht="15" customHeight="1" x14ac:dyDescent="0.2">
      <c r="B5" s="967" t="s">
        <v>432</v>
      </c>
      <c r="C5" s="967"/>
      <c r="D5" s="967"/>
      <c r="E5" s="967"/>
      <c r="F5" s="967"/>
      <c r="G5" s="967"/>
      <c r="H5" s="967"/>
      <c r="I5" s="967"/>
      <c r="J5" s="967"/>
      <c r="K5" s="967"/>
      <c r="L5" s="967"/>
      <c r="M5" s="967"/>
      <c r="N5" s="967"/>
      <c r="O5" s="967"/>
    </row>
    <row r="6" spans="2:15" s="36" customFormat="1" ht="15" customHeight="1" x14ac:dyDescent="0.2">
      <c r="B6" s="971" t="s">
        <v>438</v>
      </c>
      <c r="C6" s="971"/>
      <c r="D6" s="971"/>
      <c r="E6" s="971"/>
      <c r="F6" s="971"/>
      <c r="G6" s="971"/>
      <c r="H6" s="971"/>
      <c r="I6" s="971"/>
      <c r="J6" s="971"/>
      <c r="K6" s="971"/>
      <c r="L6" s="971"/>
      <c r="M6" s="971"/>
      <c r="N6" s="971"/>
      <c r="O6" s="971"/>
    </row>
    <row r="7" spans="2:15" s="36" customFormat="1" ht="15" customHeight="1" x14ac:dyDescent="0.2">
      <c r="B7" s="971"/>
      <c r="C7" s="971"/>
      <c r="D7" s="971"/>
      <c r="E7" s="971"/>
      <c r="F7" s="971"/>
      <c r="G7" s="971"/>
      <c r="H7" s="971"/>
      <c r="I7" s="971"/>
      <c r="J7" s="971"/>
      <c r="K7" s="971"/>
      <c r="L7" s="971"/>
      <c r="M7" s="971"/>
      <c r="N7" s="971"/>
      <c r="O7" s="971"/>
    </row>
    <row r="8" spans="2:15" s="36" customFormat="1" ht="15" customHeight="1" x14ac:dyDescent="0.2">
      <c r="B8" s="988" t="s">
        <v>801</v>
      </c>
      <c r="C8" s="988"/>
      <c r="D8" s="988"/>
      <c r="E8" s="988"/>
      <c r="F8" s="988"/>
      <c r="G8" s="988"/>
      <c r="H8" s="988"/>
      <c r="I8" s="988"/>
      <c r="J8" s="988"/>
      <c r="K8" s="988"/>
      <c r="L8" s="988"/>
      <c r="M8" s="988"/>
      <c r="N8" s="988"/>
      <c r="O8" s="988"/>
    </row>
    <row r="9" spans="2:15" s="36" customFormat="1" ht="15" customHeight="1" x14ac:dyDescent="0.2">
      <c r="B9" s="968"/>
      <c r="C9" s="968"/>
      <c r="D9" s="968"/>
      <c r="E9" s="968"/>
      <c r="F9" s="968"/>
      <c r="G9" s="968"/>
      <c r="H9" s="968"/>
      <c r="I9" s="968"/>
      <c r="J9" s="968"/>
      <c r="K9" s="968"/>
      <c r="L9" s="968"/>
      <c r="M9" s="968"/>
      <c r="N9" s="968"/>
      <c r="O9" s="968"/>
    </row>
    <row r="10" spans="2:15" s="36" customFormat="1" ht="15" customHeight="1" x14ac:dyDescent="0.2">
      <c r="B10" s="968"/>
      <c r="C10" s="968"/>
      <c r="D10" s="968"/>
      <c r="E10" s="968"/>
      <c r="F10" s="968"/>
      <c r="G10" s="968"/>
      <c r="H10" s="968"/>
      <c r="I10" s="968"/>
      <c r="J10" s="968"/>
      <c r="K10" s="968"/>
      <c r="L10" s="968"/>
      <c r="M10" s="968"/>
      <c r="N10" s="968"/>
      <c r="O10" s="968"/>
    </row>
    <row r="11" spans="2:15" s="36" customFormat="1" ht="15" customHeight="1" x14ac:dyDescent="0.2">
      <c r="B11" s="967" t="s">
        <v>427</v>
      </c>
      <c r="C11" s="967"/>
      <c r="D11" s="967"/>
      <c r="E11" s="967"/>
      <c r="F11" s="967"/>
      <c r="G11" s="967"/>
      <c r="H11" s="967"/>
      <c r="I11" s="967"/>
      <c r="J11" s="967"/>
      <c r="K11" s="967"/>
      <c r="L11" s="967"/>
      <c r="M11" s="967"/>
      <c r="N11" s="967"/>
      <c r="O11" s="967"/>
    </row>
    <row r="12" spans="2:15" s="36" customFormat="1" ht="15" customHeight="1" x14ac:dyDescent="0.2">
      <c r="B12" s="984" t="s">
        <v>433</v>
      </c>
      <c r="C12" s="984"/>
      <c r="D12" s="984"/>
      <c r="E12" s="984"/>
      <c r="F12" s="984"/>
      <c r="G12" s="984"/>
      <c r="H12" s="984"/>
      <c r="I12" s="984"/>
      <c r="J12" s="984"/>
      <c r="K12" s="984"/>
      <c r="L12" s="984"/>
      <c r="M12" s="984"/>
      <c r="N12" s="984"/>
      <c r="O12" s="984"/>
    </row>
    <row r="13" spans="2:15" s="36" customFormat="1" ht="15" customHeight="1" x14ac:dyDescent="0.2">
      <c r="B13" s="382"/>
      <c r="C13" s="391" t="s">
        <v>428</v>
      </c>
      <c r="D13" s="982" t="s">
        <v>443</v>
      </c>
      <c r="E13" s="982"/>
      <c r="F13" s="982"/>
      <c r="G13" s="982"/>
      <c r="H13" s="982"/>
      <c r="I13" s="982"/>
      <c r="J13" s="982" t="s">
        <v>444</v>
      </c>
      <c r="K13" s="982"/>
      <c r="L13" s="982"/>
      <c r="M13" s="982"/>
      <c r="N13" s="982"/>
      <c r="O13" s="982"/>
    </row>
    <row r="14" spans="2:15" s="36" customFormat="1" ht="15" customHeight="1" x14ac:dyDescent="0.2">
      <c r="B14" s="382"/>
      <c r="C14" s="392"/>
      <c r="D14" s="982"/>
      <c r="E14" s="982"/>
      <c r="F14" s="982"/>
      <c r="G14" s="982"/>
      <c r="H14" s="982"/>
      <c r="I14" s="982"/>
      <c r="J14" s="982"/>
      <c r="K14" s="982"/>
      <c r="L14" s="982"/>
      <c r="M14" s="982"/>
      <c r="N14" s="982"/>
      <c r="O14" s="982"/>
    </row>
    <row r="15" spans="2:15" s="36" customFormat="1" ht="15" customHeight="1" x14ac:dyDescent="0.2">
      <c r="B15" s="382"/>
      <c r="C15" s="383"/>
      <c r="D15" s="982"/>
      <c r="E15" s="982"/>
      <c r="F15" s="982"/>
      <c r="G15" s="982"/>
      <c r="H15" s="982"/>
      <c r="I15" s="982"/>
      <c r="J15" s="982"/>
      <c r="K15" s="982"/>
      <c r="L15" s="982"/>
      <c r="M15" s="982"/>
      <c r="N15" s="982"/>
      <c r="O15" s="982"/>
    </row>
    <row r="16" spans="2:15" s="36" customFormat="1" ht="15" customHeight="1" x14ac:dyDescent="0.2">
      <c r="B16" s="382"/>
      <c r="C16" s="384"/>
      <c r="D16" s="983"/>
      <c r="E16" s="983"/>
      <c r="F16" s="983"/>
      <c r="G16" s="983"/>
      <c r="H16" s="983"/>
      <c r="I16" s="983"/>
      <c r="J16" s="983"/>
      <c r="K16" s="983"/>
      <c r="L16" s="983"/>
      <c r="M16" s="983"/>
      <c r="N16" s="983"/>
      <c r="O16" s="983"/>
    </row>
    <row r="17" spans="2:15" s="36" customFormat="1" ht="15" customHeight="1" x14ac:dyDescent="0.2">
      <c r="B17" s="382"/>
      <c r="C17" s="393" t="s">
        <v>429</v>
      </c>
      <c r="D17" s="976" t="s">
        <v>445</v>
      </c>
      <c r="E17" s="976"/>
      <c r="F17" s="976"/>
      <c r="G17" s="976"/>
      <c r="H17" s="976"/>
      <c r="I17" s="976"/>
      <c r="J17" s="976"/>
      <c r="K17" s="976"/>
      <c r="L17" s="976"/>
      <c r="M17" s="976"/>
      <c r="N17" s="976"/>
      <c r="O17" s="976"/>
    </row>
    <row r="18" spans="2:15" s="36" customFormat="1" ht="15" customHeight="1" x14ac:dyDescent="0.2">
      <c r="B18" s="382"/>
      <c r="C18" s="392"/>
      <c r="D18" s="977"/>
      <c r="E18" s="977"/>
      <c r="F18" s="977"/>
      <c r="G18" s="977"/>
      <c r="H18" s="977"/>
      <c r="I18" s="977"/>
      <c r="J18" s="977"/>
      <c r="K18" s="977"/>
      <c r="L18" s="977"/>
      <c r="M18" s="977"/>
      <c r="N18" s="977"/>
      <c r="O18" s="977"/>
    </row>
    <row r="19" spans="2:15" s="36" customFormat="1" ht="15" customHeight="1" x14ac:dyDescent="0.2">
      <c r="B19" s="382"/>
      <c r="C19" s="383"/>
      <c r="D19" s="977"/>
      <c r="E19" s="977"/>
      <c r="F19" s="977"/>
      <c r="G19" s="977"/>
      <c r="H19" s="977"/>
      <c r="I19" s="977"/>
      <c r="J19" s="977"/>
      <c r="K19" s="977"/>
      <c r="L19" s="977"/>
      <c r="M19" s="977"/>
      <c r="N19" s="977"/>
      <c r="O19" s="977"/>
    </row>
    <row r="20" spans="2:15" s="36" customFormat="1" ht="15" customHeight="1" x14ac:dyDescent="0.2">
      <c r="B20" s="382"/>
      <c r="C20" s="384"/>
      <c r="D20" s="978"/>
      <c r="E20" s="978"/>
      <c r="F20" s="978"/>
      <c r="G20" s="978"/>
      <c r="H20" s="978"/>
      <c r="I20" s="978"/>
      <c r="J20" s="978"/>
      <c r="K20" s="978"/>
      <c r="L20" s="978"/>
      <c r="M20" s="978"/>
      <c r="N20" s="978"/>
      <c r="O20" s="978"/>
    </row>
    <row r="21" spans="2:15" s="36" customFormat="1" ht="15" customHeight="1" x14ac:dyDescent="0.2">
      <c r="B21" s="382"/>
      <c r="C21" s="385" t="s">
        <v>430</v>
      </c>
      <c r="D21" s="975" t="s">
        <v>446</v>
      </c>
      <c r="E21" s="975"/>
      <c r="F21" s="975"/>
      <c r="G21" s="975"/>
      <c r="H21" s="975"/>
      <c r="I21" s="975"/>
      <c r="J21" s="975"/>
      <c r="K21" s="975"/>
      <c r="L21" s="975"/>
      <c r="M21" s="975"/>
      <c r="N21" s="975"/>
      <c r="O21" s="975"/>
    </row>
    <row r="22" spans="2:15" s="36" customFormat="1" ht="15" customHeight="1" x14ac:dyDescent="0.2">
      <c r="B22" s="382"/>
      <c r="C22" s="980" t="s">
        <v>439</v>
      </c>
      <c r="D22" s="980"/>
      <c r="E22" s="980"/>
      <c r="F22" s="980"/>
      <c r="G22" s="980"/>
      <c r="H22" s="980"/>
      <c r="I22" s="980"/>
      <c r="J22" s="981" t="s">
        <v>431</v>
      </c>
      <c r="K22" s="981"/>
      <c r="L22" s="981"/>
      <c r="M22" s="981"/>
      <c r="N22" s="981"/>
      <c r="O22" s="981"/>
    </row>
    <row r="23" spans="2:15" s="36" customFormat="1" ht="15" customHeight="1" x14ac:dyDescent="0.2">
      <c r="B23" s="968"/>
      <c r="C23" s="968"/>
      <c r="D23" s="968"/>
      <c r="E23" s="968"/>
      <c r="F23" s="968"/>
      <c r="G23" s="968"/>
      <c r="H23" s="968"/>
      <c r="I23" s="968"/>
      <c r="J23" s="968"/>
      <c r="K23" s="968"/>
      <c r="L23" s="968"/>
      <c r="M23" s="968"/>
      <c r="N23" s="968"/>
      <c r="O23" s="968"/>
    </row>
    <row r="24" spans="2:15" s="36" customFormat="1" ht="15" customHeight="1" x14ac:dyDescent="0.2">
      <c r="B24" s="968"/>
      <c r="C24" s="968"/>
      <c r="D24" s="968"/>
      <c r="E24" s="968"/>
      <c r="F24" s="968"/>
      <c r="G24" s="968"/>
      <c r="H24" s="968"/>
      <c r="I24" s="968"/>
      <c r="J24" s="968"/>
      <c r="K24" s="968"/>
      <c r="L24" s="968"/>
      <c r="M24" s="968"/>
      <c r="N24" s="968"/>
      <c r="O24" s="968"/>
    </row>
    <row r="25" spans="2:15" s="36" customFormat="1" ht="15" customHeight="1" x14ac:dyDescent="0.2">
      <c r="B25" s="967" t="s">
        <v>421</v>
      </c>
      <c r="C25" s="967"/>
      <c r="D25" s="967"/>
      <c r="E25" s="967"/>
      <c r="F25" s="967"/>
      <c r="G25" s="967"/>
      <c r="H25" s="967"/>
      <c r="I25" s="967"/>
      <c r="J25" s="967"/>
      <c r="K25" s="967"/>
      <c r="L25" s="967"/>
      <c r="M25" s="967"/>
      <c r="N25" s="967"/>
      <c r="O25" s="967"/>
    </row>
    <row r="26" spans="2:15" s="36" customFormat="1" ht="15" customHeight="1" x14ac:dyDescent="0.2">
      <c r="B26" s="25" t="s">
        <v>254</v>
      </c>
      <c r="C26" s="386" t="s">
        <v>627</v>
      </c>
      <c r="D26" s="386"/>
      <c r="E26" s="386"/>
      <c r="F26" s="386"/>
      <c r="G26" s="386"/>
      <c r="H26" s="386"/>
      <c r="I26" s="386"/>
      <c r="J26" s="380"/>
      <c r="K26" s="381"/>
      <c r="L26" s="381"/>
      <c r="M26" s="381"/>
      <c r="N26" s="381"/>
      <c r="O26" s="381"/>
    </row>
    <row r="27" spans="2:15" s="36" customFormat="1" ht="15" customHeight="1" x14ac:dyDescent="0.2">
      <c r="B27" s="25" t="s">
        <v>255</v>
      </c>
      <c r="C27" s="971" t="s">
        <v>440</v>
      </c>
      <c r="D27" s="971"/>
      <c r="E27" s="971"/>
      <c r="F27" s="971"/>
      <c r="G27" s="971"/>
      <c r="H27" s="971"/>
      <c r="I27" s="971"/>
      <c r="J27" s="971"/>
      <c r="K27" s="971"/>
      <c r="L27" s="971"/>
      <c r="M27" s="971"/>
      <c r="N27" s="971"/>
      <c r="O27" s="971"/>
    </row>
    <row r="28" spans="2:15" s="36" customFormat="1" ht="15" customHeight="1" x14ac:dyDescent="0.2">
      <c r="B28" s="386"/>
      <c r="C28" s="971"/>
      <c r="D28" s="971"/>
      <c r="E28" s="971"/>
      <c r="F28" s="971"/>
      <c r="G28" s="971"/>
      <c r="H28" s="971"/>
      <c r="I28" s="971"/>
      <c r="J28" s="971"/>
      <c r="K28" s="971"/>
      <c r="L28" s="971"/>
      <c r="M28" s="971"/>
      <c r="N28" s="971"/>
      <c r="O28" s="971"/>
    </row>
    <row r="29" spans="2:15" s="36" customFormat="1" ht="15" customHeight="1" x14ac:dyDescent="0.2">
      <c r="B29" s="386"/>
      <c r="C29" s="387"/>
      <c r="D29" s="974" t="s">
        <v>422</v>
      </c>
      <c r="E29" s="974"/>
      <c r="F29" s="974" t="s">
        <v>36</v>
      </c>
      <c r="G29" s="974"/>
      <c r="H29" s="974" t="s">
        <v>424</v>
      </c>
      <c r="I29" s="974"/>
      <c r="J29" s="380"/>
      <c r="K29" s="931" t="s">
        <v>441</v>
      </c>
      <c r="L29" s="931"/>
      <c r="M29" s="931"/>
      <c r="N29" s="931"/>
      <c r="O29" s="931"/>
    </row>
    <row r="30" spans="2:15" s="36" customFormat="1" ht="15" customHeight="1" x14ac:dyDescent="0.2">
      <c r="B30" s="386"/>
      <c r="C30" s="387"/>
      <c r="D30" s="969" t="s">
        <v>183</v>
      </c>
      <c r="E30" s="970"/>
      <c r="F30" s="962">
        <v>0.99</v>
      </c>
      <c r="G30" s="979"/>
      <c r="H30" s="962">
        <v>0.93</v>
      </c>
      <c r="I30" s="963"/>
      <c r="J30" s="380"/>
      <c r="K30" s="931"/>
      <c r="L30" s="931"/>
      <c r="M30" s="931"/>
      <c r="N30" s="931"/>
      <c r="O30" s="931"/>
    </row>
    <row r="31" spans="2:15" s="36" customFormat="1" ht="15" customHeight="1" x14ac:dyDescent="0.2">
      <c r="B31" s="386"/>
      <c r="C31" s="386"/>
      <c r="D31" s="972" t="s">
        <v>423</v>
      </c>
      <c r="E31" s="973"/>
      <c r="F31" s="964">
        <v>0.94</v>
      </c>
      <c r="G31" s="965"/>
      <c r="H31" s="964">
        <v>0.84</v>
      </c>
      <c r="I31" s="966"/>
      <c r="J31" s="380"/>
      <c r="K31" s="941" t="s">
        <v>425</v>
      </c>
      <c r="L31" s="941"/>
      <c r="M31" s="941"/>
      <c r="N31" s="941"/>
      <c r="O31" s="941"/>
    </row>
    <row r="32" spans="2:15" s="36" customFormat="1" ht="15" customHeight="1" x14ac:dyDescent="0.2">
      <c r="B32" s="968"/>
      <c r="C32" s="968"/>
      <c r="D32" s="968"/>
      <c r="E32" s="968"/>
      <c r="F32" s="968"/>
      <c r="G32" s="968"/>
      <c r="H32" s="968"/>
      <c r="I32" s="968"/>
      <c r="J32" s="968"/>
      <c r="K32" s="968"/>
      <c r="L32" s="968"/>
      <c r="M32" s="968"/>
      <c r="N32" s="968"/>
      <c r="O32" s="968"/>
    </row>
    <row r="33" spans="2:15" ht="15" customHeight="1" x14ac:dyDescent="0.2">
      <c r="B33" s="968"/>
      <c r="C33" s="968"/>
      <c r="D33" s="968"/>
      <c r="E33" s="968"/>
      <c r="F33" s="968"/>
      <c r="G33" s="968"/>
      <c r="H33" s="968"/>
      <c r="I33" s="968"/>
      <c r="J33" s="968"/>
      <c r="K33" s="968"/>
      <c r="L33" s="968"/>
      <c r="M33" s="968"/>
      <c r="N33" s="968"/>
      <c r="O33" s="968"/>
    </row>
    <row r="34" spans="2:15" ht="15" customHeight="1" x14ac:dyDescent="0.2">
      <c r="B34" s="967" t="s">
        <v>426</v>
      </c>
      <c r="C34" s="967"/>
      <c r="D34" s="967"/>
      <c r="E34" s="967"/>
      <c r="F34" s="967"/>
      <c r="G34" s="967"/>
      <c r="H34" s="967"/>
      <c r="I34" s="967"/>
      <c r="J34" s="967"/>
      <c r="K34" s="967"/>
      <c r="L34" s="967"/>
      <c r="M34" s="967"/>
      <c r="N34" s="967"/>
      <c r="O34" s="967"/>
    </row>
    <row r="35" spans="2:15" ht="15" customHeight="1" x14ac:dyDescent="0.2">
      <c r="B35" s="25" t="s">
        <v>254</v>
      </c>
      <c r="C35" s="961" t="s">
        <v>628</v>
      </c>
      <c r="D35" s="961"/>
      <c r="E35" s="961"/>
      <c r="F35" s="961"/>
      <c r="G35" s="961"/>
      <c r="H35" s="961"/>
      <c r="I35" s="961"/>
      <c r="J35" s="961"/>
      <c r="K35" s="961"/>
      <c r="L35" s="941" t="s">
        <v>634</v>
      </c>
      <c r="M35" s="941"/>
      <c r="N35" s="388"/>
      <c r="O35" s="379"/>
    </row>
    <row r="36" spans="2:15" ht="15" customHeight="1" x14ac:dyDescent="0.2">
      <c r="B36" s="386"/>
      <c r="C36" s="386"/>
      <c r="D36" s="386"/>
      <c r="E36" s="386"/>
      <c r="F36" s="386"/>
      <c r="G36" s="386"/>
      <c r="H36" s="386"/>
      <c r="I36" s="386"/>
      <c r="J36" s="380"/>
      <c r="K36" s="389"/>
      <c r="L36" s="389"/>
      <c r="M36" s="389"/>
      <c r="N36" s="389"/>
      <c r="O36" s="389"/>
    </row>
    <row r="37" spans="2:15" ht="15" customHeight="1" x14ac:dyDescent="0.2">
      <c r="B37" s="369"/>
      <c r="C37" s="369"/>
      <c r="D37" s="369"/>
      <c r="E37" s="369"/>
      <c r="F37" s="369"/>
      <c r="G37" s="369"/>
      <c r="H37" s="369"/>
      <c r="I37" s="369"/>
      <c r="J37" s="368"/>
      <c r="K37" s="365"/>
      <c r="L37" s="365"/>
      <c r="M37" s="365"/>
      <c r="N37" s="365"/>
      <c r="O37" s="365"/>
    </row>
    <row r="38" spans="2:15" ht="15" customHeight="1" x14ac:dyDescent="0.2">
      <c r="B38" s="369"/>
      <c r="C38" s="369"/>
      <c r="D38" s="369"/>
      <c r="E38" s="369"/>
      <c r="F38" s="369"/>
      <c r="G38" s="369"/>
      <c r="H38" s="369"/>
      <c r="I38" s="369"/>
      <c r="J38" s="368"/>
      <c r="K38" s="365"/>
      <c r="L38" s="365"/>
      <c r="M38" s="365"/>
      <c r="N38" s="365"/>
      <c r="O38" s="365"/>
    </row>
    <row r="39" spans="2:15" ht="15" customHeight="1" x14ac:dyDescent="0.2">
      <c r="B39" s="368"/>
      <c r="C39" s="368"/>
      <c r="D39" s="368"/>
      <c r="E39" s="368"/>
      <c r="F39" s="368"/>
      <c r="G39" s="368"/>
      <c r="H39" s="368"/>
      <c r="I39" s="368"/>
      <c r="J39" s="368"/>
      <c r="K39" s="365"/>
      <c r="L39" s="365"/>
      <c r="M39" s="365"/>
      <c r="N39" s="365"/>
      <c r="O39" s="365"/>
    </row>
    <row r="40" spans="2:15" ht="15" customHeight="1" x14ac:dyDescent="0.2">
      <c r="B40" s="368"/>
      <c r="C40" s="368"/>
      <c r="D40" s="368"/>
      <c r="E40" s="368"/>
      <c r="F40" s="368"/>
      <c r="G40" s="368"/>
      <c r="H40" s="368"/>
      <c r="I40" s="368"/>
      <c r="J40" s="368"/>
      <c r="K40" s="365"/>
      <c r="L40" s="365"/>
      <c r="M40" s="365"/>
      <c r="N40" s="365"/>
      <c r="O40" s="365"/>
    </row>
    <row r="41" spans="2:15" ht="15" customHeight="1" x14ac:dyDescent="0.2">
      <c r="B41" s="368"/>
      <c r="C41" s="368"/>
      <c r="D41" s="368"/>
      <c r="E41" s="368"/>
      <c r="F41" s="368"/>
      <c r="G41" s="368"/>
      <c r="H41" s="368"/>
      <c r="I41" s="368"/>
      <c r="J41" s="368"/>
      <c r="K41" s="365"/>
      <c r="L41" s="365"/>
      <c r="M41" s="365"/>
      <c r="N41" s="365"/>
      <c r="O41" s="365"/>
    </row>
    <row r="42" spans="2:15" ht="15" customHeight="1" x14ac:dyDescent="0.2">
      <c r="B42" s="368"/>
      <c r="C42" s="368"/>
      <c r="D42" s="368"/>
      <c r="E42" s="368"/>
      <c r="F42" s="368"/>
      <c r="G42" s="368"/>
      <c r="H42" s="368"/>
      <c r="I42" s="368"/>
      <c r="J42" s="368"/>
      <c r="K42" s="365"/>
      <c r="L42" s="365"/>
      <c r="M42" s="365"/>
      <c r="N42" s="365"/>
      <c r="O42" s="365"/>
    </row>
    <row r="43" spans="2:15" ht="15" customHeight="1" x14ac:dyDescent="0.2">
      <c r="B43" s="368"/>
      <c r="C43" s="368"/>
      <c r="D43" s="368"/>
      <c r="E43" s="368"/>
      <c r="F43" s="368"/>
      <c r="G43" s="368"/>
      <c r="H43" s="368"/>
      <c r="I43" s="368"/>
      <c r="J43" s="368"/>
      <c r="K43" s="365"/>
      <c r="L43" s="365"/>
      <c r="M43" s="365"/>
      <c r="N43" s="365"/>
      <c r="O43" s="365"/>
    </row>
    <row r="44" spans="2:15" ht="15" customHeight="1" x14ac:dyDescent="0.2">
      <c r="B44" s="368"/>
      <c r="C44" s="368"/>
      <c r="D44" s="368"/>
      <c r="E44" s="368"/>
      <c r="F44" s="368"/>
      <c r="G44" s="368"/>
      <c r="H44" s="368"/>
      <c r="I44" s="368"/>
      <c r="J44" s="368"/>
      <c r="K44" s="365"/>
      <c r="L44" s="365"/>
      <c r="M44" s="365"/>
      <c r="N44" s="365"/>
      <c r="O44" s="365"/>
    </row>
    <row r="45" spans="2:15" ht="15" customHeight="1" x14ac:dyDescent="0.2">
      <c r="B45" s="368"/>
      <c r="C45" s="368"/>
      <c r="D45" s="368"/>
      <c r="E45" s="368"/>
      <c r="F45" s="368"/>
      <c r="G45" s="368"/>
      <c r="H45" s="368"/>
      <c r="I45" s="368"/>
      <c r="J45" s="368"/>
      <c r="K45" s="365"/>
      <c r="L45" s="365"/>
      <c r="M45" s="365"/>
      <c r="N45" s="365"/>
      <c r="O45" s="365"/>
    </row>
    <row r="46" spans="2:15" ht="15" customHeight="1" x14ac:dyDescent="0.2">
      <c r="B46" s="368"/>
      <c r="C46" s="368"/>
      <c r="D46" s="368"/>
      <c r="E46" s="368"/>
      <c r="F46" s="368"/>
      <c r="G46" s="368"/>
      <c r="H46" s="368"/>
      <c r="I46" s="368"/>
      <c r="J46" s="368"/>
      <c r="K46" s="365"/>
      <c r="L46" s="365"/>
      <c r="M46" s="365"/>
      <c r="N46" s="365"/>
      <c r="O46" s="365"/>
    </row>
    <row r="47" spans="2:15" ht="15" customHeight="1" x14ac:dyDescent="0.2"/>
    <row r="48" spans="2:15"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sheetData>
  <protectedRanges>
    <protectedRange sqref="B47:J290 A33:A276 D13:D14 B1 K31 K5:O10 P30:AM276 M31 Q1:Q22 K32:O290 K26:M30 N26:O31 Q24:Q29 R1:AM29 P1:P29 K1:N2 O2" name="Writingspace"/>
  </protectedRanges>
  <mergeCells count="34">
    <mergeCell ref="B2:O2"/>
    <mergeCell ref="B6:O7"/>
    <mergeCell ref="B9:O10"/>
    <mergeCell ref="B5:O5"/>
    <mergeCell ref="B3:O3"/>
    <mergeCell ref="B4:O4"/>
    <mergeCell ref="B8:O8"/>
    <mergeCell ref="D13:I16"/>
    <mergeCell ref="J13:O16"/>
    <mergeCell ref="B12:O12"/>
    <mergeCell ref="B23:O24"/>
    <mergeCell ref="B25:O25"/>
    <mergeCell ref="F29:G29"/>
    <mergeCell ref="D17:O20"/>
    <mergeCell ref="H29:I29"/>
    <mergeCell ref="F30:G30"/>
    <mergeCell ref="C22:I22"/>
    <mergeCell ref="J22:O22"/>
    <mergeCell ref="B1:O1"/>
    <mergeCell ref="C35:K35"/>
    <mergeCell ref="L35:M35"/>
    <mergeCell ref="K29:O30"/>
    <mergeCell ref="K31:O31"/>
    <mergeCell ref="H30:I30"/>
    <mergeCell ref="F31:G31"/>
    <mergeCell ref="H31:I31"/>
    <mergeCell ref="B34:O34"/>
    <mergeCell ref="B32:O33"/>
    <mergeCell ref="D30:E30"/>
    <mergeCell ref="B11:O11"/>
    <mergeCell ref="C27:O28"/>
    <mergeCell ref="D31:E31"/>
    <mergeCell ref="D29:E29"/>
    <mergeCell ref="D21:O21"/>
  </mergeCells>
  <hyperlinks>
    <hyperlink ref="K31:M31" r:id="rId1" display="Minn. R. 7011.0070" xr:uid="{00000000-0004-0000-0200-000000000000}"/>
    <hyperlink ref="B8:K8" r:id="rId2" display="https://www.pca.state.mn.us/quick-links/hot-mix-asphalt-plants-complying-air-requirements" xr:uid="{00000000-0004-0000-0200-000001000000}"/>
    <hyperlink ref="B8" r:id="rId3" xr:uid="{00000000-0004-0000-0200-000002000000}"/>
    <hyperlink ref="J22:O22" r:id="rId4" display="See requirements in Minn. R. 7011.0913" xr:uid="{00000000-0004-0000-0200-000003000000}"/>
    <hyperlink ref="L35:M35" r:id="rId5" display="Minn. R. 7011.0922" xr:uid="{00000000-0004-0000-0200-000004000000}"/>
  </hyperlinks>
  <pageMargins left="0.25" right="0.25" top="0.5" bottom="0.5" header="0.3" footer="0.3"/>
  <pageSetup orientation="landscape" verticalDpi="1200" r:id="rId6"/>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tabColor rgb="FFD1EAFF"/>
  </sheetPr>
  <dimension ref="A1:W198"/>
  <sheetViews>
    <sheetView showGridLines="0" zoomScaleNormal="100" zoomScaleSheetLayoutView="100" zoomScalePageLayoutView="85" workbookViewId="0">
      <selection activeCell="B2" sqref="B2:J2"/>
    </sheetView>
  </sheetViews>
  <sheetFormatPr defaultColWidth="9.42578125" defaultRowHeight="15" x14ac:dyDescent="0.25"/>
  <cols>
    <col min="1" max="1" width="5.42578125" style="2" customWidth="1"/>
    <col min="2" max="2" width="26.5703125" style="2" customWidth="1"/>
    <col min="3" max="3" width="7.5703125" style="2" customWidth="1"/>
    <col min="4" max="4" width="14.42578125" style="2" customWidth="1"/>
    <col min="5" max="6" width="16.5703125" style="2" customWidth="1"/>
    <col min="7" max="10" width="17.42578125" style="2" customWidth="1"/>
    <col min="11" max="12" width="9.42578125" style="2"/>
    <col min="13" max="13" width="11.140625" style="2" customWidth="1"/>
    <col min="14" max="14" width="4.42578125" style="2" customWidth="1"/>
    <col min="15" max="15" width="11.140625" style="2" customWidth="1"/>
    <col min="16" max="16" width="4.42578125" style="2" customWidth="1"/>
    <col min="17" max="17" width="11.140625" style="2" customWidth="1"/>
    <col min="18" max="18" width="4.42578125" style="2" customWidth="1"/>
    <col min="19" max="19" width="11.140625" style="2" customWidth="1"/>
    <col min="20" max="20" width="4.42578125" style="2" customWidth="1"/>
    <col min="21" max="21" width="11" style="2" customWidth="1"/>
    <col min="22" max="22" width="4.42578125" style="2" customWidth="1"/>
    <col min="23" max="16384" width="9.42578125" style="2"/>
  </cols>
  <sheetData>
    <row r="1" spans="1:23" x14ac:dyDescent="0.25">
      <c r="B1" s="669"/>
      <c r="C1" s="669"/>
      <c r="D1" s="669"/>
      <c r="E1" s="669"/>
      <c r="F1" s="669"/>
      <c r="G1" s="669"/>
      <c r="H1" s="669"/>
      <c r="I1" s="669"/>
      <c r="J1" s="671" t="str">
        <f>Instructions!$H$2</f>
        <v>p-sbap5-20  •  7/28/2025</v>
      </c>
    </row>
    <row r="2" spans="1:23" ht="19.5" thickBot="1" x14ac:dyDescent="0.3">
      <c r="B2" s="920" t="s">
        <v>170</v>
      </c>
      <c r="C2" s="920"/>
      <c r="D2" s="920"/>
      <c r="E2" s="920"/>
      <c r="F2" s="920"/>
      <c r="G2" s="920"/>
      <c r="H2" s="920"/>
      <c r="I2" s="920"/>
      <c r="J2" s="920"/>
    </row>
    <row r="3" spans="1:23" s="26" customFormat="1" ht="15" customHeight="1" x14ac:dyDescent="0.25">
      <c r="B3" s="1007" t="s">
        <v>629</v>
      </c>
      <c r="C3" s="1007"/>
      <c r="D3" s="1007"/>
      <c r="E3" s="1007"/>
      <c r="F3" s="1007"/>
      <c r="G3" s="1007"/>
      <c r="H3" s="1007"/>
      <c r="I3" s="1007"/>
      <c r="J3" s="1007"/>
      <c r="L3" s="737" t="s">
        <v>803</v>
      </c>
      <c r="M3" s="2"/>
      <c r="N3" s="2"/>
      <c r="O3" s="2"/>
      <c r="P3" s="2"/>
    </row>
    <row r="4" spans="1:23" s="50" customFormat="1" ht="15" customHeight="1" x14ac:dyDescent="0.2">
      <c r="C4" s="48"/>
      <c r="D4" s="49" t="s">
        <v>639</v>
      </c>
      <c r="E4" s="1008"/>
      <c r="F4" s="1008"/>
      <c r="G4" s="991" t="s">
        <v>447</v>
      </c>
      <c r="H4" s="992"/>
      <c r="I4" s="993"/>
      <c r="J4" s="397" t="s">
        <v>448</v>
      </c>
      <c r="L4" s="357" t="s">
        <v>802</v>
      </c>
      <c r="M4" s="357"/>
      <c r="N4" s="357"/>
      <c r="O4" s="357"/>
      <c r="P4" s="357"/>
      <c r="Q4" s="357"/>
      <c r="R4" s="357"/>
      <c r="S4" s="357"/>
      <c r="T4" s="357"/>
      <c r="U4" s="357"/>
      <c r="V4" s="357"/>
      <c r="W4" s="357"/>
    </row>
    <row r="5" spans="1:23" s="21" customFormat="1" ht="15" customHeight="1" x14ac:dyDescent="0.2">
      <c r="C5" s="989" t="s">
        <v>184</v>
      </c>
      <c r="D5" s="989"/>
      <c r="E5" s="1005" t="s">
        <v>103</v>
      </c>
      <c r="F5" s="1005"/>
      <c r="G5" s="994" t="str">
        <f>IF(J4="Choose which one"," ","Then, choose this as your fuel type -------&gt;")</f>
        <v xml:space="preserve"> </v>
      </c>
      <c r="H5" s="995"/>
      <c r="I5" s="996"/>
      <c r="J5" s="999" t="str">
        <f>IF(J4="Choose which one"," ",IF(OR(J4='Data Validation'!B20,OR(J4='Data Validation'!B21,J4='Data Validation'!B22)),'Data Validation'!C20,IF(OR(J4='Data Validation'!B23,OR(J4='Data Validation'!B27,OR(J4='Data Validation'!B28,J4='Data Validation'!B29))),'Data Validation'!C23,IF(OR(J4='Data Validation'!B24,OR(J4='Data Validation'!B25,J4='Data Validation'!B26)),'Data Validation'!C24))))</f>
        <v xml:space="preserve"> </v>
      </c>
      <c r="L5" s="357" t="s">
        <v>804</v>
      </c>
      <c r="M5" s="357"/>
      <c r="N5" s="357"/>
      <c r="O5" s="357"/>
      <c r="P5" s="357"/>
      <c r="Q5" s="357"/>
      <c r="R5" s="357"/>
      <c r="S5" s="357"/>
      <c r="T5" s="357"/>
      <c r="U5" s="357"/>
    </row>
    <row r="6" spans="1:23" s="21" customFormat="1" ht="15" customHeight="1" x14ac:dyDescent="0.2">
      <c r="B6" s="989" t="s">
        <v>185</v>
      </c>
      <c r="C6" s="989"/>
      <c r="D6" s="990"/>
      <c r="E6" s="1005" t="s">
        <v>103</v>
      </c>
      <c r="F6" s="1005"/>
      <c r="G6" s="997" t="str">
        <f>IF(J4="Choose which one"," ","&lt;------------------------------------------- Choose from drop-down list")</f>
        <v xml:space="preserve"> </v>
      </c>
      <c r="H6" s="944"/>
      <c r="I6" s="998"/>
      <c r="J6" s="1000"/>
      <c r="L6" s="734" t="s">
        <v>805</v>
      </c>
      <c r="M6" s="357" t="s">
        <v>806</v>
      </c>
      <c r="N6" s="357"/>
      <c r="O6" s="357"/>
      <c r="P6" s="357"/>
      <c r="Q6" s="357"/>
      <c r="R6" s="357"/>
    </row>
    <row r="7" spans="1:23" s="21" customFormat="1" ht="15" customHeight="1" x14ac:dyDescent="0.2">
      <c r="B7" s="989" t="s">
        <v>225</v>
      </c>
      <c r="C7" s="989"/>
      <c r="D7" s="990"/>
      <c r="E7" s="53"/>
      <c r="F7" s="372" t="s">
        <v>186</v>
      </c>
      <c r="L7" s="734" t="s">
        <v>807</v>
      </c>
      <c r="M7" s="357" t="s">
        <v>808</v>
      </c>
      <c r="N7" s="357"/>
      <c r="O7" s="357"/>
      <c r="P7" s="357"/>
      <c r="Q7" s="357"/>
      <c r="R7" s="357"/>
    </row>
    <row r="8" spans="1:23" s="21" customFormat="1" ht="15" customHeight="1" x14ac:dyDescent="0.2">
      <c r="B8" s="1011" t="s">
        <v>451</v>
      </c>
      <c r="C8" s="1012"/>
      <c r="D8" s="1013"/>
      <c r="E8" s="53"/>
      <c r="F8" s="51" t="str">
        <f>IF(B8='Data Validation'!B44," ",IF(B8='Data Validation'!B45,'Data Validation'!C45,IF(B8='Data Validation'!B46,'Data Validation'!C46)))</f>
        <v xml:space="preserve"> </v>
      </c>
      <c r="L8" s="734" t="s">
        <v>809</v>
      </c>
      <c r="M8" s="357" t="s">
        <v>810</v>
      </c>
      <c r="N8" s="357"/>
      <c r="O8" s="357"/>
      <c r="P8" s="357"/>
      <c r="Q8" s="357"/>
      <c r="R8" s="357"/>
    </row>
    <row r="9" spans="1:23" s="21" customFormat="1" ht="15" customHeight="1" x14ac:dyDescent="0.2">
      <c r="B9" s="989" t="s">
        <v>873</v>
      </c>
      <c r="C9" s="989"/>
      <c r="D9" s="990"/>
      <c r="E9" s="53"/>
      <c r="F9" s="51" t="str">
        <f>IF(E6="Choose one","",IF(AND(E6="Natural gas",OR(J4="Choose which one",OR(J4="Methane",J4="Butane"))),"E6FT3/hr","1000gal/hr"))</f>
        <v/>
      </c>
      <c r="N9" s="735"/>
      <c r="O9" s="735"/>
      <c r="P9" s="370"/>
      <c r="Q9" s="26"/>
      <c r="R9" s="26"/>
      <c r="S9" s="26"/>
      <c r="T9" s="26"/>
      <c r="U9" s="26"/>
      <c r="V9" s="26"/>
    </row>
    <row r="10" spans="1:23" s="26" customFormat="1" ht="15" customHeight="1" x14ac:dyDescent="0.2">
      <c r="A10" s="21"/>
      <c r="B10" s="989" t="s">
        <v>872</v>
      </c>
      <c r="C10" s="989"/>
      <c r="D10" s="990"/>
      <c r="E10" s="53"/>
      <c r="F10" s="51" t="str">
        <f>IF(E6="Choose one","",IF(AND(E6="Natural gas",OR(J4="Choose which one",OR(J4="Methane",J4="Butane"))),"lb/E6FT3","lb/1000gal"))</f>
        <v/>
      </c>
      <c r="G10" s="21"/>
      <c r="H10" s="21"/>
      <c r="I10" s="21"/>
      <c r="J10" s="21"/>
      <c r="L10" s="945" t="s">
        <v>811</v>
      </c>
      <c r="M10" s="945"/>
      <c r="N10" s="945"/>
      <c r="O10" s="945"/>
      <c r="P10" s="945"/>
      <c r="Q10" s="945"/>
      <c r="R10" s="945"/>
      <c r="S10" s="945"/>
      <c r="T10" s="945"/>
      <c r="U10" s="945"/>
      <c r="V10" s="945"/>
      <c r="W10" s="945"/>
    </row>
    <row r="11" spans="1:23" s="21" customFormat="1" ht="15" customHeight="1" x14ac:dyDescent="0.2">
      <c r="B11" s="1015"/>
      <c r="C11" s="1015"/>
      <c r="D11" s="1015"/>
      <c r="E11" s="1015"/>
      <c r="F11" s="1015"/>
      <c r="G11" s="1015"/>
      <c r="L11" s="945"/>
      <c r="M11" s="945"/>
      <c r="N11" s="945"/>
      <c r="O11" s="945"/>
      <c r="P11" s="945"/>
      <c r="Q11" s="945"/>
      <c r="R11" s="945"/>
      <c r="S11" s="945"/>
      <c r="T11" s="945"/>
      <c r="U11" s="945"/>
      <c r="V11" s="945"/>
      <c r="W11" s="945"/>
    </row>
    <row r="12" spans="1:23" s="21" customFormat="1" ht="15" customHeight="1" x14ac:dyDescent="0.2">
      <c r="A12" s="26"/>
      <c r="B12" s="371" t="s">
        <v>630</v>
      </c>
      <c r="C12" s="371"/>
      <c r="D12" s="371"/>
      <c r="E12" s="371"/>
      <c r="F12" s="371"/>
      <c r="G12" s="371"/>
      <c r="H12" s="371"/>
      <c r="I12" s="371"/>
      <c r="J12" s="371"/>
      <c r="M12" s="743" t="s">
        <v>805</v>
      </c>
      <c r="N12" s="740"/>
      <c r="O12" s="743" t="s">
        <v>807</v>
      </c>
      <c r="P12" s="740"/>
      <c r="Q12" s="743" t="s">
        <v>823</v>
      </c>
      <c r="R12" s="740"/>
      <c r="S12" s="743" t="s">
        <v>823</v>
      </c>
      <c r="T12" s="740"/>
      <c r="U12" s="743" t="s">
        <v>809</v>
      </c>
      <c r="V12" s="740"/>
      <c r="W12" s="743" t="s">
        <v>829</v>
      </c>
    </row>
    <row r="13" spans="1:23" s="21" customFormat="1" ht="15" customHeight="1" x14ac:dyDescent="0.2">
      <c r="B13" s="989" t="s">
        <v>240</v>
      </c>
      <c r="C13" s="989"/>
      <c r="D13" s="989"/>
      <c r="E13" s="680" t="s">
        <v>103</v>
      </c>
      <c r="F13" s="1018" t="s">
        <v>638</v>
      </c>
      <c r="G13" s="935"/>
      <c r="H13" s="935"/>
      <c r="I13" s="935"/>
      <c r="J13" s="935"/>
      <c r="M13" s="1025" t="s">
        <v>818</v>
      </c>
      <c r="N13" s="1024" t="s">
        <v>821</v>
      </c>
      <c r="O13" s="1025" t="s">
        <v>817</v>
      </c>
      <c r="P13" s="1024" t="s">
        <v>821</v>
      </c>
      <c r="Q13" s="1025">
        <v>60</v>
      </c>
      <c r="R13" s="1024" t="s">
        <v>826</v>
      </c>
      <c r="S13" s="1026">
        <v>7000</v>
      </c>
      <c r="T13" s="1024" t="s">
        <v>826</v>
      </c>
      <c r="U13" s="1025" t="s">
        <v>827</v>
      </c>
      <c r="V13" s="1023" t="s">
        <v>828</v>
      </c>
      <c r="W13" s="1025" t="s">
        <v>395</v>
      </c>
    </row>
    <row r="14" spans="1:23" s="21" customFormat="1" ht="15" customHeight="1" x14ac:dyDescent="0.2">
      <c r="B14" s="1021" t="s">
        <v>640</v>
      </c>
      <c r="C14" s="1021"/>
      <c r="D14" s="678" t="s">
        <v>36</v>
      </c>
      <c r="E14" s="53"/>
      <c r="F14" s="1019" t="s">
        <v>220</v>
      </c>
      <c r="G14" s="977"/>
      <c r="H14" s="977"/>
      <c r="I14" s="977"/>
      <c r="J14" s="977"/>
      <c r="M14" s="1025"/>
      <c r="N14" s="1024"/>
      <c r="O14" s="1025"/>
      <c r="P14" s="1024"/>
      <c r="Q14" s="1025"/>
      <c r="R14" s="1024"/>
      <c r="S14" s="1025"/>
      <c r="T14" s="1024"/>
      <c r="U14" s="1025"/>
      <c r="V14" s="1024"/>
      <c r="W14" s="1025"/>
    </row>
    <row r="15" spans="1:23" s="21" customFormat="1" ht="15" customHeight="1" x14ac:dyDescent="0.2">
      <c r="C15" s="357"/>
      <c r="D15" s="678" t="s">
        <v>37</v>
      </c>
      <c r="E15" s="53"/>
      <c r="F15" s="1019" t="s">
        <v>641</v>
      </c>
      <c r="G15" s="977"/>
      <c r="H15" s="977"/>
      <c r="I15" s="977"/>
      <c r="J15" s="977"/>
      <c r="M15" s="742" t="s">
        <v>820</v>
      </c>
      <c r="O15" s="742" t="s">
        <v>822</v>
      </c>
      <c r="Q15" s="742" t="s">
        <v>824</v>
      </c>
      <c r="S15" s="742" t="s">
        <v>825</v>
      </c>
      <c r="U15" s="742" t="s">
        <v>228</v>
      </c>
      <c r="W15" s="742" t="s">
        <v>398</v>
      </c>
    </row>
    <row r="16" spans="1:23" s="21" customFormat="1" ht="15" customHeight="1" x14ac:dyDescent="0.2">
      <c r="B16" s="1015"/>
      <c r="C16" s="1015"/>
      <c r="D16" s="1015"/>
      <c r="E16" s="1015"/>
      <c r="F16" s="1015"/>
      <c r="G16" s="1015"/>
      <c r="H16" s="1015"/>
      <c r="I16" s="1015"/>
      <c r="J16" s="1015"/>
    </row>
    <row r="17" spans="1:21" s="21" customFormat="1" ht="15" customHeight="1" x14ac:dyDescent="0.2">
      <c r="B17" s="1022" t="s">
        <v>188</v>
      </c>
      <c r="C17" s="1022"/>
      <c r="D17" s="1022"/>
      <c r="E17" s="1022"/>
      <c r="F17" s="1022"/>
      <c r="G17" s="1016" t="s">
        <v>103</v>
      </c>
      <c r="H17" s="1017"/>
      <c r="I17" s="1020" t="s">
        <v>644</v>
      </c>
      <c r="J17" s="1020"/>
      <c r="L17" s="21" t="s">
        <v>813</v>
      </c>
    </row>
    <row r="18" spans="1:21" s="21" customFormat="1" ht="15" customHeight="1" x14ac:dyDescent="0.2">
      <c r="B18" s="400"/>
      <c r="C18" s="400"/>
      <c r="D18" s="400"/>
      <c r="E18" s="400"/>
      <c r="I18" s="1020"/>
      <c r="J18" s="1020"/>
      <c r="L18" s="741" t="s">
        <v>812</v>
      </c>
      <c r="M18" s="741"/>
      <c r="N18" s="741"/>
      <c r="O18" s="741"/>
      <c r="P18" s="741"/>
    </row>
    <row r="19" spans="1:21" s="26" customFormat="1" ht="15" customHeight="1" x14ac:dyDescent="0.2">
      <c r="A19" s="21"/>
      <c r="B19" s="1014" t="s">
        <v>504</v>
      </c>
      <c r="C19" s="1014"/>
      <c r="D19" s="1014"/>
      <c r="E19" s="1014"/>
      <c r="F19" s="1014"/>
      <c r="G19" s="489">
        <f>'Data Validation'!C34</f>
        <v>0</v>
      </c>
      <c r="H19" s="478" t="s">
        <v>505</v>
      </c>
      <c r="I19" s="489">
        <f>'Data Validation'!C37</f>
        <v>0</v>
      </c>
      <c r="J19" s="682"/>
      <c r="L19" s="741"/>
      <c r="M19" s="741"/>
      <c r="N19" s="741"/>
      <c r="O19" s="741"/>
      <c r="P19" s="741"/>
      <c r="Q19" s="21"/>
      <c r="R19" s="21"/>
      <c r="S19" s="21"/>
      <c r="T19" s="21"/>
      <c r="U19" s="21"/>
    </row>
    <row r="20" spans="1:21" s="26" customFormat="1" ht="15" customHeight="1" x14ac:dyDescent="0.2">
      <c r="A20" s="21"/>
      <c r="B20" s="478"/>
      <c r="C20" s="478"/>
      <c r="D20" s="478"/>
      <c r="E20" s="478"/>
      <c r="F20" s="21"/>
      <c r="G20" s="21"/>
      <c r="H20" s="399"/>
      <c r="I20" s="682"/>
      <c r="J20" s="682"/>
      <c r="L20" s="734"/>
      <c r="M20" s="1021" t="s">
        <v>818</v>
      </c>
      <c r="N20" s="1021"/>
      <c r="O20" s="1021"/>
      <c r="P20" s="742" t="s">
        <v>832</v>
      </c>
      <c r="Q20" s="738">
        <v>0</v>
      </c>
      <c r="R20" s="21" t="s">
        <v>814</v>
      </c>
      <c r="S20" s="21"/>
      <c r="T20" s="21"/>
      <c r="U20" s="21"/>
    </row>
    <row r="21" spans="1:21" s="26" customFormat="1" ht="15" customHeight="1" thickBot="1" x14ac:dyDescent="0.25">
      <c r="B21" s="1006" t="s">
        <v>355</v>
      </c>
      <c r="C21" s="1006"/>
      <c r="D21" s="1006"/>
      <c r="E21" s="1006"/>
      <c r="F21" s="1006"/>
      <c r="G21" s="1006"/>
      <c r="H21" s="1006"/>
      <c r="I21" s="1006"/>
      <c r="J21" s="1006"/>
      <c r="L21" s="734"/>
      <c r="M21" s="1021" t="s">
        <v>817</v>
      </c>
      <c r="N21" s="1021"/>
      <c r="O21" s="1021"/>
      <c r="P21" s="742" t="s">
        <v>831</v>
      </c>
      <c r="Q21" s="746">
        <v>0</v>
      </c>
      <c r="R21" s="21" t="s">
        <v>815</v>
      </c>
      <c r="S21" s="21"/>
      <c r="T21" s="21"/>
      <c r="U21" s="21"/>
    </row>
    <row r="22" spans="1:21" s="26" customFormat="1" ht="14.25" x14ac:dyDescent="0.2">
      <c r="B22" s="54"/>
      <c r="C22" s="108" t="s">
        <v>17</v>
      </c>
      <c r="D22" s="109" t="s">
        <v>18</v>
      </c>
      <c r="E22" s="109" t="s">
        <v>19</v>
      </c>
      <c r="F22" s="108" t="s">
        <v>20</v>
      </c>
      <c r="G22" s="108" t="s">
        <v>21</v>
      </c>
      <c r="H22" s="110"/>
      <c r="I22" s="108" t="s">
        <v>318</v>
      </c>
      <c r="J22" s="111"/>
      <c r="L22" s="734"/>
      <c r="M22" s="1021" t="s">
        <v>819</v>
      </c>
      <c r="N22" s="1021"/>
      <c r="O22" s="1021"/>
      <c r="P22" s="742" t="s">
        <v>830</v>
      </c>
      <c r="Q22" s="739">
        <v>0</v>
      </c>
      <c r="R22" s="21" t="s">
        <v>816</v>
      </c>
      <c r="S22" s="21"/>
    </row>
    <row r="23" spans="1:21" s="46" customFormat="1" ht="15" customHeight="1" x14ac:dyDescent="0.2">
      <c r="A23" s="26"/>
      <c r="B23" s="744"/>
      <c r="C23" s="1027" t="s">
        <v>350</v>
      </c>
      <c r="D23" s="1029" t="s">
        <v>227</v>
      </c>
      <c r="E23" s="1029" t="s">
        <v>637</v>
      </c>
      <c r="F23" s="1029" t="s">
        <v>319</v>
      </c>
      <c r="G23" s="1029" t="s">
        <v>623</v>
      </c>
      <c r="H23" s="1030" t="s">
        <v>27</v>
      </c>
      <c r="I23" s="1029" t="s">
        <v>416</v>
      </c>
      <c r="J23" s="1031" t="s">
        <v>28</v>
      </c>
      <c r="L23" s="21"/>
      <c r="T23" s="26"/>
      <c r="U23" s="26"/>
    </row>
    <row r="24" spans="1:21" s="26" customFormat="1" ht="15" customHeight="1" x14ac:dyDescent="0.2">
      <c r="B24" s="59" t="s">
        <v>349</v>
      </c>
      <c r="C24" s="1027"/>
      <c r="D24" s="1029"/>
      <c r="E24" s="1029"/>
      <c r="F24" s="1029"/>
      <c r="G24" s="1029"/>
      <c r="H24" s="1030"/>
      <c r="I24" s="1029"/>
      <c r="J24" s="1031"/>
      <c r="M24" s="1021" t="s">
        <v>395</v>
      </c>
      <c r="N24" s="1021"/>
      <c r="O24" s="1021"/>
      <c r="P24" s="1032"/>
      <c r="Q24" s="745">
        <f>IFERROR(Q20*Q21*60/7000/Q22,0)</f>
        <v>0</v>
      </c>
      <c r="R24" s="740" t="s">
        <v>220</v>
      </c>
    </row>
    <row r="25" spans="1:21" s="26" customFormat="1" ht="15" customHeight="1" x14ac:dyDescent="0.2">
      <c r="A25" s="46"/>
      <c r="B25" s="65"/>
      <c r="C25" s="1027"/>
      <c r="D25" s="67" t="s">
        <v>228</v>
      </c>
      <c r="E25" s="67" t="s">
        <v>33</v>
      </c>
      <c r="F25" s="68" t="s">
        <v>30</v>
      </c>
      <c r="G25" s="68" t="s">
        <v>171</v>
      </c>
      <c r="H25" s="69" t="s">
        <v>33</v>
      </c>
      <c r="I25" s="68" t="s">
        <v>171</v>
      </c>
      <c r="J25" s="70" t="s">
        <v>34</v>
      </c>
      <c r="N25" s="21"/>
      <c r="O25" s="21"/>
      <c r="T25" s="46"/>
      <c r="U25" s="46"/>
    </row>
    <row r="26" spans="1:21" s="26" customFormat="1" ht="15" customHeight="1" thickBot="1" x14ac:dyDescent="0.25">
      <c r="B26" s="71"/>
      <c r="C26" s="1028"/>
      <c r="D26" s="73">
        <f>E7</f>
        <v>0</v>
      </c>
      <c r="E26" s="74">
        <f>IF(B8='Data Validation'!B44,0,IF(B8='Data Validation'!B45,E7*E8,IF(B8='Data Validation'!B46,E8)))</f>
        <v>0</v>
      </c>
      <c r="F26" s="75">
        <v>8760</v>
      </c>
      <c r="G26" s="112" t="s">
        <v>59</v>
      </c>
      <c r="H26" s="113" t="s">
        <v>96</v>
      </c>
      <c r="I26" s="112" t="s">
        <v>59</v>
      </c>
      <c r="J26" s="114" t="s">
        <v>642</v>
      </c>
      <c r="M26" s="21"/>
      <c r="N26" s="21"/>
      <c r="O26" s="21"/>
      <c r="P26" s="46"/>
      <c r="Q26" s="46"/>
      <c r="R26" s="46"/>
      <c r="S26" s="46"/>
    </row>
    <row r="27" spans="1:21" s="26" customFormat="1" ht="15" customHeight="1" x14ac:dyDescent="0.2">
      <c r="B27" s="39" t="s">
        <v>62</v>
      </c>
      <c r="C27" s="40"/>
      <c r="D27" s="41"/>
      <c r="E27" s="41"/>
      <c r="F27" s="41"/>
      <c r="G27" s="41"/>
      <c r="H27" s="41"/>
      <c r="I27" s="41"/>
      <c r="J27" s="42"/>
      <c r="L27" s="46"/>
      <c r="M27" s="21"/>
      <c r="N27" s="21"/>
      <c r="O27" s="21"/>
    </row>
    <row r="28" spans="1:21" s="26" customFormat="1" ht="15" customHeight="1" x14ac:dyDescent="0.2">
      <c r="B28" s="76" t="s">
        <v>36</v>
      </c>
      <c r="D28" s="77"/>
      <c r="E28" s="78"/>
      <c r="F28" s="79"/>
      <c r="G28" s="80">
        <f>IF($E$13="Yes",$E$14,IF(OR($E$13="No",$E$13="Choose one"),(IF($E$5=Ba,'Hot mix emission factors'!B12,IF($E$5=Dr,'Hot mix emission factors'!F12,0)))))</f>
        <v>0</v>
      </c>
      <c r="H28" s="81">
        <f t="shared" ref="H28:H35" si="0">$D$26*$F$26*$G28/2000</f>
        <v>0</v>
      </c>
      <c r="I28" s="80">
        <f>IF(OR($G$17="Choose one",$G$17=No),G28,(G28*(1-G19)))</f>
        <v>0</v>
      </c>
      <c r="J28" s="82">
        <f t="shared" ref="J28:J35" si="1">($E$26*$I28)/2000</f>
        <v>0</v>
      </c>
      <c r="M28" s="21"/>
    </row>
    <row r="29" spans="1:21" s="26" customFormat="1" ht="15" customHeight="1" x14ac:dyDescent="0.2">
      <c r="B29" s="76" t="s">
        <v>37</v>
      </c>
      <c r="D29" s="77"/>
      <c r="E29" s="78"/>
      <c r="F29" s="79"/>
      <c r="G29" s="80">
        <f>IF($E$13="Yes",$E$15,IF(OR($E$13="No",$E$13="Choose one"),(IF($E$5=Ba,'Hot mix emission factors'!B13,IF($E$5=Dr,'Hot mix emission factors'!F13,0)))))</f>
        <v>0</v>
      </c>
      <c r="H29" s="81">
        <f t="shared" si="0"/>
        <v>0</v>
      </c>
      <c r="I29" s="80">
        <f>IF(OR($G$17="Choose one",$G$17=No),G29,(G29*(1-I19)))</f>
        <v>0</v>
      </c>
      <c r="J29" s="82">
        <f t="shared" si="1"/>
        <v>0</v>
      </c>
    </row>
    <row r="30" spans="1:21" s="26" customFormat="1" ht="15" customHeight="1" x14ac:dyDescent="0.2">
      <c r="B30" s="76" t="s">
        <v>97</v>
      </c>
      <c r="D30" s="77"/>
      <c r="E30" s="78"/>
      <c r="F30" s="79"/>
      <c r="G30" s="80">
        <f>IF($E$5=Ba,'Hot mix emission factors'!B14,IF($E$5=Dr,'Hot mix emission factors'!F14,0))</f>
        <v>0</v>
      </c>
      <c r="H30" s="81">
        <f t="shared" si="0"/>
        <v>0</v>
      </c>
      <c r="I30" s="80">
        <f>G30</f>
        <v>0</v>
      </c>
      <c r="J30" s="82">
        <f t="shared" si="1"/>
        <v>0</v>
      </c>
    </row>
    <row r="31" spans="1:21" s="26" customFormat="1" ht="15" customHeight="1" x14ac:dyDescent="0.2">
      <c r="B31" s="76" t="s">
        <v>351</v>
      </c>
      <c r="D31" s="77"/>
      <c r="E31" s="78"/>
      <c r="F31" s="79"/>
      <c r="G31" s="80">
        <f>IF(AND($E$5=Ba,$E$6=NG),'Hot mix emission factors'!B15,IF(AND($E$5=Ba,$E$6=D),'Hot mix emission factors'!D15,IF(AND($E$5=Ba,$E$6=O),'Hot mix emission factors'!E15,IF(AND($E$5=Dr,$E$6=NG),'Hot mix emission factors'!F15,IF(AND($E$5=Dr,$E$6=D),'Hot mix emission factors'!H15,IF(AND($E$5=Dr,$E$6=O),'Hot mix emission factors'!I15,IF(OR($E$5="Choose one",$E$6="Choose one"),0)))))))</f>
        <v>0</v>
      </c>
      <c r="H31" s="81">
        <f t="shared" si="0"/>
        <v>0</v>
      </c>
      <c r="I31" s="80">
        <f t="shared" ref="I31:I34" si="2">G31</f>
        <v>0</v>
      </c>
      <c r="J31" s="82">
        <f t="shared" si="1"/>
        <v>0</v>
      </c>
    </row>
    <row r="32" spans="1:21" s="26" customFormat="1" ht="15" customHeight="1" x14ac:dyDescent="0.2">
      <c r="B32" s="76" t="s">
        <v>39</v>
      </c>
      <c r="D32" s="77"/>
      <c r="E32" s="78"/>
      <c r="F32" s="79"/>
      <c r="G32" s="80">
        <f>IF(AND($E$5=Ba,$E$6=NG),'Hot mix emission factors'!B16,IF(AND($E$5=Ba,$E$6=D),'Hot mix emission factors'!D16,IF(AND($E$5=Ba,$E$6=O),'Hot mix emission factors'!E16,IF(AND($E$5=Dr,$E$6=NG),'Hot mix emission factors'!F16,IF(AND($E$5=Dr,$E$6=D),'Hot mix emission factors'!H16,IF(AND($E$5=Dr,$E$6=O),'Hot mix emission factors'!I16,IF(OR($E$5="Choose one",$E$6="Choose one"),0)))))))</f>
        <v>0</v>
      </c>
      <c r="H32" s="81">
        <f t="shared" si="0"/>
        <v>0</v>
      </c>
      <c r="I32" s="80">
        <f t="shared" si="2"/>
        <v>0</v>
      </c>
      <c r="J32" s="82">
        <f t="shared" si="1"/>
        <v>0</v>
      </c>
    </row>
    <row r="33" spans="2:10" s="26" customFormat="1" ht="15" customHeight="1" x14ac:dyDescent="0.2">
      <c r="B33" s="76" t="s">
        <v>40</v>
      </c>
      <c r="D33" s="77"/>
      <c r="E33" s="78"/>
      <c r="F33" s="79"/>
      <c r="G33" s="80">
        <f>IF(AND($E$5=Ba,$E$6=NG),'Hot mix emission factors'!B17,IF(AND($E$5=Ba,$E$6=D),'Hot mix emission factors'!D17,IF(AND($E$5=Ba,$E$6=O),'Hot mix emission factors'!E17,IF(AND($E$5=Dr,$E$6=NG),'Hot mix emission factors'!F17,IF(AND($E$5=Dr,$E$6=D),'Hot mix emission factors'!H17,IF(AND($E$5=Dr,$E$6=O),'Hot mix emission factors'!I17,IF(OR($E$5="Choose one",$E$6="Choose one"),0)))))))</f>
        <v>0</v>
      </c>
      <c r="H33" s="81">
        <f t="shared" si="0"/>
        <v>0</v>
      </c>
      <c r="I33" s="80">
        <f t="shared" si="2"/>
        <v>0</v>
      </c>
      <c r="J33" s="82">
        <f t="shared" si="1"/>
        <v>0</v>
      </c>
    </row>
    <row r="34" spans="2:10" s="26" customFormat="1" ht="15" customHeight="1" x14ac:dyDescent="0.2">
      <c r="B34" s="76" t="s">
        <v>41</v>
      </c>
      <c r="D34" s="77"/>
      <c r="E34" s="78"/>
      <c r="F34" s="79"/>
      <c r="G34" s="80">
        <f>IF(AND($E$5=Ba,$E$6=NG),'Hot mix emission factors'!B18,IF(AND($E$5=Ba,$E$6=D),'Hot mix emission factors'!D18,IF(AND($E$5=Ba,$E$6=O),'Hot mix emission factors'!E18,IF(AND($E$5=Dr,$E$6=NG),'Hot mix emission factors'!F18,IF(AND($E$5=Dr,$E$6=D),'Hot mix emission factors'!H18,IF(AND($E$5=Dr,$E$6=O),'Hot mix emission factors'!I18,IF(OR($E$5="Choose one",$E$6="Choose one"),0)))))))</f>
        <v>0</v>
      </c>
      <c r="H34" s="81">
        <f t="shared" si="0"/>
        <v>0</v>
      </c>
      <c r="I34" s="80">
        <f t="shared" si="2"/>
        <v>0</v>
      </c>
      <c r="J34" s="82">
        <f t="shared" si="1"/>
        <v>0</v>
      </c>
    </row>
    <row r="35" spans="2:10" s="26" customFormat="1" ht="15" customHeight="1" thickBot="1" x14ac:dyDescent="0.25">
      <c r="B35" s="84" t="s">
        <v>42</v>
      </c>
      <c r="C35" s="85"/>
      <c r="D35" s="86"/>
      <c r="E35" s="87"/>
      <c r="F35" s="88"/>
      <c r="G35" s="80">
        <f>IF(AND($E$5=Ba,$E$6=NG),'Hot mix emission factors'!B19,IF(AND($E$5=Ba,$E$6=D),'Hot mix emission factors'!D19,IF(AND($E$5=Ba,$E$6=O),'Hot mix emission factors'!E19,IF(AND($E$5=Dr,$E$6=NG),'Hot mix emission factors'!F19,IF(AND($E$5=Dr,$E$6=D),'Hot mix emission factors'!H19,IF(AND($E$5=Dr,$E$6=O),'Hot mix emission factors'!I19,IF(OR($E$5="Choose one",$E$6="Choose one"),0)))))))</f>
        <v>0</v>
      </c>
      <c r="H35" s="81">
        <f t="shared" si="0"/>
        <v>0</v>
      </c>
      <c r="I35" s="80">
        <f>IF(OR($G$17="Choose one",$G$17=No),G35,(G35*(1-I19)))</f>
        <v>0</v>
      </c>
      <c r="J35" s="82">
        <f t="shared" si="1"/>
        <v>0</v>
      </c>
    </row>
    <row r="36" spans="2:10" s="26" customFormat="1" ht="15" customHeight="1" x14ac:dyDescent="0.2">
      <c r="B36" s="39" t="s">
        <v>61</v>
      </c>
      <c r="C36" s="37"/>
      <c r="D36" s="43"/>
      <c r="E36" s="38"/>
      <c r="F36" s="44"/>
      <c r="G36" s="45" t="str">
        <f>IF(E6="Choose one","",IF(AND(E6="Natural gas",OR(J4="Choose which one",OR(J4="Methane",J4="Butane"))),"lb/E6FT3","lb/1000gal"))</f>
        <v/>
      </c>
      <c r="H36" s="45"/>
      <c r="I36" s="45"/>
      <c r="J36" s="492"/>
    </row>
    <row r="37" spans="2:10" s="26" customFormat="1" ht="15" customHeight="1" x14ac:dyDescent="0.3">
      <c r="B37" s="89" t="s">
        <v>352</v>
      </c>
      <c r="C37" s="21">
        <v>1</v>
      </c>
      <c r="D37" s="90"/>
      <c r="E37" s="90"/>
      <c r="F37" s="90"/>
      <c r="G37" s="80">
        <f>IF(AND($E$6="Natural gas",OR($J$4="Choose which one",OR($J$4="Methane",$J$4="Butane"))),'Hot mix emission factors'!$B24,IF($J$4="Propane",'Hot mix emission factors'!$C24,IF($E$6=D,'Hot mix emission factors'!$D24,IF($E$6=O,'Hot mix emission factors'!$E24,0))))</f>
        <v>0</v>
      </c>
      <c r="H37" s="81">
        <f>$E$9*$F$26*$G37/2000</f>
        <v>0</v>
      </c>
      <c r="I37" s="80">
        <f>G37</f>
        <v>0</v>
      </c>
      <c r="J37" s="82">
        <f>($E$10*$I37)/2000</f>
        <v>0</v>
      </c>
    </row>
    <row r="38" spans="2:10" s="26" customFormat="1" ht="15" customHeight="1" x14ac:dyDescent="0.3">
      <c r="B38" s="89" t="s">
        <v>353</v>
      </c>
      <c r="C38" s="21">
        <v>25</v>
      </c>
      <c r="D38" s="90"/>
      <c r="E38" s="90"/>
      <c r="F38" s="90"/>
      <c r="G38" s="80">
        <f>IF(AND($E$6="Natural gas",OR($J$4="Choose which one",OR($J$4="Methane",$J$4="Butane"))),'Hot mix emission factors'!$B25,IF($J$4="Propane",'Hot mix emission factors'!$C25,IF($E$6=D,'Hot mix emission factors'!$D25,IF($E$6=O,'Hot mix emission factors'!$E25,0))))</f>
        <v>0</v>
      </c>
      <c r="H38" s="81">
        <f t="shared" ref="H38:H39" si="3">$E$9*$F$26*$G38/2000</f>
        <v>0</v>
      </c>
      <c r="I38" s="80">
        <f>G38</f>
        <v>0</v>
      </c>
      <c r="J38" s="82">
        <f>($E$10*$I38)/2000</f>
        <v>0</v>
      </c>
    </row>
    <row r="39" spans="2:10" s="26" customFormat="1" ht="15" customHeight="1" x14ac:dyDescent="0.3">
      <c r="B39" s="89" t="s">
        <v>401</v>
      </c>
      <c r="C39" s="21">
        <v>298</v>
      </c>
      <c r="D39" s="90"/>
      <c r="E39" s="90"/>
      <c r="F39" s="90"/>
      <c r="G39" s="80">
        <f>IF(AND($E$6="Natural gas",OR($J$4="Choose which one",OR($J$4="Methane",$J$4="Butane"))),'Hot mix emission factors'!$B26,IF($J$4="Propane",'Hot mix emission factors'!$C26,IF($E$6=D,'Hot mix emission factors'!$D26,IF($E$6=O,'Hot mix emission factors'!$E26,0))))</f>
        <v>0</v>
      </c>
      <c r="H39" s="81">
        <f t="shared" si="3"/>
        <v>0</v>
      </c>
      <c r="I39" s="733"/>
      <c r="J39" s="82">
        <f>($E$10*$I39)/2000</f>
        <v>0</v>
      </c>
    </row>
    <row r="40" spans="2:10" s="26" customFormat="1" ht="15" customHeight="1" thickBot="1" x14ac:dyDescent="0.25">
      <c r="B40" s="92"/>
      <c r="C40" s="52"/>
      <c r="D40" s="52"/>
      <c r="E40" s="52"/>
      <c r="F40" s="93" t="s">
        <v>354</v>
      </c>
      <c r="G40" s="105"/>
      <c r="H40" s="95">
        <f>(C37*H37)+(C38*H38)+(C39*H39)</f>
        <v>0</v>
      </c>
      <c r="I40" s="94"/>
      <c r="J40" s="96">
        <f>(C37*J37)+(C38*J38)+(C39*J39)</f>
        <v>0</v>
      </c>
    </row>
    <row r="41" spans="2:10" s="26" customFormat="1" ht="15" customHeight="1" x14ac:dyDescent="0.2">
      <c r="B41" s="39" t="str">
        <f>'Hot mix emission factors'!A31</f>
        <v>Non-PAH HAPS</v>
      </c>
      <c r="C41" s="37"/>
      <c r="D41" s="43"/>
      <c r="E41" s="38"/>
      <c r="F41" s="44"/>
      <c r="G41" s="873" t="s">
        <v>171</v>
      </c>
      <c r="H41" s="45"/>
      <c r="I41" s="45"/>
      <c r="J41" s="492"/>
    </row>
    <row r="42" spans="2:10" s="26" customFormat="1" ht="15" customHeight="1" x14ac:dyDescent="0.2">
      <c r="B42" s="89" t="str">
        <f>'Hot mix emission factors'!A32</f>
        <v>Acetaldehyde</v>
      </c>
      <c r="C42" s="534"/>
      <c r="D42" s="52"/>
      <c r="E42" s="52"/>
      <c r="F42" s="530"/>
      <c r="G42" s="525">
        <f>IF(AND($E$5=Ba,$E$6=NG),'Hot mix emission factors'!B32,IF(AND($E$5=Ba,$E$6=D),'Hot mix emission factors'!D32,IF(AND($E$5=Ba,$E$6=O),'Hot mix emission factors'!E32,IF(AND($E$5=Dr,$E$6=NG),'Hot mix emission factors'!F32,IF(AND($E$5=Dr,$E$6=D),'Hot mix emission factors'!H32,IF(AND($E$5=Dr,$E$6=O),'Hot mix emission factors'!I32,IF(OR($E$5="Choose one",$E$6="Choose one"),0)))))))</f>
        <v>0</v>
      </c>
      <c r="H42" s="261">
        <f t="shared" ref="H42:H53" si="4">$D$26*$F$26*$G42/2000</f>
        <v>0</v>
      </c>
      <c r="I42" s="525">
        <f t="shared" ref="I42" si="5">G42</f>
        <v>0</v>
      </c>
      <c r="J42" s="101">
        <f t="shared" ref="J42:J53" si="6">($E$26*$I42)/2000</f>
        <v>0</v>
      </c>
    </row>
    <row r="43" spans="2:10" s="26" customFormat="1" ht="15" customHeight="1" x14ac:dyDescent="0.2">
      <c r="B43" s="89" t="str">
        <f>'Hot mix emission factors'!A33</f>
        <v>Benzene</v>
      </c>
      <c r="C43" s="535"/>
      <c r="F43" s="536"/>
      <c r="G43" s="525">
        <f>IF(AND($E$5=Ba,$E$6=NG),'Hot mix emission factors'!B33,IF(AND($E$5=Ba,$E$6=D),'Hot mix emission factors'!D33,IF(AND($E$5=Ba,$E$6=O),'Hot mix emission factors'!E33,IF(AND($E$5=Dr,$E$6=NG),'Hot mix emission factors'!F33,IF(AND($E$5=Dr,$E$6=D),'Hot mix emission factors'!H33,IF(AND($E$5=Dr,$E$6=O),'Hot mix emission factors'!I33,IF(OR($E$5="Choose one",$E$6="Choose one"),0)))))))</f>
        <v>0</v>
      </c>
      <c r="H43" s="261">
        <f t="shared" si="4"/>
        <v>0</v>
      </c>
      <c r="I43" s="525">
        <f t="shared" ref="I43:I72" si="7">G43</f>
        <v>0</v>
      </c>
      <c r="J43" s="101">
        <f t="shared" si="6"/>
        <v>0</v>
      </c>
    </row>
    <row r="44" spans="2:10" s="26" customFormat="1" ht="15" customHeight="1" x14ac:dyDescent="0.2">
      <c r="B44" s="89" t="str">
        <f>'Hot mix emission factors'!A34</f>
        <v>Ethylbenzene</v>
      </c>
      <c r="C44" s="535"/>
      <c r="F44" s="536"/>
      <c r="G44" s="525">
        <f>IF(AND($E$5=Ba,$E$6=NG),'Hot mix emission factors'!B34,IF(AND($E$5=Ba,$E$6=D),'Hot mix emission factors'!D34,IF(AND($E$5=Ba,$E$6=O),'Hot mix emission factors'!E34,IF(AND($E$5=Dr,$E$6=NG),'Hot mix emission factors'!F34,IF(AND($E$5=Dr,$E$6=D),'Hot mix emission factors'!H34,IF(AND($E$5=Dr,$E$6=O),'Hot mix emission factors'!I34,IF(OR($E$5="Choose one",$E$6="Choose one"),0)))))))</f>
        <v>0</v>
      </c>
      <c r="H44" s="261">
        <f t="shared" si="4"/>
        <v>0</v>
      </c>
      <c r="I44" s="525">
        <f t="shared" si="7"/>
        <v>0</v>
      </c>
      <c r="J44" s="101">
        <f t="shared" si="6"/>
        <v>0</v>
      </c>
    </row>
    <row r="45" spans="2:10" s="26" customFormat="1" ht="15" customHeight="1" x14ac:dyDescent="0.2">
      <c r="B45" s="89" t="str">
        <f>'Hot mix emission factors'!A35</f>
        <v>Formaldehyde</v>
      </c>
      <c r="C45" s="535"/>
      <c r="F45" s="536"/>
      <c r="G45" s="525">
        <f>IF(AND($E$5=Ba,$E$6=NG),'Hot mix emission factors'!B35,IF(AND($E$5=Ba,$E$6=D),'Hot mix emission factors'!D35,IF(AND($E$5=Ba,$E$6=O),'Hot mix emission factors'!E35,IF(AND($E$5=Dr,$E$6=NG),'Hot mix emission factors'!F35,IF(AND($E$5=Dr,$E$6=D),'Hot mix emission factors'!H35,IF(AND($E$5=Dr,$E$6=O),'Hot mix emission factors'!I35,IF(OR($E$5="Choose one",$E$6="Choose one"),0)))))))</f>
        <v>0</v>
      </c>
      <c r="H45" s="261">
        <f t="shared" si="4"/>
        <v>0</v>
      </c>
      <c r="I45" s="525">
        <f t="shared" si="7"/>
        <v>0</v>
      </c>
      <c r="J45" s="101">
        <f t="shared" si="6"/>
        <v>0</v>
      </c>
    </row>
    <row r="46" spans="2:10" s="26" customFormat="1" ht="15" customHeight="1" x14ac:dyDescent="0.2">
      <c r="B46" s="579" t="str">
        <f>'Hot mix emission factors'!A36</f>
        <v>Quinone</v>
      </c>
      <c r="C46" s="537"/>
      <c r="D46" s="266"/>
      <c r="E46" s="266"/>
      <c r="F46" s="538"/>
      <c r="G46" s="525">
        <f>IF(AND($E$5=Ba,$E$6=NG),'Hot mix emission factors'!B36,IF(AND($E$5=Ba,$E$6=D),'Hot mix emission factors'!D36,IF(AND($E$5=Ba,$E$6=O),'Hot mix emission factors'!E36,IF(AND($E$5=Dr,$E$6=NG),'Hot mix emission factors'!F36,IF(AND($E$5=Dr,$E$6=D),'Hot mix emission factors'!H36,IF(AND($E$5=Dr,$E$6=O),'Hot mix emission factors'!I36,IF(OR($E$5="Choose one",$E$6="Choose one"),0)))))))</f>
        <v>0</v>
      </c>
      <c r="H46" s="261">
        <f t="shared" si="4"/>
        <v>0</v>
      </c>
      <c r="I46" s="525">
        <f t="shared" si="7"/>
        <v>0</v>
      </c>
      <c r="J46" s="101">
        <f t="shared" si="6"/>
        <v>0</v>
      </c>
    </row>
    <row r="47" spans="2:10" s="26" customFormat="1" ht="15" customHeight="1" x14ac:dyDescent="0.2">
      <c r="B47" s="89" t="str">
        <f>'Hot mix emission factors'!A37</f>
        <v>Toluene</v>
      </c>
      <c r="C47" s="47"/>
      <c r="G47" s="525">
        <f>IF(AND($E$5=Ba,$E$6=NG),'Hot mix emission factors'!B37,IF(AND($E$5=Ba,$E$6=D),'Hot mix emission factors'!D37,IF(AND($E$5=Ba,$E$6=O),'Hot mix emission factors'!E37,IF(AND($E$5=Dr,$E$6=NG),'Hot mix emission factors'!F37,IF(AND($E$5=Dr,$E$6=D),'Hot mix emission factors'!H37,IF(AND($E$5=Dr,$E$6=O),'Hot mix emission factors'!I37,IF(OR($E$5="Choose one",$E$6="Choose one"),0)))))))</f>
        <v>0</v>
      </c>
      <c r="H47" s="261">
        <f t="shared" si="4"/>
        <v>0</v>
      </c>
      <c r="I47" s="525">
        <f t="shared" si="7"/>
        <v>0</v>
      </c>
      <c r="J47" s="101">
        <f t="shared" si="6"/>
        <v>0</v>
      </c>
    </row>
    <row r="48" spans="2:10" s="26" customFormat="1" ht="15" customHeight="1" x14ac:dyDescent="0.2">
      <c r="B48" s="89" t="str">
        <f>'Hot mix emission factors'!A38</f>
        <v>Xylene</v>
      </c>
      <c r="C48" s="47"/>
      <c r="G48" s="525">
        <f>IF(AND($E$5=Ba,$E$6=NG),'Hot mix emission factors'!B38,IF(AND($E$5=Ba,$E$6=D),'Hot mix emission factors'!D38,IF(AND($E$5=Ba,$E$6=O),'Hot mix emission factors'!E38,IF(AND($E$5=Dr,$E$6=NG),'Hot mix emission factors'!F38,IF(AND($E$5=Dr,$E$6=D),'Hot mix emission factors'!H38,IF(AND($E$5=Dr,$E$6=O),'Hot mix emission factors'!I38,IF(OR($E$5="Choose one",$E$6="Choose one"),0)))))))</f>
        <v>0</v>
      </c>
      <c r="H48" s="261">
        <f t="shared" si="4"/>
        <v>0</v>
      </c>
      <c r="I48" s="525">
        <f t="shared" si="7"/>
        <v>0</v>
      </c>
      <c r="J48" s="101">
        <f t="shared" si="6"/>
        <v>0</v>
      </c>
    </row>
    <row r="49" spans="2:10" s="26" customFormat="1" ht="15" customHeight="1" x14ac:dyDescent="0.2">
      <c r="B49" s="89" t="str">
        <f>'Hot mix emission factors'!A39</f>
        <v>Hexane</v>
      </c>
      <c r="C49" s="47"/>
      <c r="G49" s="525">
        <f>IF(AND($E$5=Ba,$E$6=NG),'Hot mix emission factors'!B39,IF(AND($E$5=Ba,$E$6=D),'Hot mix emission factors'!D39,IF(AND($E$5=Ba,$E$6=O),'Hot mix emission factors'!E39,IF(AND($E$5=Dr,$E$6=NG),'Hot mix emission factors'!F39,IF(AND($E$5=Dr,$E$6=D),'Hot mix emission factors'!H39,IF(AND($E$5=Dr,$E$6=O),'Hot mix emission factors'!I39,IF(OR($E$5="Choose one",$E$6="Choose one"),0)))))))</f>
        <v>0</v>
      </c>
      <c r="H49" s="261">
        <f t="shared" si="4"/>
        <v>0</v>
      </c>
      <c r="I49" s="525">
        <f t="shared" si="7"/>
        <v>0</v>
      </c>
      <c r="J49" s="101">
        <f t="shared" si="6"/>
        <v>0</v>
      </c>
    </row>
    <row r="50" spans="2:10" s="26" customFormat="1" ht="15" customHeight="1" x14ac:dyDescent="0.2">
      <c r="B50" s="89" t="str">
        <f>'Hot mix emission factors'!A40</f>
        <v>Isooctane</v>
      </c>
      <c r="C50" s="47"/>
      <c r="G50" s="525">
        <f>IF(AND($E$5=Ba,$E$6=NG),'Hot mix emission factors'!B40,IF(AND($E$5=Ba,$E$6=D),'Hot mix emission factors'!D40,IF(AND($E$5=Ba,$E$6=O),'Hot mix emission factors'!E40,IF(AND($E$5=Dr,$E$6=NG),'Hot mix emission factors'!F40,IF(AND($E$5=Dr,$E$6=D),'Hot mix emission factors'!H40,IF(AND($E$5=Dr,$E$6=O),'Hot mix emission factors'!I40,IF(OR($E$5="Choose one",$E$6="Choose one"),0)))))))</f>
        <v>0</v>
      </c>
      <c r="H50" s="261">
        <f t="shared" si="4"/>
        <v>0</v>
      </c>
      <c r="I50" s="525">
        <f t="shared" si="7"/>
        <v>0</v>
      </c>
      <c r="J50" s="101">
        <f t="shared" si="6"/>
        <v>0</v>
      </c>
    </row>
    <row r="51" spans="2:10" s="26" customFormat="1" ht="15" customHeight="1" x14ac:dyDescent="0.2">
      <c r="B51" s="579" t="str">
        <f>'Hot mix emission factors'!A41</f>
        <v>Methyl chloroform</v>
      </c>
      <c r="C51" s="537"/>
      <c r="D51" s="266"/>
      <c r="E51" s="266"/>
      <c r="F51" s="538"/>
      <c r="G51" s="525">
        <f>IF(AND($E$5=Ba,$E$6=NG),'Hot mix emission factors'!B41,IF(AND($E$5=Ba,$E$6=D),'Hot mix emission factors'!D41,IF(AND($E$5=Ba,$E$6=O),'Hot mix emission factors'!E41,IF(AND($E$5=Dr,$E$6=NG),'Hot mix emission factors'!F41,IF(AND($E$5=Dr,$E$6=D),'Hot mix emission factors'!H41,IF(AND($E$5=Dr,$E$6=O),'Hot mix emission factors'!I41,IF(OR($E$5="Choose one",$E$6="Choose one"),0)))))))</f>
        <v>0</v>
      </c>
      <c r="H51" s="261">
        <f t="shared" si="4"/>
        <v>0</v>
      </c>
      <c r="I51" s="525">
        <f t="shared" si="7"/>
        <v>0</v>
      </c>
      <c r="J51" s="101">
        <f t="shared" si="6"/>
        <v>0</v>
      </c>
    </row>
    <row r="52" spans="2:10" s="26" customFormat="1" ht="15" customHeight="1" x14ac:dyDescent="0.2">
      <c r="B52" s="89" t="str">
        <f>'Hot mix emission factors'!A42</f>
        <v>Acrolein</v>
      </c>
      <c r="C52" s="47"/>
      <c r="G52" s="525">
        <f>IF(AND($E$5=Ba,$E$6=NG),'Hot mix emission factors'!B42,IF(AND($E$5=Ba,$E$6=D),'Hot mix emission factors'!D42,IF(AND($E$5=Ba,$E$6=O),'Hot mix emission factors'!E42,IF(AND($E$5=Dr,$E$6=NG),'Hot mix emission factors'!F42,IF(AND($E$5=Dr,$E$6=D),'Hot mix emission factors'!H42,IF(AND($E$5=Dr,$E$6=O),'Hot mix emission factors'!I42,IF(OR($E$5="Choose one",$E$6="Choose one"),0)))))))</f>
        <v>0</v>
      </c>
      <c r="H52" s="261">
        <f t="shared" si="4"/>
        <v>0</v>
      </c>
      <c r="I52" s="525">
        <f t="shared" si="7"/>
        <v>0</v>
      </c>
      <c r="J52" s="101">
        <f t="shared" si="6"/>
        <v>0</v>
      </c>
    </row>
    <row r="53" spans="2:10" s="26" customFormat="1" ht="15" customHeight="1" thickBot="1" x14ac:dyDescent="0.25">
      <c r="B53" s="89" t="str">
        <f>'Hot mix emission factors'!A43</f>
        <v>Propionaldehyde</v>
      </c>
      <c r="C53" s="47"/>
      <c r="G53" s="875">
        <f>IF(AND($E$5=Ba,$E$6=NG),'Hot mix emission factors'!B43,IF(AND($E$5=Ba,$E$6=D),'Hot mix emission factors'!D43,IF(AND($E$5=Ba,$E$6=O),'Hot mix emission factors'!E43,IF(AND($E$5=Dr,$E$6=NG),'Hot mix emission factors'!F43,IF(AND($E$5=Dr,$E$6=D),'Hot mix emission factors'!H43,IF(AND($E$5=Dr,$E$6=O),'Hot mix emission factors'!I43,IF(OR($E$5="Choose one",$E$6="Choose one"),0)))))))</f>
        <v>0</v>
      </c>
      <c r="H53" s="261">
        <f t="shared" si="4"/>
        <v>0</v>
      </c>
      <c r="I53" s="525">
        <f t="shared" si="7"/>
        <v>0</v>
      </c>
      <c r="J53" s="101">
        <f t="shared" si="6"/>
        <v>0</v>
      </c>
    </row>
    <row r="54" spans="2:10" s="26" customFormat="1" ht="15" customHeight="1" x14ac:dyDescent="0.2">
      <c r="B54" s="39" t="str">
        <f>'Hot mix emission factors'!A44</f>
        <v>PAH HAPs</v>
      </c>
      <c r="C54" s="37"/>
      <c r="D54" s="43"/>
      <c r="E54" s="38"/>
      <c r="F54" s="44"/>
      <c r="G54" s="874" t="s">
        <v>171</v>
      </c>
      <c r="H54" s="526"/>
      <c r="I54" s="526"/>
      <c r="J54" s="527"/>
    </row>
    <row r="55" spans="2:10" s="26" customFormat="1" ht="15" customHeight="1" x14ac:dyDescent="0.2">
      <c r="B55" s="89" t="str">
        <f>'Hot mix emission factors'!A45</f>
        <v>2-Methylnaphthalene</v>
      </c>
      <c r="C55" s="47"/>
      <c r="G55" s="525">
        <f>IF(AND($E$5=Ba,$E$6=NG),'Hot mix emission factors'!B45,IF(AND($E$5=Ba,$E$6=D),'Hot mix emission factors'!D45,IF(AND($E$5=Ba,$E$6=O),'Hot mix emission factors'!E45,IF(AND($E$5=Dr,$E$6=NG),'Hot mix emission factors'!F45,IF(AND($E$5=Dr,$E$6=D),'Hot mix emission factors'!H45,IF(AND($E$5=Dr,$E$6=O),'Hot mix emission factors'!I45,IF(OR($E$5="Choose one",$E$6="Choose one"),0)))))))</f>
        <v>0</v>
      </c>
      <c r="H55" s="261">
        <f t="shared" ref="H55:H73" si="8">$D$26*$F$26*$G55/2000</f>
        <v>0</v>
      </c>
      <c r="I55" s="525">
        <f t="shared" si="7"/>
        <v>0</v>
      </c>
      <c r="J55" s="101">
        <f t="shared" ref="J55:J73" si="9">($E$26*$I55)/2000</f>
        <v>0</v>
      </c>
    </row>
    <row r="56" spans="2:10" s="26" customFormat="1" ht="15" customHeight="1" x14ac:dyDescent="0.2">
      <c r="B56" s="89" t="str">
        <f>'Hot mix emission factors'!A46</f>
        <v>Acenaphthene</v>
      </c>
      <c r="C56" s="47"/>
      <c r="G56" s="525">
        <f>IF(AND($E$5=Ba,$E$6=NG),'Hot mix emission factors'!B46,IF(AND($E$5=Ba,$E$6=D),'Hot mix emission factors'!D46,IF(AND($E$5=Ba,$E$6=O),'Hot mix emission factors'!E46,IF(AND($E$5=Dr,$E$6=NG),'Hot mix emission factors'!F46,IF(AND($E$5=Dr,$E$6=D),'Hot mix emission factors'!H46,IF(AND($E$5=Dr,$E$6=O),'Hot mix emission factors'!I46,IF(OR($E$5="Choose one",$E$6="Choose one"),0)))))))</f>
        <v>0</v>
      </c>
      <c r="H56" s="261">
        <f t="shared" si="8"/>
        <v>0</v>
      </c>
      <c r="I56" s="525">
        <f t="shared" si="7"/>
        <v>0</v>
      </c>
      <c r="J56" s="101">
        <f t="shared" si="9"/>
        <v>0</v>
      </c>
    </row>
    <row r="57" spans="2:10" s="26" customFormat="1" ht="15" customHeight="1" x14ac:dyDescent="0.2">
      <c r="B57" s="89" t="str">
        <f>'Hot mix emission factors'!A47</f>
        <v>Acenaphthylene</v>
      </c>
      <c r="C57" s="47"/>
      <c r="G57" s="525">
        <f>IF(AND($E$5=Ba,$E$6=NG),'Hot mix emission factors'!B47,IF(AND($E$5=Ba,$E$6=D),'Hot mix emission factors'!D47,IF(AND($E$5=Ba,$E$6=O),'Hot mix emission factors'!E47,IF(AND($E$5=Dr,$E$6=NG),'Hot mix emission factors'!F47,IF(AND($E$5=Dr,$E$6=D),'Hot mix emission factors'!H47,IF(AND($E$5=Dr,$E$6=O),'Hot mix emission factors'!I47,IF(OR($E$5="Choose one",$E$6="Choose one"),0)))))))</f>
        <v>0</v>
      </c>
      <c r="H57" s="261">
        <f t="shared" si="8"/>
        <v>0</v>
      </c>
      <c r="I57" s="525">
        <f t="shared" si="7"/>
        <v>0</v>
      </c>
      <c r="J57" s="101">
        <f t="shared" si="9"/>
        <v>0</v>
      </c>
    </row>
    <row r="58" spans="2:10" s="26" customFormat="1" ht="15" customHeight="1" x14ac:dyDescent="0.2">
      <c r="B58" s="89" t="str">
        <f>'Hot mix emission factors'!A48</f>
        <v>Antharacene</v>
      </c>
      <c r="C58" s="47"/>
      <c r="G58" s="525">
        <f>IF(AND($E$5=Ba,$E$6=NG),'Hot mix emission factors'!B48,IF(AND($E$5=Ba,$E$6=D),'Hot mix emission factors'!D48,IF(AND($E$5=Ba,$E$6=O),'Hot mix emission factors'!E48,IF(AND($E$5=Dr,$E$6=NG),'Hot mix emission factors'!F48,IF(AND($E$5=Dr,$E$6=D),'Hot mix emission factors'!H48,IF(AND($E$5=Dr,$E$6=O),'Hot mix emission factors'!I48,IF(OR($E$5="Choose one",$E$6="Choose one"),0)))))))</f>
        <v>0</v>
      </c>
      <c r="H58" s="261">
        <f t="shared" si="8"/>
        <v>0</v>
      </c>
      <c r="I58" s="525">
        <f t="shared" si="7"/>
        <v>0</v>
      </c>
      <c r="J58" s="101">
        <f t="shared" si="9"/>
        <v>0</v>
      </c>
    </row>
    <row r="59" spans="2:10" s="26" customFormat="1" ht="15" customHeight="1" x14ac:dyDescent="0.2">
      <c r="B59" s="579" t="str">
        <f>'Hot mix emission factors'!A49</f>
        <v>Benzo(a)anthracene</v>
      </c>
      <c r="C59" s="537"/>
      <c r="D59" s="266"/>
      <c r="E59" s="266"/>
      <c r="F59" s="538"/>
      <c r="G59" s="525">
        <f>IF(AND($E$5=Ba,$E$6=NG),'Hot mix emission factors'!B49,IF(AND($E$5=Ba,$E$6=D),'Hot mix emission factors'!D49,IF(AND($E$5=Ba,$E$6=O),'Hot mix emission factors'!E49,IF(AND($E$5=Dr,$E$6=NG),'Hot mix emission factors'!F49,IF(AND($E$5=Dr,$E$6=D),'Hot mix emission factors'!H49,IF(AND($E$5=Dr,$E$6=O),'Hot mix emission factors'!I49,IF(OR($E$5="Choose one",$E$6="Choose one"),0)))))))</f>
        <v>0</v>
      </c>
      <c r="H59" s="261">
        <f t="shared" si="8"/>
        <v>0</v>
      </c>
      <c r="I59" s="525">
        <f t="shared" si="7"/>
        <v>0</v>
      </c>
      <c r="J59" s="101">
        <f t="shared" si="9"/>
        <v>0</v>
      </c>
    </row>
    <row r="60" spans="2:10" s="26" customFormat="1" ht="15" customHeight="1" x14ac:dyDescent="0.2">
      <c r="B60" s="89" t="str">
        <f>'Hot mix emission factors'!A50</f>
        <v>Benzo(a)pyrene</v>
      </c>
      <c r="C60" s="47"/>
      <c r="D60" s="98"/>
      <c r="E60" s="99"/>
      <c r="F60" s="100"/>
      <c r="G60" s="525">
        <f>IF(AND($E$5=Ba,$E$6=NG),'Hot mix emission factors'!B50,IF(AND($E$5=Ba,$E$6=D),'Hot mix emission factors'!D50,IF(AND($E$5=Ba,$E$6=O),'Hot mix emission factors'!E50,IF(AND($E$5=Dr,$E$6=NG),'Hot mix emission factors'!F50,IF(AND($E$5=Dr,$E$6=D),'Hot mix emission factors'!H50,IF(AND($E$5=Dr,$E$6=O),'Hot mix emission factors'!I50,IF(OR($E$5="Choose one",$E$6="Choose one"),0)))))))</f>
        <v>0</v>
      </c>
      <c r="H60" s="261">
        <f t="shared" si="8"/>
        <v>0</v>
      </c>
      <c r="I60" s="525">
        <f t="shared" si="7"/>
        <v>0</v>
      </c>
      <c r="J60" s="101">
        <f t="shared" si="9"/>
        <v>0</v>
      </c>
    </row>
    <row r="61" spans="2:10" s="26" customFormat="1" ht="15" customHeight="1" x14ac:dyDescent="0.2">
      <c r="B61" s="89" t="str">
        <f>'Hot mix emission factors'!A51</f>
        <v>Benzo(b)fluoranthene</v>
      </c>
      <c r="C61" s="47"/>
      <c r="D61" s="98"/>
      <c r="E61" s="99"/>
      <c r="F61" s="100"/>
      <c r="G61" s="525">
        <f>IF(AND($E$5=Ba,$E$6=NG),'Hot mix emission factors'!B51,IF(AND($E$5=Ba,$E$6=D),'Hot mix emission factors'!D51,IF(AND($E$5=Ba,$E$6=O),'Hot mix emission factors'!E51,IF(AND($E$5=Dr,$E$6=NG),'Hot mix emission factors'!F51,IF(AND($E$5=Dr,$E$6=D),'Hot mix emission factors'!H51,IF(AND($E$5=Dr,$E$6=O),'Hot mix emission factors'!I51,IF(OR($E$5="Choose one",$E$6="Choose one"),0)))))))</f>
        <v>0</v>
      </c>
      <c r="H61" s="261">
        <f t="shared" si="8"/>
        <v>0</v>
      </c>
      <c r="I61" s="525">
        <f t="shared" si="7"/>
        <v>0</v>
      </c>
      <c r="J61" s="101">
        <f t="shared" si="9"/>
        <v>0</v>
      </c>
    </row>
    <row r="62" spans="2:10" s="26" customFormat="1" ht="15" customHeight="1" x14ac:dyDescent="0.2">
      <c r="B62" s="89" t="str">
        <f>'Hot mix emission factors'!A52</f>
        <v>Benzo(g,h,i)perylene</v>
      </c>
      <c r="C62" s="47"/>
      <c r="D62" s="98"/>
      <c r="E62" s="99"/>
      <c r="F62" s="100"/>
      <c r="G62" s="525">
        <f>IF(AND($E$5=Ba,$E$6=NG),'Hot mix emission factors'!B52,IF(AND($E$5=Ba,$E$6=D),'Hot mix emission factors'!D52,IF(AND($E$5=Ba,$E$6=O),'Hot mix emission factors'!E52,IF(AND($E$5=Dr,$E$6=NG),'Hot mix emission factors'!F52,IF(AND($E$5=Dr,$E$6=D),'Hot mix emission factors'!H52,IF(AND($E$5=Dr,$E$6=O),'Hot mix emission factors'!I52,IF(OR($E$5="Choose one",$E$6="Choose one"),0)))))))</f>
        <v>0</v>
      </c>
      <c r="H62" s="261">
        <f t="shared" si="8"/>
        <v>0</v>
      </c>
      <c r="I62" s="525">
        <f t="shared" si="7"/>
        <v>0</v>
      </c>
      <c r="J62" s="101">
        <f t="shared" si="9"/>
        <v>0</v>
      </c>
    </row>
    <row r="63" spans="2:10" s="26" customFormat="1" ht="15" customHeight="1" x14ac:dyDescent="0.2">
      <c r="B63" s="89" t="str">
        <f>'Hot mix emission factors'!A53</f>
        <v>Benzo(k)fluoranthene</v>
      </c>
      <c r="C63" s="47"/>
      <c r="D63" s="98"/>
      <c r="E63" s="99"/>
      <c r="F63" s="100"/>
      <c r="G63" s="525">
        <f>IF(AND($E$5=Ba,$E$6=NG),'Hot mix emission factors'!B53,IF(AND($E$5=Ba,$E$6=D),'Hot mix emission factors'!D53,IF(AND($E$5=Ba,$E$6=O),'Hot mix emission factors'!E53,IF(AND($E$5=Dr,$E$6=NG),'Hot mix emission factors'!F53,IF(AND($E$5=Dr,$E$6=D),'Hot mix emission factors'!H53,IF(AND($E$5=Dr,$E$6=O),'Hot mix emission factors'!I53,IF(OR($E$5="Choose one",$E$6="Choose one"),0)))))))</f>
        <v>0</v>
      </c>
      <c r="H63" s="261">
        <f t="shared" si="8"/>
        <v>0</v>
      </c>
      <c r="I63" s="525">
        <f t="shared" si="7"/>
        <v>0</v>
      </c>
      <c r="J63" s="101">
        <f t="shared" si="9"/>
        <v>0</v>
      </c>
    </row>
    <row r="64" spans="2:10" s="26" customFormat="1" ht="15" customHeight="1" x14ac:dyDescent="0.2">
      <c r="B64" s="579" t="str">
        <f>'Hot mix emission factors'!A54</f>
        <v>Chrysene</v>
      </c>
      <c r="C64" s="537"/>
      <c r="D64" s="266"/>
      <c r="E64" s="266"/>
      <c r="F64" s="538"/>
      <c r="G64" s="525">
        <f>IF(AND($E$5=Ba,$E$6=NG),'Hot mix emission factors'!B54,IF(AND($E$5=Ba,$E$6=D),'Hot mix emission factors'!D54,IF(AND($E$5=Ba,$E$6=O),'Hot mix emission factors'!E54,IF(AND($E$5=Dr,$E$6=NG),'Hot mix emission factors'!F54,IF(AND($E$5=Dr,$E$6=D),'Hot mix emission factors'!H54,IF(AND($E$5=Dr,$E$6=O),'Hot mix emission factors'!I54,IF(OR($E$5="Choose one",$E$6="Choose one"),0)))))))</f>
        <v>0</v>
      </c>
      <c r="H64" s="261">
        <f t="shared" si="8"/>
        <v>0</v>
      </c>
      <c r="I64" s="525">
        <f t="shared" si="7"/>
        <v>0</v>
      </c>
      <c r="J64" s="101">
        <f t="shared" si="9"/>
        <v>0</v>
      </c>
    </row>
    <row r="65" spans="2:10" s="26" customFormat="1" ht="15" customHeight="1" x14ac:dyDescent="0.2">
      <c r="B65" s="89" t="str">
        <f>'Hot mix emission factors'!A55</f>
        <v>Dibenz(a,h)anthracene</v>
      </c>
      <c r="C65" s="47"/>
      <c r="D65" s="98"/>
      <c r="E65" s="99"/>
      <c r="F65" s="100"/>
      <c r="G65" s="525">
        <f>IF(AND($E$5=Ba,$E$6=NG),'Hot mix emission factors'!B55,IF(AND($E$5=Ba,$E$6=D),'Hot mix emission factors'!D55,IF(AND($E$5=Ba,$E$6=O),'Hot mix emission factors'!E55,IF(AND($E$5=Dr,$E$6=NG),'Hot mix emission factors'!F55,IF(AND($E$5=Dr,$E$6=D),'Hot mix emission factors'!H55,IF(AND($E$5=Dr,$E$6=O),'Hot mix emission factors'!I55,IF(OR($E$5="Choose one",$E$6="Choose one"),0)))))))</f>
        <v>0</v>
      </c>
      <c r="H65" s="261">
        <f t="shared" si="8"/>
        <v>0</v>
      </c>
      <c r="I65" s="525">
        <f t="shared" si="7"/>
        <v>0</v>
      </c>
      <c r="J65" s="101">
        <f t="shared" si="9"/>
        <v>0</v>
      </c>
    </row>
    <row r="66" spans="2:10" s="26" customFormat="1" ht="15" customHeight="1" x14ac:dyDescent="0.2">
      <c r="B66" s="89" t="str">
        <f>'Hot mix emission factors'!A56</f>
        <v>Fluoranthene</v>
      </c>
      <c r="C66" s="47"/>
      <c r="D66" s="98"/>
      <c r="E66" s="99"/>
      <c r="F66" s="100"/>
      <c r="G66" s="525">
        <f>IF(AND($E$5=Ba,$E$6=NG),'Hot mix emission factors'!B56,IF(AND($E$5=Ba,$E$6=D),'Hot mix emission factors'!D56,IF(AND($E$5=Ba,$E$6=O),'Hot mix emission factors'!E56,IF(AND($E$5=Dr,$E$6=NG),'Hot mix emission factors'!F56,IF(AND($E$5=Dr,$E$6=D),'Hot mix emission factors'!H56,IF(AND($E$5=Dr,$E$6=O),'Hot mix emission factors'!I56,IF(OR($E$5="Choose one",$E$6="Choose one"),0)))))))</f>
        <v>0</v>
      </c>
      <c r="H66" s="261">
        <f t="shared" si="8"/>
        <v>0</v>
      </c>
      <c r="I66" s="525">
        <f t="shared" si="7"/>
        <v>0</v>
      </c>
      <c r="J66" s="101">
        <f t="shared" si="9"/>
        <v>0</v>
      </c>
    </row>
    <row r="67" spans="2:10" s="26" customFormat="1" ht="15" customHeight="1" x14ac:dyDescent="0.2">
      <c r="B67" s="89" t="str">
        <f>'Hot mix emission factors'!A57</f>
        <v>Fluorene</v>
      </c>
      <c r="C67" s="535"/>
      <c r="D67" s="98"/>
      <c r="E67" s="99"/>
      <c r="F67" s="539"/>
      <c r="G67" s="525">
        <f>IF(AND($E$5=Ba,$E$6=NG),'Hot mix emission factors'!B57,IF(AND($E$5=Ba,$E$6=D),'Hot mix emission factors'!D57,IF(AND($E$5=Ba,$E$6=O),'Hot mix emission factors'!E57,IF(AND($E$5=Dr,$E$6=NG),'Hot mix emission factors'!F57,IF(AND($E$5=Dr,$E$6=D),'Hot mix emission factors'!H57,IF(AND($E$5=Dr,$E$6=O),'Hot mix emission factors'!I57,IF(OR($E$5="Choose one",$E$6="Choose one"),0)))))))</f>
        <v>0</v>
      </c>
      <c r="H67" s="261">
        <f t="shared" si="8"/>
        <v>0</v>
      </c>
      <c r="I67" s="525">
        <f t="shared" si="7"/>
        <v>0</v>
      </c>
      <c r="J67" s="101">
        <f t="shared" si="9"/>
        <v>0</v>
      </c>
    </row>
    <row r="68" spans="2:10" s="26" customFormat="1" ht="15" customHeight="1" x14ac:dyDescent="0.2">
      <c r="B68" s="89" t="str">
        <f>'Hot mix emission factors'!A58</f>
        <v>Indeno(1,2,3-cd)pyrene</v>
      </c>
      <c r="C68" s="535"/>
      <c r="D68" s="98"/>
      <c r="E68" s="99"/>
      <c r="F68" s="539"/>
      <c r="G68" s="525">
        <f>IF(AND($E$5=Ba,$E$6=NG),'Hot mix emission factors'!B58,IF(AND($E$5=Ba,$E$6=D),'Hot mix emission factors'!D58,IF(AND($E$5=Ba,$E$6=O),'Hot mix emission factors'!E58,IF(AND($E$5=Dr,$E$6=NG),'Hot mix emission factors'!F58,IF(AND($E$5=Dr,$E$6=D),'Hot mix emission factors'!H58,IF(AND($E$5=Dr,$E$6=O),'Hot mix emission factors'!I58,IF(OR($E$5="Choose one",$E$6="Choose one"),0)))))))</f>
        <v>0</v>
      </c>
      <c r="H68" s="261">
        <f t="shared" si="8"/>
        <v>0</v>
      </c>
      <c r="I68" s="525">
        <f t="shared" si="7"/>
        <v>0</v>
      </c>
      <c r="J68" s="101">
        <f t="shared" si="9"/>
        <v>0</v>
      </c>
    </row>
    <row r="69" spans="2:10" s="26" customFormat="1" ht="15" customHeight="1" x14ac:dyDescent="0.2">
      <c r="B69" s="579" t="str">
        <f>'Hot mix emission factors'!A59</f>
        <v>Naphthalene</v>
      </c>
      <c r="C69" s="537"/>
      <c r="D69" s="266"/>
      <c r="E69" s="266"/>
      <c r="F69" s="538"/>
      <c r="G69" s="525">
        <f>IF(AND($E$5=Ba,$E$6=NG),'Hot mix emission factors'!B59,IF(AND($E$5=Ba,$E$6=D),'Hot mix emission factors'!D59,IF(AND($E$5=Ba,$E$6=O),'Hot mix emission factors'!E59,IF(AND($E$5=Dr,$E$6=NG),'Hot mix emission factors'!F59,IF(AND($E$5=Dr,$E$6=D),'Hot mix emission factors'!H59,IF(AND($E$5=Dr,$E$6=O),'Hot mix emission factors'!I59,IF(OR($E$5="Choose one",$E$6="Choose one"),0)))))))</f>
        <v>0</v>
      </c>
      <c r="H69" s="261">
        <f t="shared" si="8"/>
        <v>0</v>
      </c>
      <c r="I69" s="525">
        <f t="shared" si="7"/>
        <v>0</v>
      </c>
      <c r="J69" s="101">
        <f t="shared" si="9"/>
        <v>0</v>
      </c>
    </row>
    <row r="70" spans="2:10" s="26" customFormat="1" ht="15" customHeight="1" x14ac:dyDescent="0.2">
      <c r="B70" s="89" t="str">
        <f>'Hot mix emission factors'!A60</f>
        <v>Phenanthrene</v>
      </c>
      <c r="C70" s="47"/>
      <c r="D70" s="98"/>
      <c r="E70" s="99"/>
      <c r="F70" s="100"/>
      <c r="G70" s="525">
        <f>IF(AND($E$5=Ba,$E$6=NG),'Hot mix emission factors'!B60,IF(AND($E$5=Ba,$E$6=D),'Hot mix emission factors'!D60,IF(AND($E$5=Ba,$E$6=O),'Hot mix emission factors'!E60,IF(AND($E$5=Dr,$E$6=NG),'Hot mix emission factors'!F60,IF(AND($E$5=Dr,$E$6=D),'Hot mix emission factors'!H60,IF(AND($E$5=Dr,$E$6=O),'Hot mix emission factors'!I60,IF(OR($E$5="Choose one",$E$6="Choose one"),0)))))))</f>
        <v>0</v>
      </c>
      <c r="H70" s="261">
        <f t="shared" si="8"/>
        <v>0</v>
      </c>
      <c r="I70" s="525">
        <f t="shared" si="7"/>
        <v>0</v>
      </c>
      <c r="J70" s="101">
        <f t="shared" si="9"/>
        <v>0</v>
      </c>
    </row>
    <row r="71" spans="2:10" s="26" customFormat="1" ht="15" customHeight="1" x14ac:dyDescent="0.2">
      <c r="B71" s="89" t="str">
        <f>'Hot mix emission factors'!A61</f>
        <v>Pyrene</v>
      </c>
      <c r="C71" s="47"/>
      <c r="D71" s="98"/>
      <c r="E71" s="99"/>
      <c r="F71" s="100"/>
      <c r="G71" s="525">
        <f>IF(AND($E$5=Ba,$E$6=NG),'Hot mix emission factors'!B61,IF(AND($E$5=Ba,$E$6=D),'Hot mix emission factors'!D61,IF(AND($E$5=Ba,$E$6=O),'Hot mix emission factors'!E61,IF(AND($E$5=Dr,$E$6=NG),'Hot mix emission factors'!F61,IF(AND($E$5=Dr,$E$6=D),'Hot mix emission factors'!H61,IF(AND($E$5=Dr,$E$6=O),'Hot mix emission factors'!I61,IF(OR($E$5="Choose one",$E$6="Choose one"),0)))))))</f>
        <v>0</v>
      </c>
      <c r="H71" s="261">
        <f t="shared" si="8"/>
        <v>0</v>
      </c>
      <c r="I71" s="525">
        <f t="shared" si="7"/>
        <v>0</v>
      </c>
      <c r="J71" s="101">
        <f t="shared" si="9"/>
        <v>0</v>
      </c>
    </row>
    <row r="72" spans="2:10" s="26" customFormat="1" ht="15" customHeight="1" x14ac:dyDescent="0.2">
      <c r="B72" s="89" t="str">
        <f>'Hot mix emission factors'!A62</f>
        <v>Benzo(e)pyrene</v>
      </c>
      <c r="C72" s="47"/>
      <c r="D72" s="98"/>
      <c r="E72" s="99"/>
      <c r="F72" s="100"/>
      <c r="G72" s="525">
        <f>IF(AND($E$5=Ba,$E$6=NG),'Hot mix emission factors'!B62,IF(AND($E$5=Ba,$E$6=D),'Hot mix emission factors'!D62,IF(AND($E$5=Ba,$E$6=O),'Hot mix emission factors'!E62,IF(AND($E$5=Dr,$E$6=NG),'Hot mix emission factors'!F62,IF(AND($E$5=Dr,$E$6=D),'Hot mix emission factors'!H62,IF(AND($E$5=Dr,$E$6=O),'Hot mix emission factors'!I62,IF(OR($E$5="Choose one",$E$6="Choose one"),0)))))))</f>
        <v>0</v>
      </c>
      <c r="H72" s="261">
        <f t="shared" si="8"/>
        <v>0</v>
      </c>
      <c r="I72" s="525">
        <f t="shared" si="7"/>
        <v>0</v>
      </c>
      <c r="J72" s="101">
        <f t="shared" si="9"/>
        <v>0</v>
      </c>
    </row>
    <row r="73" spans="2:10" s="26" customFormat="1" ht="15" customHeight="1" thickBot="1" x14ac:dyDescent="0.25">
      <c r="B73" s="89" t="str">
        <f>'Hot mix emission factors'!A63</f>
        <v>Perylene</v>
      </c>
      <c r="C73" s="47"/>
      <c r="D73" s="98"/>
      <c r="E73" s="99"/>
      <c r="F73" s="100"/>
      <c r="G73" s="875">
        <f>IF(AND($E$5=Ba,$E$6=NG),'Hot mix emission factors'!B63,IF(AND($E$5=Ba,$E$6=D),'Hot mix emission factors'!D63,IF(AND($E$5=Ba,$E$6=O),'Hot mix emission factors'!E63,IF(AND($E$5=Dr,$E$6=NG),'Hot mix emission factors'!F63,IF(AND($E$5=Dr,$E$6=D),'Hot mix emission factors'!H63,IF(AND($E$5=Dr,$E$6=O),'Hot mix emission factors'!I63,IF(OR($E$5="Choose one",$E$6="Choose one"),0)))))))</f>
        <v>0</v>
      </c>
      <c r="H73" s="261">
        <f t="shared" si="8"/>
        <v>0</v>
      </c>
      <c r="I73" s="525">
        <f t="shared" ref="I73:I84" si="10">G73</f>
        <v>0</v>
      </c>
      <c r="J73" s="101">
        <f t="shared" si="9"/>
        <v>0</v>
      </c>
    </row>
    <row r="74" spans="2:10" s="26" customFormat="1" ht="15" customHeight="1" x14ac:dyDescent="0.2">
      <c r="B74" s="39" t="str">
        <f>'Hot mix emission factors'!A64</f>
        <v>Metal HAPs</v>
      </c>
      <c r="C74" s="37"/>
      <c r="D74" s="43"/>
      <c r="E74" s="38"/>
      <c r="F74" s="44"/>
      <c r="G74" s="874" t="s">
        <v>171</v>
      </c>
      <c r="H74" s="526"/>
      <c r="I74" s="526"/>
      <c r="J74" s="527"/>
    </row>
    <row r="75" spans="2:10" s="26" customFormat="1" ht="15" customHeight="1" x14ac:dyDescent="0.2">
      <c r="B75" s="89" t="str">
        <f>'Hot mix emission factors'!A65</f>
        <v>Antimony</v>
      </c>
      <c r="C75" s="47"/>
      <c r="D75" s="98"/>
      <c r="E75" s="99"/>
      <c r="F75" s="100"/>
      <c r="G75" s="525">
        <f>IF(AND($E$5=Ba,$E$6=NG),'Hot mix emission factors'!B65,IF(AND($E$5=Ba,$E$6=D),'Hot mix emission factors'!D65,IF(AND($E$5=Ba,$E$6=O),'Hot mix emission factors'!E65,IF(AND($E$5=Dr,$E$6=NG),'Hot mix emission factors'!F65,IF(AND($E$5=Dr,$E$6=D),'Hot mix emission factors'!H65,IF(AND($E$5=Dr,$E$6=O),'Hot mix emission factors'!I65,IF(OR($E$5="Choose one",$E$6="Choose one"),0)))))))</f>
        <v>0</v>
      </c>
      <c r="H75" s="261">
        <f t="shared" ref="H75:H85" si="11">$D$26*$F$26*$G75/2000</f>
        <v>0</v>
      </c>
      <c r="I75" s="525">
        <f t="shared" si="10"/>
        <v>0</v>
      </c>
      <c r="J75" s="101">
        <f t="shared" ref="J75:J85" si="12">($E$26*$I75)/2000</f>
        <v>0</v>
      </c>
    </row>
    <row r="76" spans="2:10" s="26" customFormat="1" ht="15" customHeight="1" x14ac:dyDescent="0.2">
      <c r="B76" s="89" t="str">
        <f>'Hot mix emission factors'!A66</f>
        <v>Arsenic</v>
      </c>
      <c r="C76" s="47"/>
      <c r="D76" s="98"/>
      <c r="E76" s="99"/>
      <c r="F76" s="100"/>
      <c r="G76" s="525">
        <f>IF(AND($E$5=Ba,$E$6=NG),'Hot mix emission factors'!B66,IF(AND($E$5=Ba,$E$6=D),'Hot mix emission factors'!D66,IF(AND($E$5=Ba,$E$6=O),'Hot mix emission factors'!E66,IF(AND($E$5=Dr,$E$6=NG),'Hot mix emission factors'!F66,IF(AND($E$5=Dr,$E$6=D),'Hot mix emission factors'!H66,IF(AND($E$5=Dr,$E$6=O),'Hot mix emission factors'!I66,IF(OR($E$5="Choose one",$E$6="Choose one"),0)))))))</f>
        <v>0</v>
      </c>
      <c r="H76" s="261">
        <f t="shared" si="11"/>
        <v>0</v>
      </c>
      <c r="I76" s="525">
        <f t="shared" si="10"/>
        <v>0</v>
      </c>
      <c r="J76" s="101">
        <f t="shared" si="12"/>
        <v>0</v>
      </c>
    </row>
    <row r="77" spans="2:10" s="26" customFormat="1" ht="15" customHeight="1" x14ac:dyDescent="0.2">
      <c r="B77" s="89" t="str">
        <f>'Hot mix emission factors'!A67</f>
        <v>Beryllium</v>
      </c>
      <c r="C77" s="47"/>
      <c r="D77" s="98"/>
      <c r="E77" s="99"/>
      <c r="F77" s="100"/>
      <c r="G77" s="525">
        <f>IF(AND($E$5=Ba,$E$6=NG),'Hot mix emission factors'!B67,IF(AND($E$5=Ba,$E$6=D),'Hot mix emission factors'!D67,IF(AND($E$5=Ba,$E$6=O),'Hot mix emission factors'!E67,IF(AND($E$5=Dr,$E$6=NG),'Hot mix emission factors'!F67,IF(AND($E$5=Dr,$E$6=D),'Hot mix emission factors'!H67,IF(AND($E$5=Dr,$E$6=O),'Hot mix emission factors'!I67,IF(OR($E$5="Choose one",$E$6="Choose one"),0)))))))</f>
        <v>0</v>
      </c>
      <c r="H77" s="261">
        <f t="shared" si="11"/>
        <v>0</v>
      </c>
      <c r="I77" s="525">
        <f t="shared" si="10"/>
        <v>0</v>
      </c>
      <c r="J77" s="101">
        <f t="shared" si="12"/>
        <v>0</v>
      </c>
    </row>
    <row r="78" spans="2:10" s="26" customFormat="1" ht="15" customHeight="1" x14ac:dyDescent="0.2">
      <c r="B78" s="89" t="str">
        <f>'Hot mix emission factors'!A68</f>
        <v>Cadmium</v>
      </c>
      <c r="C78" s="47"/>
      <c r="D78" s="98"/>
      <c r="E78" s="99"/>
      <c r="F78" s="100"/>
      <c r="G78" s="525">
        <f>IF(AND($E$5=Ba,$E$6=NG),'Hot mix emission factors'!B68,IF(AND($E$5=Ba,$E$6=D),'Hot mix emission factors'!D68,IF(AND($E$5=Ba,$E$6=O),'Hot mix emission factors'!E68,IF(AND($E$5=Dr,$E$6=NG),'Hot mix emission factors'!F68,IF(AND($E$5=Dr,$E$6=D),'Hot mix emission factors'!H68,IF(AND($E$5=Dr,$E$6=O),'Hot mix emission factors'!I68,IF(OR($E$5="Choose one",$E$6="Choose one"),0)))))))</f>
        <v>0</v>
      </c>
      <c r="H78" s="261">
        <f t="shared" si="11"/>
        <v>0</v>
      </c>
      <c r="I78" s="525">
        <f t="shared" si="10"/>
        <v>0</v>
      </c>
      <c r="J78" s="101">
        <f t="shared" si="12"/>
        <v>0</v>
      </c>
    </row>
    <row r="79" spans="2:10" s="26" customFormat="1" ht="15" customHeight="1" x14ac:dyDescent="0.2">
      <c r="B79" s="579" t="str">
        <f>'Hot mix emission factors'!A69</f>
        <v>Chromium</v>
      </c>
      <c r="C79" s="537"/>
      <c r="D79" s="266"/>
      <c r="E79" s="266"/>
      <c r="F79" s="538"/>
      <c r="G79" s="525">
        <f>IF(AND($E$5=Ba,$E$6=NG),'Hot mix emission factors'!B69,IF(AND($E$5=Ba,$E$6=D),'Hot mix emission factors'!D69,IF(AND($E$5=Ba,$E$6=O),'Hot mix emission factors'!E69,IF(AND($E$5=Dr,$E$6=NG),'Hot mix emission factors'!F69,IF(AND($E$5=Dr,$E$6=D),'Hot mix emission factors'!H69,IF(AND($E$5=Dr,$E$6=O),'Hot mix emission factors'!I69,IF(OR($E$5="Choose one",$E$6="Choose one"),0)))))))</f>
        <v>0</v>
      </c>
      <c r="H79" s="261">
        <f t="shared" si="11"/>
        <v>0</v>
      </c>
      <c r="I79" s="525">
        <f t="shared" si="10"/>
        <v>0</v>
      </c>
      <c r="J79" s="101">
        <f t="shared" si="12"/>
        <v>0</v>
      </c>
    </row>
    <row r="80" spans="2:10" s="26" customFormat="1" ht="15" customHeight="1" x14ac:dyDescent="0.2">
      <c r="B80" s="89" t="str">
        <f>'Hot mix emission factors'!A70</f>
        <v>Chromium (VI)</v>
      </c>
      <c r="C80" s="47"/>
      <c r="D80" s="98"/>
      <c r="E80" s="99"/>
      <c r="F80" s="100"/>
      <c r="G80" s="525">
        <f>IF(AND($E$5=Ba,$E$6=NG),'Hot mix emission factors'!B70,IF(AND($E$5=Ba,$E$6=D),'Hot mix emission factors'!D70,IF(AND($E$5=Ba,$E$6=O),'Hot mix emission factors'!E70,IF(AND($E$5=Dr,$E$6=NG),'Hot mix emission factors'!F70,IF(AND($E$5=Dr,$E$6=D),'Hot mix emission factors'!H70,IF(AND($E$5=Dr,$E$6=O),'Hot mix emission factors'!I70,IF(OR($E$5="Choose one",$E$6="Choose one"),0)))))))</f>
        <v>0</v>
      </c>
      <c r="H80" s="261">
        <f t="shared" si="11"/>
        <v>0</v>
      </c>
      <c r="I80" s="525">
        <f t="shared" si="10"/>
        <v>0</v>
      </c>
      <c r="J80" s="101">
        <f t="shared" si="12"/>
        <v>0</v>
      </c>
    </row>
    <row r="81" spans="1:21" s="26" customFormat="1" ht="15" customHeight="1" x14ac:dyDescent="0.2">
      <c r="B81" s="89" t="str">
        <f>'Hot mix emission factors'!A71</f>
        <v>Cobalt</v>
      </c>
      <c r="C81" s="47"/>
      <c r="D81" s="98"/>
      <c r="E81" s="99"/>
      <c r="F81" s="100"/>
      <c r="G81" s="525">
        <f>IF(AND($E$5=Ba,$E$6=NG),'Hot mix emission factors'!B71,IF(AND($E$5=Ba,$E$6=D),'Hot mix emission factors'!D71,IF(AND($E$5=Ba,$E$6=O),'Hot mix emission factors'!E71,IF(AND($E$5=Dr,$E$6=NG),'Hot mix emission factors'!F71,IF(AND($E$5=Dr,$E$6=D),'Hot mix emission factors'!H71,IF(AND($E$5=Dr,$E$6=O),'Hot mix emission factors'!I71,IF(OR($E$5="Choose one",$E$6="Choose one"),0)))))))</f>
        <v>0</v>
      </c>
      <c r="H81" s="261">
        <f t="shared" si="11"/>
        <v>0</v>
      </c>
      <c r="I81" s="525">
        <f t="shared" si="10"/>
        <v>0</v>
      </c>
      <c r="J81" s="101">
        <f t="shared" si="12"/>
        <v>0</v>
      </c>
    </row>
    <row r="82" spans="1:21" s="26" customFormat="1" ht="15" customHeight="1" x14ac:dyDescent="0.2">
      <c r="B82" s="89" t="str">
        <f>'Hot mix emission factors'!A72</f>
        <v>Manganese</v>
      </c>
      <c r="C82" s="47"/>
      <c r="D82" s="98"/>
      <c r="E82" s="99"/>
      <c r="F82" s="100"/>
      <c r="G82" s="525">
        <f>IF(AND($E$5=Ba,$E$6=NG),'Hot mix emission factors'!B72,IF(AND($E$5=Ba,$E$6=D),'Hot mix emission factors'!D72,IF(AND($E$5=Ba,$E$6=O),'Hot mix emission factors'!E72,IF(AND($E$5=Dr,$E$6=NG),'Hot mix emission factors'!F72,IF(AND($E$5=Dr,$E$6=D),'Hot mix emission factors'!H72,IF(AND($E$5=Dr,$E$6=O),'Hot mix emission factors'!I72,IF(OR($E$5="Choose one",$E$6="Choose one"),0)))))))</f>
        <v>0</v>
      </c>
      <c r="H82" s="261">
        <f t="shared" si="11"/>
        <v>0</v>
      </c>
      <c r="I82" s="525">
        <f t="shared" si="10"/>
        <v>0</v>
      </c>
      <c r="J82" s="101">
        <f t="shared" si="12"/>
        <v>0</v>
      </c>
    </row>
    <row r="83" spans="1:21" s="26" customFormat="1" ht="15" customHeight="1" x14ac:dyDescent="0.2">
      <c r="B83" s="89" t="str">
        <f>'Hot mix emission factors'!A73</f>
        <v>Mercury</v>
      </c>
      <c r="C83" s="47"/>
      <c r="D83" s="98"/>
      <c r="E83" s="99"/>
      <c r="F83" s="100"/>
      <c r="G83" s="525">
        <f>IF(AND($E$5=Ba,$E$6=NG),'Hot mix emission factors'!B73,IF(AND($E$5=Ba,$E$6=D),'Hot mix emission factors'!D73,IF(AND($E$5=Ba,$E$6=O),'Hot mix emission factors'!E73,IF(AND($E$5=Dr,$E$6=NG),'Hot mix emission factors'!F73,IF(AND($E$5=Dr,$E$6=D),'Hot mix emission factors'!H73,IF(AND($E$5=Dr,$E$6=O),'Hot mix emission factors'!I73,IF(OR($E$5="Choose one",$E$6="Choose one"),0)))))))</f>
        <v>0</v>
      </c>
      <c r="H83" s="261">
        <f t="shared" si="11"/>
        <v>0</v>
      </c>
      <c r="I83" s="525">
        <f t="shared" si="10"/>
        <v>0</v>
      </c>
      <c r="J83" s="101">
        <f t="shared" si="12"/>
        <v>0</v>
      </c>
    </row>
    <row r="84" spans="1:21" s="26" customFormat="1" ht="15" customHeight="1" x14ac:dyDescent="0.2">
      <c r="B84" s="89" t="str">
        <f>'Hot mix emission factors'!A74</f>
        <v>Nickel</v>
      </c>
      <c r="C84" s="47"/>
      <c r="D84" s="98"/>
      <c r="E84" s="99"/>
      <c r="F84" s="100"/>
      <c r="G84" s="525">
        <f>IF(AND($E$5=Ba,$E$6=NG),'Hot mix emission factors'!B74,IF(AND($E$5=Ba,$E$6=D),'Hot mix emission factors'!D74,IF(AND($E$5=Ba,$E$6=O),'Hot mix emission factors'!E74,IF(AND($E$5=Dr,$E$6=NG),'Hot mix emission factors'!F74,IF(AND($E$5=Dr,$E$6=D),'Hot mix emission factors'!H74,IF(AND($E$5=Dr,$E$6=O),'Hot mix emission factors'!I74,IF(OR($E$5="Choose one",$E$6="Choose one"),0)))))))</f>
        <v>0</v>
      </c>
      <c r="H84" s="261">
        <f t="shared" si="11"/>
        <v>0</v>
      </c>
      <c r="I84" s="525">
        <f t="shared" si="10"/>
        <v>0</v>
      </c>
      <c r="J84" s="101">
        <f t="shared" si="12"/>
        <v>0</v>
      </c>
    </row>
    <row r="85" spans="1:21" s="26" customFormat="1" ht="15" customHeight="1" thickBot="1" x14ac:dyDescent="0.25">
      <c r="B85" s="89" t="str">
        <f>'Hot mix emission factors'!A75</f>
        <v>Selenium</v>
      </c>
      <c r="C85" s="47"/>
      <c r="D85" s="98"/>
      <c r="E85" s="99"/>
      <c r="F85" s="100"/>
      <c r="G85" s="875">
        <f>IF(AND($E$5=Ba,$E$6=NG),'Hot mix emission factors'!B75,IF(AND($E$5=Ba,$E$6=D),'Hot mix emission factors'!D75,IF(AND($E$5=Ba,$E$6=O),'Hot mix emission factors'!E75,IF(AND($E$5=Dr,$E$6=NG),'Hot mix emission factors'!F75,IF(AND($E$5=Dr,$E$6=D),'Hot mix emission factors'!H75,IF(AND($E$5=Dr,$E$6=O),'Hot mix emission factors'!I75,IF(OR($E$5="Choose one",$E$6="Choose one"),0)))))))</f>
        <v>0</v>
      </c>
      <c r="H85" s="261">
        <f t="shared" si="11"/>
        <v>0</v>
      </c>
      <c r="I85" s="525">
        <f t="shared" ref="I85:I97" si="13">G85</f>
        <v>0</v>
      </c>
      <c r="J85" s="101">
        <f t="shared" si="12"/>
        <v>0</v>
      </c>
    </row>
    <row r="86" spans="1:21" s="26" customFormat="1" ht="15" customHeight="1" x14ac:dyDescent="0.2">
      <c r="B86" s="39" t="str">
        <f>'Hot mix emission factors'!A76</f>
        <v>Dioxins</v>
      </c>
      <c r="C86" s="37"/>
      <c r="D86" s="43"/>
      <c r="E86" s="38"/>
      <c r="F86" s="44"/>
      <c r="G86" s="873" t="s">
        <v>171</v>
      </c>
      <c r="H86" s="526"/>
      <c r="I86" s="526"/>
      <c r="J86" s="527"/>
    </row>
    <row r="87" spans="1:21" s="26" customFormat="1" ht="15" customHeight="1" x14ac:dyDescent="0.2">
      <c r="B87" s="89" t="str">
        <f>'Hot mix emission factors'!A77</f>
        <v>Total TCCD</v>
      </c>
      <c r="C87" s="47"/>
      <c r="D87" s="98"/>
      <c r="E87" s="99"/>
      <c r="F87" s="100"/>
      <c r="G87" s="525">
        <f>IF(AND($E$5=Ba,$E$6=NG),'Hot mix emission factors'!B77,IF(AND($E$5=Ba,$E$6=D),'Hot mix emission factors'!D77,IF(AND($E$5=Ba,$E$6=O),'Hot mix emission factors'!E77,IF(AND($E$5=Dr,$E$6=NG),'Hot mix emission factors'!F77,IF(AND($E$5=Dr,$E$6=D),'Hot mix emission factors'!H77,IF(AND($E$5=Dr,$E$6=O),'Hot mix emission factors'!I77,IF(OR($E$5="Choose one",$E$6="Choose one"),0)))))))</f>
        <v>0</v>
      </c>
      <c r="H87" s="261">
        <f>$D$26*$F$26*$G87/2000</f>
        <v>0</v>
      </c>
      <c r="I87" s="525">
        <f t="shared" si="13"/>
        <v>0</v>
      </c>
      <c r="J87" s="101">
        <f>($E$26*$I87)/2000</f>
        <v>0</v>
      </c>
    </row>
    <row r="88" spans="1:21" s="26" customFormat="1" ht="15" customHeight="1" x14ac:dyDescent="0.2">
      <c r="B88" s="89" t="str">
        <f>'Hot mix emission factors'!A78</f>
        <v>Total PeCDD</v>
      </c>
      <c r="C88" s="47"/>
      <c r="D88" s="98"/>
      <c r="E88" s="99"/>
      <c r="F88" s="100"/>
      <c r="G88" s="525">
        <f>IF(AND($E$5=Ba,$E$6=NG),'Hot mix emission factors'!B78,IF(AND($E$5=Ba,$E$6=D),'Hot mix emission factors'!D78,IF(AND($E$5=Ba,$E$6=O),'Hot mix emission factors'!E78,IF(AND($E$5=Dr,$E$6=NG),'Hot mix emission factors'!F78,IF(AND($E$5=Dr,$E$6=D),'Hot mix emission factors'!H78,IF(AND($E$5=Dr,$E$6=O),'Hot mix emission factors'!I78,IF(OR($E$5="Choose one",$E$6="Choose one"),0)))))))</f>
        <v>0</v>
      </c>
      <c r="H88" s="261">
        <f>$D$26*$F$26*$G88/2000</f>
        <v>0</v>
      </c>
      <c r="I88" s="525">
        <f t="shared" si="13"/>
        <v>0</v>
      </c>
      <c r="J88" s="101">
        <f>($E$26*$I88)/2000</f>
        <v>0</v>
      </c>
    </row>
    <row r="89" spans="1:21" s="26" customFormat="1" ht="15" customHeight="1" x14ac:dyDescent="0.2">
      <c r="B89" s="89" t="str">
        <f>'Hot mix emission factors'!A79</f>
        <v>Total HxCDD</v>
      </c>
      <c r="C89" s="47"/>
      <c r="D89" s="98"/>
      <c r="E89" s="99"/>
      <c r="F89" s="100"/>
      <c r="G89" s="525">
        <f>IF(AND($E$5=Ba,$E$6=NG),'Hot mix emission factors'!B79,IF(AND($E$5=Ba,$E$6=D),'Hot mix emission factors'!D79,IF(AND($E$5=Ba,$E$6=O),'Hot mix emission factors'!E79,IF(AND($E$5=Dr,$E$6=NG),'Hot mix emission factors'!F79,IF(AND($E$5=Dr,$E$6=D),'Hot mix emission factors'!H79,IF(AND($E$5=Dr,$E$6=O),'Hot mix emission factors'!I79,IF(OR($E$5="Choose one",$E$6="Choose one"),0)))))))</f>
        <v>0</v>
      </c>
      <c r="H89" s="261">
        <f>$D$26*$F$26*$G89/2000</f>
        <v>0</v>
      </c>
      <c r="I89" s="525">
        <f t="shared" si="13"/>
        <v>0</v>
      </c>
      <c r="J89" s="101">
        <f>($E$26*$I89)/2000</f>
        <v>0</v>
      </c>
    </row>
    <row r="90" spans="1:21" s="26" customFormat="1" ht="15" customHeight="1" x14ac:dyDescent="0.2">
      <c r="B90" s="89" t="str">
        <f>'Hot mix emission factors'!A80</f>
        <v>Total HpCDD</v>
      </c>
      <c r="C90" s="47"/>
      <c r="D90" s="98"/>
      <c r="E90" s="99"/>
      <c r="F90" s="100"/>
      <c r="G90" s="525">
        <f>IF(AND($E$5=Ba,$E$6=NG),'Hot mix emission factors'!B80,IF(AND($E$5=Ba,$E$6=D),'Hot mix emission factors'!D80,IF(AND($E$5=Ba,$E$6=O),'Hot mix emission factors'!E80,IF(AND($E$5=Dr,$E$6=NG),'Hot mix emission factors'!F80,IF(AND($E$5=Dr,$E$6=D),'Hot mix emission factors'!H80,IF(AND($E$5=Dr,$E$6=O),'Hot mix emission factors'!I80,IF(OR($E$5="Choose one",$E$6="Choose one"),0)))))))</f>
        <v>0</v>
      </c>
      <c r="H90" s="261">
        <f>$D$26*$F$26*$G90/2000</f>
        <v>0</v>
      </c>
      <c r="I90" s="525">
        <f t="shared" si="13"/>
        <v>0</v>
      </c>
      <c r="J90" s="101">
        <f>($E$26*$I90)/2000</f>
        <v>0</v>
      </c>
    </row>
    <row r="91" spans="1:21" s="26" customFormat="1" ht="15" customHeight="1" thickBot="1" x14ac:dyDescent="0.25">
      <c r="B91" s="89" t="str">
        <f>'Hot mix emission factors'!A81</f>
        <v>Total PCDD</v>
      </c>
      <c r="C91" s="47"/>
      <c r="D91" s="98"/>
      <c r="E91" s="99"/>
      <c r="F91" s="100"/>
      <c r="G91" s="875">
        <f>IF(AND($E$5=Ba,$E$6=NG),'Hot mix emission factors'!B81,IF(AND($E$5=Ba,$E$6=D),'Hot mix emission factors'!D81,IF(AND($E$5=Ba,$E$6=O),'Hot mix emission factors'!E81,IF(AND($E$5=Dr,$E$6=NG),'Hot mix emission factors'!F81,IF(AND($E$5=Dr,$E$6=D),'Hot mix emission factors'!H81,IF(AND($E$5=Dr,$E$6=O),'Hot mix emission factors'!I81,IF(OR($E$5="Choose one",$E$6="Choose one"),0)))))))</f>
        <v>0</v>
      </c>
      <c r="H91" s="261">
        <f>$D$26*$F$26*$G91/2000</f>
        <v>0</v>
      </c>
      <c r="I91" s="525">
        <f t="shared" si="13"/>
        <v>0</v>
      </c>
      <c r="J91" s="101">
        <f>($E$26*$I91)/2000</f>
        <v>0</v>
      </c>
    </row>
    <row r="92" spans="1:21" s="26" customFormat="1" ht="15" customHeight="1" x14ac:dyDescent="0.2">
      <c r="B92" s="39" t="str">
        <f>'Hot mix emission factors'!A82</f>
        <v>Furans</v>
      </c>
      <c r="C92" s="37"/>
      <c r="D92" s="43"/>
      <c r="E92" s="38"/>
      <c r="F92" s="44"/>
      <c r="G92" s="873" t="s">
        <v>171</v>
      </c>
      <c r="H92" s="526"/>
      <c r="I92" s="526"/>
      <c r="J92" s="527"/>
    </row>
    <row r="93" spans="1:21" s="26" customFormat="1" ht="15" customHeight="1" x14ac:dyDescent="0.2">
      <c r="B93" s="89" t="str">
        <f>'Hot mix emission factors'!A83</f>
        <v>Total TCDF</v>
      </c>
      <c r="C93" s="47"/>
      <c r="D93" s="98"/>
      <c r="E93" s="99"/>
      <c r="F93" s="100"/>
      <c r="G93" s="525">
        <f>IF(AND($E$5=Ba,$E$6=NG),'Hot mix emission factors'!B83,IF(AND($E$5=Ba,$E$6=D),'Hot mix emission factors'!D83,IF(AND($E$5=Ba,$E$6=O),'Hot mix emission factors'!E83,IF(AND($E$5=Dr,$E$6=NG),'Hot mix emission factors'!F83,IF(AND($E$5=Dr,$E$6=D),'Hot mix emission factors'!H83,IF(AND($E$5=Dr,$E$6=O),'Hot mix emission factors'!I83,IF(OR($E$5="Choose one",$E$6="Choose one"),0)))))))</f>
        <v>0</v>
      </c>
      <c r="H93" s="261">
        <f>$D$26*$F$26*$G93/2000</f>
        <v>0</v>
      </c>
      <c r="I93" s="525">
        <f t="shared" si="13"/>
        <v>0</v>
      </c>
      <c r="J93" s="101">
        <f>($E$26*$I93)/2000</f>
        <v>0</v>
      </c>
    </row>
    <row r="94" spans="1:21" s="26" customFormat="1" ht="15" customHeight="1" x14ac:dyDescent="0.2">
      <c r="B94" s="89" t="str">
        <f>'Hot mix emission factors'!A84</f>
        <v>Total PeCDF</v>
      </c>
      <c r="C94" s="47"/>
      <c r="D94" s="98"/>
      <c r="E94" s="99"/>
      <c r="F94" s="100"/>
      <c r="G94" s="525">
        <f>IF(AND($E$5=Ba,$E$6=NG),'Hot mix emission factors'!B84,IF(AND($E$5=Ba,$E$6=D),'Hot mix emission factors'!D84,IF(AND($E$5=Ba,$E$6=O),'Hot mix emission factors'!E84,IF(AND($E$5=Dr,$E$6=NG),'Hot mix emission factors'!F84,IF(AND($E$5=Dr,$E$6=D),'Hot mix emission factors'!H84,IF(AND($E$5=Dr,$E$6=O),'Hot mix emission factors'!I84,IF(OR($E$5="Choose one",$E$6="Choose one"),0)))))))</f>
        <v>0</v>
      </c>
      <c r="H94" s="261">
        <f>$D$26*$F$26*$G94/2000</f>
        <v>0</v>
      </c>
      <c r="I94" s="525">
        <f t="shared" si="13"/>
        <v>0</v>
      </c>
      <c r="J94" s="101">
        <f>($E$26*$I94)/2000</f>
        <v>0</v>
      </c>
    </row>
    <row r="95" spans="1:21" s="26" customFormat="1" ht="15" customHeight="1" x14ac:dyDescent="0.2">
      <c r="B95" s="89" t="str">
        <f>'Hot mix emission factors'!A85</f>
        <v>Total HxCDF</v>
      </c>
      <c r="C95" s="47"/>
      <c r="D95" s="98"/>
      <c r="E95" s="99"/>
      <c r="F95" s="100"/>
      <c r="G95" s="525">
        <f>IF(AND($E$5=Ba,$E$6=NG),'Hot mix emission factors'!B85,IF(AND($E$5=Ba,$E$6=D),'Hot mix emission factors'!D85,IF(AND($E$5=Ba,$E$6=O),'Hot mix emission factors'!E85,IF(AND($E$5=Dr,$E$6=NG),'Hot mix emission factors'!F85,IF(AND($E$5=Dr,$E$6=D),'Hot mix emission factors'!H85,IF(AND($E$5=Dr,$E$6=O),'Hot mix emission factors'!I85,IF(OR($E$5="Choose one",$E$6="Choose one"),0)))))))</f>
        <v>0</v>
      </c>
      <c r="H95" s="261">
        <f>$D$26*$F$26*$G95/2000</f>
        <v>0</v>
      </c>
      <c r="I95" s="525">
        <f t="shared" si="13"/>
        <v>0</v>
      </c>
      <c r="J95" s="101">
        <f>($E$26*$I95)/2000</f>
        <v>0</v>
      </c>
    </row>
    <row r="96" spans="1:21" s="46" customFormat="1" ht="15" customHeight="1" x14ac:dyDescent="0.2">
      <c r="A96" s="26"/>
      <c r="B96" s="89" t="str">
        <f>'Hot mix emission factors'!A86</f>
        <v>Total HpCDF</v>
      </c>
      <c r="C96" s="47"/>
      <c r="D96" s="98"/>
      <c r="E96" s="99"/>
      <c r="F96" s="100"/>
      <c r="G96" s="525">
        <f>IF(AND($E$5=Ba,$E$6=NG),'Hot mix emission factors'!B86,IF(AND($E$5=Ba,$E$6=D),'Hot mix emission factors'!D86,IF(AND($E$5=Ba,$E$6=O),'Hot mix emission factors'!E86,IF(AND($E$5=Dr,$E$6=NG),'Hot mix emission factors'!F86,IF(AND($E$5=Dr,$E$6=D),'Hot mix emission factors'!H86,IF(AND($E$5=Dr,$E$6=O),'Hot mix emission factors'!I86,IF(OR($E$5="Choose one",$E$6="Choose one"),0)))))))</f>
        <v>0</v>
      </c>
      <c r="H96" s="261">
        <f>$D$26*$F$26*$G96/2000</f>
        <v>0</v>
      </c>
      <c r="I96" s="525">
        <f t="shared" si="13"/>
        <v>0</v>
      </c>
      <c r="J96" s="101">
        <f>($E$26*$I96)/2000</f>
        <v>0</v>
      </c>
      <c r="L96" s="26"/>
      <c r="M96" s="26"/>
      <c r="N96" s="26"/>
      <c r="O96" s="26"/>
      <c r="P96" s="26"/>
      <c r="Q96" s="26"/>
      <c r="R96" s="26"/>
      <c r="S96" s="26"/>
      <c r="T96" s="26"/>
      <c r="U96" s="26"/>
    </row>
    <row r="97" spans="1:21" s="46" customFormat="1" thickBot="1" x14ac:dyDescent="0.25">
      <c r="A97" s="26"/>
      <c r="B97" s="89" t="str">
        <f>'Hot mix emission factors'!A87</f>
        <v>Total PCDF</v>
      </c>
      <c r="C97" s="47"/>
      <c r="D97" s="98"/>
      <c r="E97" s="99"/>
      <c r="F97" s="100"/>
      <c r="G97" s="525">
        <f>IF(AND($E$5=Ba,$E$6=NG),'Hot mix emission factors'!B87,IF(AND($E$5=Ba,$E$6=D),'Hot mix emission factors'!D87,IF(AND($E$5=Ba,$E$6=O),'Hot mix emission factors'!E87,IF(AND($E$5=Dr,$E$6=NG),'Hot mix emission factors'!F87,IF(AND($E$5=Dr,$E$6=D),'Hot mix emission factors'!H87,IF(AND($E$5=Dr,$E$6=O),'Hot mix emission factors'!I87,IF(OR($E$5="Choose one",$E$6="Choose one"),0)))))))</f>
        <v>0</v>
      </c>
      <c r="H97" s="261">
        <f>$D$26*$F$26*$G97/2000</f>
        <v>0</v>
      </c>
      <c r="I97" s="525">
        <f t="shared" si="13"/>
        <v>0</v>
      </c>
      <c r="J97" s="101">
        <f>($E$26*$I97)/2000</f>
        <v>0</v>
      </c>
      <c r="L97" s="26"/>
      <c r="M97" s="26"/>
      <c r="N97" s="26"/>
      <c r="O97" s="26"/>
      <c r="P97" s="26"/>
      <c r="Q97" s="26"/>
      <c r="R97" s="26"/>
      <c r="S97" s="26"/>
      <c r="T97" s="26"/>
      <c r="U97" s="26"/>
    </row>
    <row r="98" spans="1:21" s="46" customFormat="1" ht="15" customHeight="1" x14ac:dyDescent="0.2">
      <c r="B98" s="1003" t="s">
        <v>345</v>
      </c>
      <c r="C98" s="1003"/>
      <c r="D98" s="1003"/>
      <c r="E98" s="1003"/>
      <c r="F98" s="1003"/>
      <c r="G98" s="1003"/>
      <c r="H98" s="1003"/>
      <c r="I98" s="1003"/>
      <c r="J98" s="1003"/>
      <c r="L98" s="26"/>
      <c r="M98" s="26"/>
      <c r="N98" s="26"/>
      <c r="O98" s="26"/>
      <c r="P98" s="26"/>
      <c r="Q98" s="26"/>
      <c r="R98" s="26"/>
      <c r="S98" s="26"/>
    </row>
    <row r="99" spans="1:21" s="46" customFormat="1" ht="15" customHeight="1" x14ac:dyDescent="0.2">
      <c r="B99" s="1010" t="s">
        <v>346</v>
      </c>
      <c r="C99" s="1010"/>
      <c r="D99" s="1010"/>
      <c r="E99" s="1010"/>
      <c r="F99" s="1004" t="s">
        <v>348</v>
      </c>
      <c r="G99" s="1004"/>
      <c r="H99" s="1004"/>
      <c r="I99" s="1004"/>
      <c r="J99" s="652"/>
      <c r="L99" s="26"/>
      <c r="M99" s="26"/>
    </row>
    <row r="100" spans="1:21" s="46" customFormat="1" ht="15" customHeight="1" x14ac:dyDescent="0.2">
      <c r="B100" s="1009" t="s">
        <v>625</v>
      </c>
      <c r="C100" s="1009"/>
      <c r="D100" s="1009"/>
      <c r="E100" s="1009"/>
      <c r="F100" s="1002" t="s">
        <v>347</v>
      </c>
      <c r="G100" s="1002"/>
      <c r="H100" s="1002"/>
      <c r="I100" s="1002"/>
      <c r="J100" s="1002"/>
    </row>
    <row r="101" spans="1:21" x14ac:dyDescent="0.25">
      <c r="A101" s="46"/>
      <c r="B101" s="1009"/>
      <c r="C101" s="1009"/>
      <c r="D101" s="1009"/>
      <c r="E101" s="1009"/>
      <c r="F101" s="1002"/>
      <c r="G101" s="1002"/>
      <c r="H101" s="1002"/>
      <c r="I101" s="1002"/>
      <c r="J101" s="1002"/>
      <c r="L101" s="46"/>
      <c r="M101" s="46"/>
      <c r="N101" s="46"/>
      <c r="O101" s="46"/>
      <c r="P101" s="46"/>
      <c r="Q101" s="46"/>
      <c r="R101" s="46"/>
      <c r="S101" s="46"/>
      <c r="T101" s="46"/>
      <c r="U101" s="46"/>
    </row>
    <row r="102" spans="1:21" x14ac:dyDescent="0.25">
      <c r="A102" s="46"/>
      <c r="B102" s="1009"/>
      <c r="C102" s="1009"/>
      <c r="D102" s="1009"/>
      <c r="E102" s="1009"/>
      <c r="F102" s="1001" t="s">
        <v>232</v>
      </c>
      <c r="G102" s="1001"/>
      <c r="H102" s="1001"/>
      <c r="I102" s="1001"/>
      <c r="J102" s="1001"/>
      <c r="L102" s="46"/>
      <c r="M102" s="46"/>
      <c r="N102" s="46"/>
      <c r="O102" s="46"/>
      <c r="P102" s="46"/>
      <c r="Q102" s="46"/>
      <c r="R102" s="46"/>
      <c r="S102" s="46"/>
      <c r="T102" s="46"/>
      <c r="U102" s="46"/>
    </row>
    <row r="103" spans="1:21" x14ac:dyDescent="0.25">
      <c r="L103" s="46"/>
      <c r="M103" s="46"/>
      <c r="N103" s="46"/>
      <c r="O103" s="46"/>
      <c r="P103" s="46"/>
      <c r="Q103" s="46"/>
      <c r="R103" s="46"/>
      <c r="S103" s="46"/>
    </row>
    <row r="104" spans="1:21" x14ac:dyDescent="0.25">
      <c r="L104" s="46"/>
      <c r="M104" s="46"/>
    </row>
    <row r="109" spans="1:21" hidden="1" x14ac:dyDescent="0.25"/>
    <row r="110" spans="1:21" x14ac:dyDescent="0.25">
      <c r="B110" s="1"/>
      <c r="C110" s="1"/>
      <c r="D110" s="1"/>
      <c r="E110" s="1"/>
    </row>
    <row r="111" spans="1:21" x14ac:dyDescent="0.25">
      <c r="F111" s="1"/>
      <c r="G111" s="1"/>
      <c r="H111" s="1"/>
      <c r="I111" s="1"/>
      <c r="J111" s="1"/>
    </row>
    <row r="132" hidden="1" x14ac:dyDescent="0.25"/>
    <row r="197" hidden="1" x14ac:dyDescent="0.25"/>
    <row r="198" hidden="1" x14ac:dyDescent="0.25"/>
  </sheetData>
  <protectedRanges>
    <protectedRange sqref="B39:C39" name="Range1"/>
  </protectedRanges>
  <dataConsolidate/>
  <mergeCells count="57">
    <mergeCell ref="L10:W11"/>
    <mergeCell ref="M20:O20"/>
    <mergeCell ref="M21:O21"/>
    <mergeCell ref="M22:O22"/>
    <mergeCell ref="C23:C26"/>
    <mergeCell ref="D23:D24"/>
    <mergeCell ref="E23:E24"/>
    <mergeCell ref="F23:F24"/>
    <mergeCell ref="G23:G24"/>
    <mergeCell ref="H23:H24"/>
    <mergeCell ref="I23:I24"/>
    <mergeCell ref="J23:J24"/>
    <mergeCell ref="M24:P24"/>
    <mergeCell ref="R13:R14"/>
    <mergeCell ref="T13:T14"/>
    <mergeCell ref="U13:U14"/>
    <mergeCell ref="V13:V14"/>
    <mergeCell ref="W13:W14"/>
    <mergeCell ref="M13:M14"/>
    <mergeCell ref="O13:O14"/>
    <mergeCell ref="N13:N14"/>
    <mergeCell ref="P13:P14"/>
    <mergeCell ref="Q13:Q14"/>
    <mergeCell ref="S13:S14"/>
    <mergeCell ref="B19:F19"/>
    <mergeCell ref="B11:G11"/>
    <mergeCell ref="G17:H17"/>
    <mergeCell ref="F13:J13"/>
    <mergeCell ref="B16:J16"/>
    <mergeCell ref="B13:D13"/>
    <mergeCell ref="F15:J15"/>
    <mergeCell ref="I17:J18"/>
    <mergeCell ref="B14:C14"/>
    <mergeCell ref="F14:J14"/>
    <mergeCell ref="B17:F17"/>
    <mergeCell ref="J5:J6"/>
    <mergeCell ref="B2:J2"/>
    <mergeCell ref="F102:J102"/>
    <mergeCell ref="F100:J101"/>
    <mergeCell ref="B98:J98"/>
    <mergeCell ref="F99:I99"/>
    <mergeCell ref="C5:D5"/>
    <mergeCell ref="E5:F5"/>
    <mergeCell ref="E6:F6"/>
    <mergeCell ref="B21:J21"/>
    <mergeCell ref="B3:J3"/>
    <mergeCell ref="E4:F4"/>
    <mergeCell ref="B100:E102"/>
    <mergeCell ref="B99:E99"/>
    <mergeCell ref="B6:D6"/>
    <mergeCell ref="B8:D8"/>
    <mergeCell ref="B10:D10"/>
    <mergeCell ref="B9:D9"/>
    <mergeCell ref="G4:I4"/>
    <mergeCell ref="G5:I5"/>
    <mergeCell ref="G6:I6"/>
    <mergeCell ref="B7:D7"/>
  </mergeCells>
  <conditionalFormatting sqref="B14 D14:D15">
    <cfRule type="expression" dxfId="51" priority="7">
      <formula>OR($E$13="No",$E$13="Choose one")</formula>
    </cfRule>
  </conditionalFormatting>
  <conditionalFormatting sqref="B19:F19 H19">
    <cfRule type="expression" dxfId="50" priority="3">
      <formula>$G$17:$H$17="Choose one"</formula>
    </cfRule>
  </conditionalFormatting>
  <conditionalFormatting sqref="E14:E15">
    <cfRule type="expression" dxfId="49" priority="4">
      <formula>OR($E$13="No",$E$13="Choose one")</formula>
    </cfRule>
  </conditionalFormatting>
  <conditionalFormatting sqref="F14:F15">
    <cfRule type="expression" dxfId="48" priority="1">
      <formula>OR($E$13="No",$E$13="Choose one")</formula>
    </cfRule>
  </conditionalFormatting>
  <conditionalFormatting sqref="G19 I19">
    <cfRule type="expression" dxfId="47" priority="2">
      <formula>$G$17:$H$17="Choose one"</formula>
    </cfRule>
  </conditionalFormatting>
  <conditionalFormatting sqref="G28:G35 G37:G39">
    <cfRule type="cellIs" dxfId="46" priority="33" operator="equal">
      <formula>0</formula>
    </cfRule>
  </conditionalFormatting>
  <conditionalFormatting sqref="G42:G53 G55:G73 G75:G85 G87:G91 G93:G97">
    <cfRule type="cellIs" dxfId="45" priority="19" operator="equal">
      <formula>0</formula>
    </cfRule>
  </conditionalFormatting>
  <conditionalFormatting sqref="I28:I35 I37:I39">
    <cfRule type="cellIs" dxfId="44" priority="31" operator="equal">
      <formula>0</formula>
    </cfRule>
  </conditionalFormatting>
  <conditionalFormatting sqref="I42:I53">
    <cfRule type="cellIs" dxfId="43" priority="14" operator="equal">
      <formula>0</formula>
    </cfRule>
  </conditionalFormatting>
  <conditionalFormatting sqref="I55:I73 I75:I85 I87:I91 I93:I97">
    <cfRule type="cellIs" dxfId="42" priority="13" operator="equal">
      <formula>0</formula>
    </cfRule>
  </conditionalFormatting>
  <conditionalFormatting sqref="J5:J6">
    <cfRule type="containsBlanks" dxfId="41" priority="34">
      <formula>LEN(TRIM(J5))=0</formula>
    </cfRule>
  </conditionalFormatting>
  <hyperlinks>
    <hyperlink ref="F102:J102" r:id="rId1" display="https://www.epa.gov/scram/air-quality-dispersion-modeling-screening-models" xr:uid="{00000000-0004-0000-0300-000000000000}"/>
    <hyperlink ref="I17:J18" r:id="rId2" display="If you use a different type of control equipment, see Minn. R. 7011.0070" xr:uid="{00000000-0004-0000-0300-000001000000}"/>
  </hyperlinks>
  <pageMargins left="0.25" right="0.25" top="0.5" bottom="0.5" header="0.3" footer="0.3"/>
  <pageSetup scale="85" orientation="landscape" r:id="rId3"/>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extLst>
    <ext xmlns:x14="http://schemas.microsoft.com/office/spreadsheetml/2009/9/main" uri="{CCE6A557-97BC-4b89-ADB6-D9C93CAAB3DF}">
      <x14:dataValidations xmlns:xm="http://schemas.microsoft.com/office/excel/2006/main" disablePrompts="1" count="6">
        <x14:dataValidation type="list" errorStyle="information" allowBlank="1" showInputMessage="1" showErrorMessage="1" errorTitle="Incorrect Entry" error="Please choose from the drop down list. _x000a__x000a_----&gt; Press CANCEL" xr:uid="{00000000-0002-0000-0300-000000000000}">
          <x14:formula1>
            <xm:f>'Data Validation'!$B$6:$B$8</xm:f>
          </x14:formula1>
          <xm:sqref>E5:F5</xm:sqref>
        </x14:dataValidation>
        <x14:dataValidation type="list" errorStyle="information" allowBlank="1" showInputMessage="1" showErrorMessage="1" errorTitle="Incorrect Entry" error="Please choose from the drop down list. _x000a__x000a_----&gt; Press CANCEL" xr:uid="{00000000-0002-0000-0300-000001000000}">
          <x14:formula1>
            <xm:f>'Data Validation'!$B$12:$B$15</xm:f>
          </x14:formula1>
          <xm:sqref>E6:F6</xm:sqref>
        </x14:dataValidation>
        <x14:dataValidation type="list" errorStyle="information" allowBlank="1" showInputMessage="1" showErrorMessage="1" errorTitle="Incorrect Entry" error="Please choose from the drop down list. _x000a__x000a_----&gt; Press CANCEL" xr:uid="{00000000-0002-0000-0300-000002000000}">
          <x14:formula1>
            <xm:f>'Data Validation'!$A$6:$A$8</xm:f>
          </x14:formula1>
          <xm:sqref>E13</xm:sqref>
        </x14:dataValidation>
        <x14:dataValidation type="list" errorStyle="information" allowBlank="1" showInputMessage="1" showErrorMessage="1" errorTitle="Incorrect Entry" error="Please choose from the drop down list. _x000a__x000a_----&gt; Press CANCEL" xr:uid="{00000000-0002-0000-0300-000003000000}">
          <x14:formula1>
            <xm:f>'Data Validation'!$B$19:$B$29</xm:f>
          </x14:formula1>
          <xm:sqref>J4</xm:sqref>
        </x14:dataValidation>
        <x14:dataValidation type="list" errorStyle="information" allowBlank="1" showInputMessage="1" showErrorMessage="1" errorTitle="Incorrect Entry" error="Please choose from the drop down list. _x000a__x000a_----&gt; Press CANCEL" xr:uid="{00000000-0002-0000-0300-000004000000}">
          <x14:formula1>
            <xm:f>'Data Validation'!$B$33:$B$40</xm:f>
          </x14:formula1>
          <xm:sqref>G17:H17</xm:sqref>
        </x14:dataValidation>
        <x14:dataValidation type="list" allowBlank="1" showInputMessage="1" showErrorMessage="1" xr:uid="{00000000-0002-0000-0300-000005000000}">
          <x14:formula1>
            <xm:f>'Data Validation'!$B$44:$B$46</xm:f>
          </x14:formula1>
          <xm:sqref>B8:D8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D1EAFF"/>
    <pageSetUpPr fitToPage="1"/>
  </sheetPr>
  <dimension ref="B1:P67"/>
  <sheetViews>
    <sheetView showGridLines="0" zoomScaleNormal="100" zoomScaleSheetLayoutView="100" zoomScalePageLayoutView="85" workbookViewId="0">
      <selection activeCell="B2" sqref="B2:H2"/>
    </sheetView>
  </sheetViews>
  <sheetFormatPr defaultColWidth="9.42578125" defaultRowHeight="15" x14ac:dyDescent="0.25"/>
  <cols>
    <col min="1" max="1" width="5.42578125" style="2" customWidth="1"/>
    <col min="2" max="2" width="24.5703125" style="2" customWidth="1"/>
    <col min="3" max="8" width="17.42578125" style="2" customWidth="1"/>
    <col min="9" max="9" width="8.42578125" style="2" customWidth="1"/>
    <col min="10" max="10" width="24.5703125" style="2" customWidth="1"/>
    <col min="11" max="16" width="17.42578125" style="2" customWidth="1"/>
    <col min="17" max="16384" width="9.42578125" style="2"/>
  </cols>
  <sheetData>
    <row r="1" spans="2:16" x14ac:dyDescent="0.25">
      <c r="B1" s="670"/>
      <c r="C1" s="670"/>
      <c r="D1" s="670"/>
      <c r="E1" s="670"/>
      <c r="F1" s="670"/>
      <c r="G1" s="670"/>
      <c r="H1" s="671" t="str">
        <f>Instructions!$H$2</f>
        <v>p-sbap5-20  •  7/28/2025</v>
      </c>
    </row>
    <row r="2" spans="2:16" ht="19.5" thickBot="1" x14ac:dyDescent="0.3">
      <c r="B2" s="920" t="s">
        <v>170</v>
      </c>
      <c r="C2" s="920"/>
      <c r="D2" s="920"/>
      <c r="E2" s="920"/>
      <c r="F2" s="920"/>
      <c r="G2" s="920"/>
      <c r="H2" s="920"/>
      <c r="K2" s="5"/>
    </row>
    <row r="3" spans="2:16" x14ac:dyDescent="0.25">
      <c r="B3" s="1007" t="s">
        <v>216</v>
      </c>
      <c r="C3" s="1007"/>
      <c r="D3" s="1007"/>
      <c r="E3" s="1007"/>
      <c r="F3" s="1007"/>
      <c r="G3" s="1007"/>
      <c r="H3" s="1007"/>
    </row>
    <row r="4" spans="2:16" ht="9.75" customHeight="1" x14ac:dyDescent="0.25">
      <c r="B4" s="115"/>
      <c r="C4" s="9"/>
      <c r="D4" s="10"/>
      <c r="E4" s="10"/>
      <c r="F4" s="10"/>
      <c r="G4" s="10"/>
      <c r="H4" s="10"/>
    </row>
    <row r="5" spans="2:16" s="21" customFormat="1" ht="12.75" x14ac:dyDescent="0.2">
      <c r="B5" s="1036" t="s">
        <v>187</v>
      </c>
      <c r="C5" s="1036"/>
      <c r="D5" s="1036"/>
      <c r="E5" s="1036"/>
      <c r="F5" s="129" t="s">
        <v>103</v>
      </c>
    </row>
    <row r="6" spans="2:16" s="21" customFormat="1" ht="15" customHeight="1" x14ac:dyDescent="0.2">
      <c r="B6" s="116"/>
      <c r="D6" s="780" t="s">
        <v>189</v>
      </c>
      <c r="E6" s="53"/>
      <c r="F6" s="116" t="s">
        <v>607</v>
      </c>
      <c r="G6" s="116"/>
      <c r="H6" s="116"/>
    </row>
    <row r="7" spans="2:16" s="21" customFormat="1" ht="15" customHeight="1" x14ac:dyDescent="0.2">
      <c r="B7" s="116"/>
      <c r="D7" s="117" t="s">
        <v>190</v>
      </c>
      <c r="E7" s="358"/>
      <c r="F7" s="116" t="s">
        <v>442</v>
      </c>
      <c r="G7" s="116"/>
      <c r="H7" s="116"/>
    </row>
    <row r="8" spans="2:16" s="21" customFormat="1" ht="12" customHeight="1" x14ac:dyDescent="0.2">
      <c r="B8" s="116"/>
      <c r="C8" s="116"/>
      <c r="D8" s="116"/>
      <c r="E8" s="116"/>
      <c r="F8" s="116"/>
      <c r="G8" s="116"/>
      <c r="H8" s="116"/>
    </row>
    <row r="9" spans="2:16" s="21" customFormat="1" ht="15.75" thickBot="1" x14ac:dyDescent="0.25">
      <c r="B9" s="1037" t="s">
        <v>214</v>
      </c>
      <c r="C9" s="1037"/>
      <c r="D9" s="1037"/>
      <c r="E9" s="1037"/>
      <c r="F9" s="1037"/>
      <c r="G9" s="1037"/>
      <c r="H9" s="1037"/>
      <c r="I9" s="13"/>
      <c r="J9" s="1037" t="s">
        <v>215</v>
      </c>
      <c r="K9" s="1037"/>
      <c r="L9" s="1037"/>
      <c r="M9" s="1037"/>
      <c r="N9" s="1037"/>
      <c r="O9" s="1037"/>
      <c r="P9" s="1037"/>
    </row>
    <row r="10" spans="2:16" s="21" customFormat="1" ht="12.75" x14ac:dyDescent="0.2">
      <c r="B10" s="54"/>
      <c r="C10" s="109" t="s">
        <v>18</v>
      </c>
      <c r="D10" s="109" t="s">
        <v>19</v>
      </c>
      <c r="E10" s="108" t="s">
        <v>20</v>
      </c>
      <c r="F10" s="108" t="s">
        <v>21</v>
      </c>
      <c r="G10" s="57"/>
      <c r="H10" s="58"/>
      <c r="I10" s="13"/>
      <c r="J10" s="54"/>
      <c r="K10" s="109" t="s">
        <v>18</v>
      </c>
      <c r="L10" s="109" t="s">
        <v>19</v>
      </c>
      <c r="M10" s="108" t="s">
        <v>20</v>
      </c>
      <c r="N10" s="108" t="s">
        <v>21</v>
      </c>
      <c r="O10" s="57"/>
      <c r="P10" s="58"/>
    </row>
    <row r="11" spans="2:16" s="21" customFormat="1" ht="33.950000000000003" customHeight="1" x14ac:dyDescent="0.2">
      <c r="B11" s="643" t="s">
        <v>23</v>
      </c>
      <c r="C11" s="61" t="s">
        <v>223</v>
      </c>
      <c r="D11" s="644" t="s">
        <v>114</v>
      </c>
      <c r="E11" s="644" t="s">
        <v>319</v>
      </c>
      <c r="F11" s="644" t="s">
        <v>356</v>
      </c>
      <c r="G11" s="63" t="s">
        <v>27</v>
      </c>
      <c r="H11" s="645" t="s">
        <v>28</v>
      </c>
      <c r="J11" s="643" t="s">
        <v>23</v>
      </c>
      <c r="K11" s="61" t="s">
        <v>223</v>
      </c>
      <c r="L11" s="644" t="s">
        <v>114</v>
      </c>
      <c r="M11" s="644" t="s">
        <v>319</v>
      </c>
      <c r="N11" s="644" t="s">
        <v>622</v>
      </c>
      <c r="O11" s="63" t="s">
        <v>27</v>
      </c>
      <c r="P11" s="645" t="s">
        <v>28</v>
      </c>
    </row>
    <row r="12" spans="2:16" s="21" customFormat="1" ht="12" customHeight="1" x14ac:dyDescent="0.2">
      <c r="B12" s="657"/>
      <c r="C12" s="67" t="s">
        <v>224</v>
      </c>
      <c r="D12" s="67" t="s">
        <v>30</v>
      </c>
      <c r="E12" s="68" t="s">
        <v>30</v>
      </c>
      <c r="F12" s="68" t="s">
        <v>171</v>
      </c>
      <c r="G12" s="69" t="s">
        <v>33</v>
      </c>
      <c r="H12" s="70" t="s">
        <v>34</v>
      </c>
      <c r="J12" s="657"/>
      <c r="K12" s="67" t="s">
        <v>224</v>
      </c>
      <c r="L12" s="67" t="s">
        <v>30</v>
      </c>
      <c r="M12" s="68" t="s">
        <v>30</v>
      </c>
      <c r="N12" s="68" t="s">
        <v>171</v>
      </c>
      <c r="O12" s="69" t="s">
        <v>33</v>
      </c>
      <c r="P12" s="70" t="s">
        <v>34</v>
      </c>
    </row>
    <row r="13" spans="2:16" s="21" customFormat="1" ht="12.75" x14ac:dyDescent="0.2">
      <c r="B13" s="658"/>
      <c r="C13" s="118">
        <f>'Hot mix asphalt'!E7</f>
        <v>0</v>
      </c>
      <c r="D13" s="119">
        <f>'Hot mix asphalt'!E8</f>
        <v>0</v>
      </c>
      <c r="E13" s="120">
        <v>8760</v>
      </c>
      <c r="F13" s="130" t="s">
        <v>59</v>
      </c>
      <c r="G13" s="131" t="s">
        <v>96</v>
      </c>
      <c r="H13" s="659" t="s">
        <v>312</v>
      </c>
      <c r="J13" s="658"/>
      <c r="K13" s="118">
        <f>C13</f>
        <v>0</v>
      </c>
      <c r="L13" s="119">
        <f>D13</f>
        <v>0</v>
      </c>
      <c r="M13" s="120">
        <v>8760</v>
      </c>
      <c r="N13" s="130" t="s">
        <v>59</v>
      </c>
      <c r="O13" s="131" t="s">
        <v>96</v>
      </c>
      <c r="P13" s="659" t="s">
        <v>312</v>
      </c>
    </row>
    <row r="14" spans="2:16" s="26" customFormat="1" ht="15" customHeight="1" x14ac:dyDescent="0.2">
      <c r="B14" s="1033" t="s">
        <v>62</v>
      </c>
      <c r="C14" s="1034"/>
      <c r="D14" s="1034"/>
      <c r="E14" s="1034"/>
      <c r="F14" s="1034"/>
      <c r="G14" s="1034"/>
      <c r="H14" s="1035"/>
      <c r="J14" s="1033" t="s">
        <v>62</v>
      </c>
      <c r="K14" s="1034"/>
      <c r="L14" s="1034"/>
      <c r="M14" s="1034"/>
      <c r="N14" s="1034"/>
      <c r="O14" s="1034"/>
      <c r="P14" s="1035"/>
    </row>
    <row r="15" spans="2:16" s="21" customFormat="1" ht="15" customHeight="1" x14ac:dyDescent="0.2">
      <c r="B15" s="660" t="s">
        <v>36</v>
      </c>
      <c r="C15" s="121"/>
      <c r="D15" s="122"/>
      <c r="E15" s="123"/>
      <c r="F15" s="124">
        <f>IF($F$5="no",'Hot mix emission factors'!L12,IF($F$5="yes",(0.000181+0.00141*(-$E$6)*EXP((0.0251)*($E$7+460)-20.43)),IF($F$5="Choose one",0)))</f>
        <v>0</v>
      </c>
      <c r="G15" s="83">
        <f>$C$13*$E$13*$F15/2000</f>
        <v>0</v>
      </c>
      <c r="H15" s="82">
        <f>($C$13*$D$13*$F15)/2000</f>
        <v>0</v>
      </c>
      <c r="J15" s="660" t="s">
        <v>36</v>
      </c>
      <c r="K15" s="121"/>
      <c r="L15" s="122"/>
      <c r="M15" s="123"/>
      <c r="N15" s="124">
        <f>IF($F$5="no",'Hot mix emission factors'!N12,IF($F$5="yes",(0.000181+0.00141*(-$E$6)*EXP((0.0251)*($E$7+460)-20.43)),IF($F$5="Choose one",0)))</f>
        <v>0</v>
      </c>
      <c r="O15" s="83">
        <f>$K$13*$M$13*$N15/2000</f>
        <v>0</v>
      </c>
      <c r="P15" s="82">
        <f>($K$13*$L$13*$N15)/2000</f>
        <v>0</v>
      </c>
    </row>
    <row r="16" spans="2:16" s="21" customFormat="1" ht="15" customHeight="1" x14ac:dyDescent="0.2">
      <c r="B16" s="76" t="s">
        <v>37</v>
      </c>
      <c r="C16" s="77"/>
      <c r="D16" s="78"/>
      <c r="E16" s="79"/>
      <c r="F16" s="124">
        <f>IF($F$5="no",'Hot mix emission factors'!L13,IF($F$5="yes",(0.000181+0.00141*(-$E$6)*EXP((0.0251)*($E$7+460)-20.43)),IF($F$5="Choose one",0)))</f>
        <v>0</v>
      </c>
      <c r="G16" s="83">
        <f t="shared" ref="G16:G63" si="0">$C$13*$E$13*$F16/2000</f>
        <v>0</v>
      </c>
      <c r="H16" s="82">
        <f>($C$13*$D$13*$F16)/2000</f>
        <v>0</v>
      </c>
      <c r="J16" s="76" t="s">
        <v>37</v>
      </c>
      <c r="K16" s="77"/>
      <c r="L16" s="78"/>
      <c r="M16" s="79"/>
      <c r="N16" s="124">
        <f>IF($F$5="no",'Hot mix emission factors'!N13,IF($F$5="yes",(0.000181+0.00141*(-$E$6)*EXP((0.0251)*($E$7+460)-20.43)),IF($F$5="Choose one",0)))</f>
        <v>0</v>
      </c>
      <c r="O16" s="83">
        <f>$K$13*$M$13*$N16/2000</f>
        <v>0</v>
      </c>
      <c r="P16" s="82">
        <f>($K$13*$L$13*$N16)/2000</f>
        <v>0</v>
      </c>
    </row>
    <row r="17" spans="2:16" s="21" customFormat="1" ht="15" customHeight="1" x14ac:dyDescent="0.2">
      <c r="B17" s="76" t="s">
        <v>97</v>
      </c>
      <c r="C17" s="77"/>
      <c r="D17" s="78"/>
      <c r="E17" s="79"/>
      <c r="F17" s="124">
        <f>F16</f>
        <v>0</v>
      </c>
      <c r="G17" s="83">
        <f t="shared" si="0"/>
        <v>0</v>
      </c>
      <c r="H17" s="82">
        <f>($C$13*$D$13*$F17)/2000</f>
        <v>0</v>
      </c>
      <c r="J17" s="76" t="s">
        <v>97</v>
      </c>
      <c r="K17" s="77"/>
      <c r="L17" s="78"/>
      <c r="M17" s="79"/>
      <c r="N17" s="124">
        <f>N16</f>
        <v>0</v>
      </c>
      <c r="O17" s="83">
        <f>$K$13*$M$13*$N17/2000</f>
        <v>0</v>
      </c>
      <c r="P17" s="82">
        <f>($K$13*$L$13*$N17)/2000</f>
        <v>0</v>
      </c>
    </row>
    <row r="18" spans="2:16" s="21" customFormat="1" ht="15" customHeight="1" x14ac:dyDescent="0.2">
      <c r="B18" s="76" t="s">
        <v>40</v>
      </c>
      <c r="C18" s="77"/>
      <c r="D18" s="78"/>
      <c r="E18" s="79"/>
      <c r="F18" s="124">
        <f>IF($F$5="no",'Hot mix emission factors'!L15,IF($F$5="yes",(0.94)*(0.0172*(-$E$6)*EXP((0.0251)*($E$7+460)-20.43)),IF($F$5="Choose one",0)))</f>
        <v>0</v>
      </c>
      <c r="G18" s="83">
        <f t="shared" si="0"/>
        <v>0</v>
      </c>
      <c r="H18" s="82">
        <f>($C$13*$D$13*$F18)/2000</f>
        <v>0</v>
      </c>
      <c r="J18" s="76" t="s">
        <v>40</v>
      </c>
      <c r="K18" s="77"/>
      <c r="L18" s="78"/>
      <c r="M18" s="79"/>
      <c r="N18" s="124">
        <f>IF($F$5="no",'Hot mix emission factors'!N15,IF($F$5="yes",(0.94)*(0.0172*(-$E$6)*EXP((0.0251)*($E$7+460)-20.43)),IF($F$5="Choose one",0)))</f>
        <v>0</v>
      </c>
      <c r="O18" s="83">
        <f>$K$13*$M$13*$N18/2000</f>
        <v>0</v>
      </c>
      <c r="P18" s="82">
        <f>($K$13*$L$13*$N18)/2000</f>
        <v>0</v>
      </c>
    </row>
    <row r="19" spans="2:16" s="21" customFormat="1" ht="15" customHeight="1" x14ac:dyDescent="0.2">
      <c r="B19" s="272" t="s">
        <v>41</v>
      </c>
      <c r="C19" s="125"/>
      <c r="D19" s="126"/>
      <c r="E19" s="127"/>
      <c r="F19" s="124">
        <f>IF($F$5="no",'Hot mix emission factors'!L16,IF($F$5="yes",(0.94)*(0.0172*(-$E$6)*EXP((0.0251)*($E$7+460)-20.43)),IF($F$5="Choose one",0)))</f>
        <v>0</v>
      </c>
      <c r="G19" s="83">
        <f t="shared" si="0"/>
        <v>0</v>
      </c>
      <c r="H19" s="82">
        <f>($C$13*$D$13*$F19)/2000</f>
        <v>0</v>
      </c>
      <c r="J19" s="272" t="s">
        <v>41</v>
      </c>
      <c r="K19" s="125"/>
      <c r="L19" s="126"/>
      <c r="M19" s="127"/>
      <c r="N19" s="124">
        <f>IF($F$5="no",'Hot mix emission factors'!N16,IF($F$5="yes",(0.94)*(0.0172*(-$E$6)*EXP((0.0251)*($E$7+460)-20.43)),IF($F$5="Choose one",0)))</f>
        <v>0</v>
      </c>
      <c r="O19" s="83">
        <f>$K$13*$M$13*$N19/2000</f>
        <v>0</v>
      </c>
      <c r="P19" s="82">
        <f>($K$13*$L$13*$N19)/2000</f>
        <v>0</v>
      </c>
    </row>
    <row r="20" spans="2:16" s="21" customFormat="1" ht="15" customHeight="1" x14ac:dyDescent="0.2">
      <c r="B20" s="1033" t="s">
        <v>61</v>
      </c>
      <c r="C20" s="1034"/>
      <c r="D20" s="1034"/>
      <c r="E20" s="1034"/>
      <c r="F20" s="1034"/>
      <c r="G20" s="1034"/>
      <c r="H20" s="1035"/>
      <c r="J20" s="1033" t="s">
        <v>61</v>
      </c>
      <c r="K20" s="1034"/>
      <c r="L20" s="1034"/>
      <c r="M20" s="1034"/>
      <c r="N20" s="1034"/>
      <c r="O20" s="1034"/>
      <c r="P20" s="1035"/>
    </row>
    <row r="21" spans="2:16" s="21" customFormat="1" ht="15" customHeight="1" x14ac:dyDescent="0.2">
      <c r="B21" s="661" t="s">
        <v>177</v>
      </c>
      <c r="C21" s="502"/>
      <c r="D21" s="502"/>
      <c r="E21" s="503"/>
      <c r="F21" s="528">
        <f>IF($F$5="no",'Hot mix emission factors'!$L$12,IF($F$5="yes",(0.000181+0.00141*(-$E$6)*EXP((0.0251)*($E$7+460)-20.43)),IF($F$5="Choose one",0)))*'Hot mix emission factors'!L18</f>
        <v>0</v>
      </c>
      <c r="G21" s="83">
        <f>$C$13*$E$13*$F21/2000</f>
        <v>0</v>
      </c>
      <c r="H21" s="82">
        <f>($C$13*$D$13*$F21)/2000</f>
        <v>0</v>
      </c>
      <c r="J21" s="661" t="s">
        <v>177</v>
      </c>
      <c r="K21" s="502"/>
      <c r="L21" s="502"/>
      <c r="M21" s="503"/>
      <c r="N21" s="528">
        <f>IF($F$5="no",'Hot mix emission factors'!$N$12,IF($F$5="yes",(0.000181+0.00141*(-$E$6)*EXP((0.0251)*($E$7+460)-20.43)),IF($F$5="Choose one",0)))*'Hot mix emission factors'!N18</f>
        <v>0</v>
      </c>
      <c r="O21" s="83">
        <f>$K$13*$M$13*$N21/2000</f>
        <v>0</v>
      </c>
      <c r="P21" s="82">
        <f>($K$13*$L$13*$N21)/2000</f>
        <v>0</v>
      </c>
    </row>
    <row r="22" spans="2:16" s="21" customFormat="1" ht="15" customHeight="1" x14ac:dyDescent="0.2">
      <c r="B22" s="662"/>
      <c r="C22" s="125"/>
      <c r="D22" s="126"/>
      <c r="E22" s="501" t="s">
        <v>457</v>
      </c>
      <c r="F22" s="505"/>
      <c r="G22" s="83">
        <f>G21*25</f>
        <v>0</v>
      </c>
      <c r="H22" s="82">
        <f>H21*25</f>
        <v>0</v>
      </c>
      <c r="J22" s="662"/>
      <c r="K22" s="125"/>
      <c r="L22" s="126"/>
      <c r="M22" s="501" t="s">
        <v>457</v>
      </c>
      <c r="N22" s="504"/>
      <c r="O22" s="83">
        <f>O21*25</f>
        <v>0</v>
      </c>
      <c r="P22" s="82">
        <f>P21*25</f>
        <v>0</v>
      </c>
    </row>
    <row r="23" spans="2:16" s="21" customFormat="1" ht="15" customHeight="1" x14ac:dyDescent="0.2">
      <c r="B23" s="1033" t="str">
        <f>'Hot mix emission factors'!K20</f>
        <v>Non-PAH/Volatile HAPS</v>
      </c>
      <c r="C23" s="1034"/>
      <c r="D23" s="1034"/>
      <c r="E23" s="1044"/>
      <c r="F23" s="1034" t="e">
        <f>IF($F$5="no",'Hot mix emission factors'!$L$12,IF($F$5="yes",(0.00141*(-$E$6)*EXP((0.0251)*($E$7+460)-20.43)),IF($F$5="Choose one",0)))*'Hot mix emission factors'!L20</f>
        <v>#VALUE!</v>
      </c>
      <c r="G23" s="1034" t="e">
        <f t="shared" si="0"/>
        <v>#VALUE!</v>
      </c>
      <c r="H23" s="1035" t="e">
        <f t="shared" ref="H23:H63" si="1">($C$13*$D$13*$F23)/2000</f>
        <v>#VALUE!</v>
      </c>
      <c r="J23" s="1033" t="str">
        <f>'Hot mix emission factors'!K20</f>
        <v>Non-PAH/Volatile HAPS</v>
      </c>
      <c r="K23" s="1034"/>
      <c r="L23" s="1034"/>
      <c r="M23" s="1034"/>
      <c r="N23" s="1034" t="e">
        <f>IF($F$5="no",'Hot mix emission factors'!$N$12,IF($F$5="yes",(0.000181+0.00141*(-$E$6)*EXP((0.0251)*($E$7+460)-20.43)),IF($F$5="Choose one",0)))*'Hot mix emission factors'!N20</f>
        <v>#VALUE!</v>
      </c>
      <c r="O23" s="1034" t="e">
        <f t="shared" ref="O23:O63" si="2">$K$13*$M$13*$N23/2000</f>
        <v>#VALUE!</v>
      </c>
      <c r="P23" s="1035" t="e">
        <f t="shared" ref="P23:P63" si="3">($K$13*$L$13*$N23)/2000</f>
        <v>#VALUE!</v>
      </c>
    </row>
    <row r="24" spans="2:16" s="26" customFormat="1" ht="15" customHeight="1" x14ac:dyDescent="0.2">
      <c r="B24" s="660" t="str">
        <f>'Hot mix emission factors'!K21</f>
        <v>Benzene</v>
      </c>
      <c r="C24" s="52"/>
      <c r="D24" s="52"/>
      <c r="E24" s="530"/>
      <c r="F24" s="528">
        <f>IF($F$5="no",'Hot mix emission factors'!$L$12,IF($F$5="yes",(0.000181+0.00141*(-$E$6)*EXP((0.0251)*($E$7+460)-20.43)),IF($F$5="Choose one",0)))*'Hot mix emission factors'!L21</f>
        <v>0</v>
      </c>
      <c r="G24" s="91">
        <f>$C$13*$E$13*$F24/2000</f>
        <v>0</v>
      </c>
      <c r="H24" s="101">
        <f t="shared" si="1"/>
        <v>0</v>
      </c>
      <c r="J24" s="660" t="str">
        <f>'Hot mix emission factors'!K21</f>
        <v>Benzene</v>
      </c>
      <c r="K24" s="52"/>
      <c r="L24" s="52"/>
      <c r="M24" s="530"/>
      <c r="N24" s="528">
        <f>IF($F$5="no",'Hot mix emission factors'!$N$12,IF($F$5="yes",(0.000181+0.00141*(-$E$6)*EXP((0.0251)*($E$7+460)-20.43)),IF($F$5="Choose one",0)))*'Hot mix emission factors'!N21</f>
        <v>0</v>
      </c>
      <c r="O24" s="91">
        <f t="shared" si="2"/>
        <v>0</v>
      </c>
      <c r="P24" s="101">
        <f t="shared" si="3"/>
        <v>0</v>
      </c>
    </row>
    <row r="25" spans="2:16" s="21" customFormat="1" ht="15" customHeight="1" x14ac:dyDescent="0.2">
      <c r="B25" s="76" t="str">
        <f>'Hot mix emission factors'!K22</f>
        <v>Bromomethane</v>
      </c>
      <c r="E25" s="531"/>
      <c r="F25" s="528">
        <f>IF($F$5="no",'Hot mix emission factors'!$L$12,IF($F$5="yes",(0.000181+0.00141*(-$E$6)*EXP((0.0251)*($E$7+460)-20.43)),IF($F$5="Choose one",0)))*'Hot mix emission factors'!L22</f>
        <v>0</v>
      </c>
      <c r="G25" s="91">
        <f t="shared" si="0"/>
        <v>0</v>
      </c>
      <c r="H25" s="101">
        <f t="shared" si="1"/>
        <v>0</v>
      </c>
      <c r="I25" s="13"/>
      <c r="J25" s="76" t="str">
        <f>'Hot mix emission factors'!K22</f>
        <v>Bromomethane</v>
      </c>
      <c r="M25" s="531"/>
      <c r="N25" s="528">
        <f>IF($F$5="no",'Hot mix emission factors'!$N$12,IF($F$5="yes",(0.000181+0.00141*(-$E$6)*EXP((0.0251)*($E$7+460)-20.43)),IF($F$5="Choose one",0)))*'Hot mix emission factors'!N22</f>
        <v>0</v>
      </c>
      <c r="O25" s="91">
        <f t="shared" si="2"/>
        <v>0</v>
      </c>
      <c r="P25" s="101">
        <f t="shared" si="3"/>
        <v>0</v>
      </c>
    </row>
    <row r="26" spans="2:16" s="21" customFormat="1" ht="15" customHeight="1" x14ac:dyDescent="0.2">
      <c r="B26" s="76" t="str">
        <f>'Hot mix emission factors'!K23</f>
        <v>2-Butanone</v>
      </c>
      <c r="E26" s="531"/>
      <c r="F26" s="528">
        <f>IF($F$5="no",'Hot mix emission factors'!$L$12,IF($F$5="yes",(0.000181+0.00141*(-$E$6)*EXP((0.0251)*($E$7+460)-20.43)),IF($F$5="Choose one",0)))*'Hot mix emission factors'!L23</f>
        <v>0</v>
      </c>
      <c r="G26" s="91">
        <f t="shared" si="0"/>
        <v>0</v>
      </c>
      <c r="H26" s="101">
        <f t="shared" si="1"/>
        <v>0</v>
      </c>
      <c r="J26" s="76" t="str">
        <f>'Hot mix emission factors'!K23</f>
        <v>2-Butanone</v>
      </c>
      <c r="M26" s="531"/>
      <c r="N26" s="528">
        <f>IF($F$5="no",'Hot mix emission factors'!$N$12,IF($F$5="yes",(0.000181+0.00141*(-$E$6)*EXP((0.0251)*($E$7+460)-20.43)),IF($F$5="Choose one",0)))*'Hot mix emission factors'!N23</f>
        <v>0</v>
      </c>
      <c r="O26" s="91">
        <f t="shared" si="2"/>
        <v>0</v>
      </c>
      <c r="P26" s="101">
        <f t="shared" si="3"/>
        <v>0</v>
      </c>
    </row>
    <row r="27" spans="2:16" s="21" customFormat="1" ht="15" customHeight="1" x14ac:dyDescent="0.2">
      <c r="B27" s="76" t="str">
        <f>'Hot mix emission factors'!K24</f>
        <v>Carbon Disulfide</v>
      </c>
      <c r="E27" s="531"/>
      <c r="F27" s="528">
        <f>IF($F$5="no",'Hot mix emission factors'!$L$12,IF($F$5="yes",(0.000181+0.00141*(-$E$6)*EXP((0.0251)*($E$7+460)-20.43)),IF($F$5="Choose one",0)))*'Hot mix emission factors'!L24</f>
        <v>0</v>
      </c>
      <c r="G27" s="91">
        <f t="shared" si="0"/>
        <v>0</v>
      </c>
      <c r="H27" s="101">
        <f t="shared" si="1"/>
        <v>0</v>
      </c>
      <c r="J27" s="76" t="str">
        <f>'Hot mix emission factors'!K24</f>
        <v>Carbon Disulfide</v>
      </c>
      <c r="M27" s="531"/>
      <c r="N27" s="528">
        <f>IF($F$5="no",'Hot mix emission factors'!$N$12,IF($F$5="yes",(0.000181+0.00141*(-$E$6)*EXP((0.0251)*($E$7+460)-20.43)),IF($F$5="Choose one",0)))*'Hot mix emission factors'!N24</f>
        <v>0</v>
      </c>
      <c r="O27" s="91">
        <f t="shared" si="2"/>
        <v>0</v>
      </c>
      <c r="P27" s="101">
        <f t="shared" si="3"/>
        <v>0</v>
      </c>
    </row>
    <row r="28" spans="2:16" s="21" customFormat="1" ht="15" customHeight="1" x14ac:dyDescent="0.2">
      <c r="B28" s="265" t="str">
        <f>'Hot mix emission factors'!K25</f>
        <v>Chloroethane</v>
      </c>
      <c r="C28" s="532"/>
      <c r="D28" s="532"/>
      <c r="E28" s="533"/>
      <c r="F28" s="528">
        <f>IF($F$5="no",'Hot mix emission factors'!$L$12,IF($F$5="yes",(0.000181+0.00141*(-$E$6)*EXP((0.0251)*($E$7+460)-20.43)),IF($F$5="Choose one",0)))*'Hot mix emission factors'!L25</f>
        <v>0</v>
      </c>
      <c r="G28" s="91">
        <f t="shared" si="0"/>
        <v>0</v>
      </c>
      <c r="H28" s="101">
        <f t="shared" si="1"/>
        <v>0</v>
      </c>
      <c r="J28" s="265" t="str">
        <f>'Hot mix emission factors'!K25</f>
        <v>Chloroethane</v>
      </c>
      <c r="K28" s="532"/>
      <c r="L28" s="532"/>
      <c r="M28" s="533"/>
      <c r="N28" s="528">
        <f>IF($F$5="no",'Hot mix emission factors'!$N$12,IF($F$5="yes",(0.000181+0.00141*(-$E$6)*EXP((0.0251)*($E$7+460)-20.43)),IF($F$5="Choose one",0)))*'Hot mix emission factors'!N25</f>
        <v>0</v>
      </c>
      <c r="O28" s="91">
        <f t="shared" si="2"/>
        <v>0</v>
      </c>
      <c r="P28" s="101">
        <f t="shared" si="3"/>
        <v>0</v>
      </c>
    </row>
    <row r="29" spans="2:16" s="26" customFormat="1" ht="15" customHeight="1" x14ac:dyDescent="0.2">
      <c r="B29" s="76" t="str">
        <f>'Hot mix emission factors'!K26</f>
        <v>Chloromethane</v>
      </c>
      <c r="F29" s="528">
        <f>IF($F$5="no",'Hot mix emission factors'!$L$12,IF($F$5="yes",(0.000181+0.00141*(-$E$6)*EXP((0.0251)*($E$7+460)-20.43)),IF($F$5="Choose one",0)))*'Hot mix emission factors'!L26</f>
        <v>0</v>
      </c>
      <c r="G29" s="91">
        <f t="shared" si="0"/>
        <v>0</v>
      </c>
      <c r="H29" s="101">
        <f t="shared" si="1"/>
        <v>0</v>
      </c>
      <c r="J29" s="76" t="str">
        <f>'Hot mix emission factors'!K26</f>
        <v>Chloromethane</v>
      </c>
      <c r="N29" s="528">
        <f>IF($F$5="no",'Hot mix emission factors'!$N$12,IF($F$5="yes",(0.000181+0.00141*(-$E$6)*EXP((0.0251)*($E$7+460)-20.43)),IF($F$5="Choose one",0)))*'Hot mix emission factors'!N26</f>
        <v>0</v>
      </c>
      <c r="O29" s="91">
        <f t="shared" si="2"/>
        <v>0</v>
      </c>
      <c r="P29" s="101">
        <f t="shared" si="3"/>
        <v>0</v>
      </c>
    </row>
    <row r="30" spans="2:16" s="21" customFormat="1" ht="15" customHeight="1" x14ac:dyDescent="0.2">
      <c r="B30" s="76" t="str">
        <f>'Hot mix emission factors'!K27</f>
        <v>Cumene</v>
      </c>
      <c r="F30" s="528">
        <f>IF($F$5="no",'Hot mix emission factors'!$L$12,IF($F$5="yes",(0.000181+0.00141*(-$E$6)*EXP((0.0251)*($E$7+460)-20.43)),IF($F$5="Choose one",0)))*'Hot mix emission factors'!L27</f>
        <v>0</v>
      </c>
      <c r="G30" s="91">
        <f t="shared" si="0"/>
        <v>0</v>
      </c>
      <c r="H30" s="101">
        <f t="shared" si="1"/>
        <v>0</v>
      </c>
      <c r="J30" s="76" t="str">
        <f>'Hot mix emission factors'!K27</f>
        <v>Cumene</v>
      </c>
      <c r="N30" s="528"/>
      <c r="O30" s="91">
        <f t="shared" si="2"/>
        <v>0</v>
      </c>
      <c r="P30" s="101">
        <f t="shared" si="3"/>
        <v>0</v>
      </c>
    </row>
    <row r="31" spans="2:16" s="21" customFormat="1" ht="15" customHeight="1" x14ac:dyDescent="0.2">
      <c r="B31" s="76" t="str">
        <f>'Hot mix emission factors'!K28</f>
        <v>Ethylbenzene</v>
      </c>
      <c r="F31" s="528">
        <f>IF($F$5="no",'Hot mix emission factors'!$L$12,IF($F$5="yes",(0.000181+0.00141*(-$E$6)*EXP((0.0251)*($E$7+460)-20.43)),IF($F$5="Choose one",0)))*'Hot mix emission factors'!L28</f>
        <v>0</v>
      </c>
      <c r="G31" s="91">
        <f t="shared" si="0"/>
        <v>0</v>
      </c>
      <c r="H31" s="101">
        <f t="shared" si="1"/>
        <v>0</v>
      </c>
      <c r="J31" s="76" t="str">
        <f>'Hot mix emission factors'!K28</f>
        <v>Ethylbenzene</v>
      </c>
      <c r="N31" s="528">
        <f>IF($F$5="no",'Hot mix emission factors'!$N$12,IF($F$5="yes",(0.000181+0.00141*(-$E$6)*EXP((0.0251)*($E$7+460)-20.43)),IF($F$5="Choose one",0)))*'Hot mix emission factors'!N28</f>
        <v>0</v>
      </c>
      <c r="O31" s="91">
        <f t="shared" si="2"/>
        <v>0</v>
      </c>
      <c r="P31" s="101">
        <f t="shared" si="3"/>
        <v>0</v>
      </c>
    </row>
    <row r="32" spans="2:16" s="21" customFormat="1" ht="15" customHeight="1" x14ac:dyDescent="0.2">
      <c r="B32" s="76" t="str">
        <f>'Hot mix emission factors'!K29</f>
        <v>Formaldehyde</v>
      </c>
      <c r="F32" s="528">
        <f>IF($F$5="no",'Hot mix emission factors'!$L$12,IF($F$5="yes",(0.000181+0.00141*(-$E$6)*EXP((0.0251)*($E$7+460)-20.43)),IF($F$5="Choose one",0)))*'Hot mix emission factors'!L29</f>
        <v>0</v>
      </c>
      <c r="G32" s="91">
        <f t="shared" si="0"/>
        <v>0</v>
      </c>
      <c r="H32" s="101">
        <f t="shared" si="1"/>
        <v>0</v>
      </c>
      <c r="J32" s="76" t="str">
        <f>'Hot mix emission factors'!K29</f>
        <v>Formaldehyde</v>
      </c>
      <c r="N32" s="528">
        <f>IF($F$5="no",'Hot mix emission factors'!$N$12,IF($F$5="yes",(0.000181+0.00141*(-$E$6)*EXP((0.0251)*($E$7+460)-20.43)),IF($F$5="Choose one",0)))*'Hot mix emission factors'!N29</f>
        <v>0</v>
      </c>
      <c r="O32" s="91">
        <f t="shared" si="2"/>
        <v>0</v>
      </c>
      <c r="P32" s="101">
        <f t="shared" si="3"/>
        <v>0</v>
      </c>
    </row>
    <row r="33" spans="2:16" s="21" customFormat="1" ht="15" customHeight="1" x14ac:dyDescent="0.2">
      <c r="B33" s="265" t="str">
        <f>'Hot mix emission factors'!K30</f>
        <v>n-Hexane</v>
      </c>
      <c r="C33" s="532"/>
      <c r="D33" s="532"/>
      <c r="E33" s="533"/>
      <c r="F33" s="528">
        <f>IF($F$5="no",'Hot mix emission factors'!$L$12,IF($F$5="yes",(0.000181+0.00141*(-$E$6)*EXP((0.0251)*($E$7+460)-20.43)),IF($F$5="Choose one",0)))*'Hot mix emission factors'!L30</f>
        <v>0</v>
      </c>
      <c r="G33" s="91">
        <f t="shared" si="0"/>
        <v>0</v>
      </c>
      <c r="H33" s="101">
        <f t="shared" si="1"/>
        <v>0</v>
      </c>
      <c r="J33" s="265" t="str">
        <f>'Hot mix emission factors'!K30</f>
        <v>n-Hexane</v>
      </c>
      <c r="K33" s="532"/>
      <c r="L33" s="532"/>
      <c r="M33" s="533"/>
      <c r="N33" s="528">
        <f>IF($F$5="no",'Hot mix emission factors'!$N$12,IF($F$5="yes",(0.000181+0.00141*(-$E$6)*EXP((0.0251)*($E$7+460)-20.43)),IF($F$5="Choose one",0)))*'Hot mix emission factors'!N30</f>
        <v>0</v>
      </c>
      <c r="O33" s="91">
        <f t="shared" si="2"/>
        <v>0</v>
      </c>
      <c r="P33" s="101">
        <f t="shared" si="3"/>
        <v>0</v>
      </c>
    </row>
    <row r="34" spans="2:16" s="46" customFormat="1" ht="15" customHeight="1" x14ac:dyDescent="0.2">
      <c r="B34" s="76" t="str">
        <f>'Hot mix emission factors'!K31</f>
        <v>Isooctane</v>
      </c>
      <c r="F34" s="528">
        <f>IF($F$5="no",'Hot mix emission factors'!$L$12,IF($F$5="yes",(0.000181+0.00141*(-$E$6)*EXP((0.0251)*($E$7+460)-20.43)),IF($F$5="Choose one",0)))*'Hot mix emission factors'!L31</f>
        <v>0</v>
      </c>
      <c r="G34" s="91">
        <f t="shared" si="0"/>
        <v>0</v>
      </c>
      <c r="H34" s="101">
        <f t="shared" si="1"/>
        <v>0</v>
      </c>
      <c r="J34" s="76" t="str">
        <f>'Hot mix emission factors'!K31</f>
        <v>Isooctane</v>
      </c>
      <c r="N34" s="528">
        <f>IF($F$5="no",'Hot mix emission factors'!$N$12,IF($F$5="yes",(0.000181+0.00141*(-$E$6)*EXP((0.0251)*($E$7+460)-20.43)),IF($F$5="Choose one",0)))*'Hot mix emission factors'!N31</f>
        <v>0</v>
      </c>
      <c r="O34" s="91">
        <f t="shared" si="2"/>
        <v>0</v>
      </c>
      <c r="P34" s="101">
        <f t="shared" si="3"/>
        <v>0</v>
      </c>
    </row>
    <row r="35" spans="2:16" ht="15" customHeight="1" x14ac:dyDescent="0.25">
      <c r="B35" s="76" t="str">
        <f>'Hot mix emission factors'!K32</f>
        <v>Methylene Chloride</v>
      </c>
      <c r="F35" s="528">
        <f>IF($F$5="no",'Hot mix emission factors'!$L$12,IF($F$5="yes",(0.000181+0.00141*(-$E$6)*EXP((0.0251)*($E$7+460)-20.43)),IF($F$5="Choose one",0)))*'Hot mix emission factors'!L32</f>
        <v>0</v>
      </c>
      <c r="G35" s="91">
        <f t="shared" si="0"/>
        <v>0</v>
      </c>
      <c r="H35" s="101">
        <f t="shared" si="1"/>
        <v>0</v>
      </c>
      <c r="J35" s="76" t="str">
        <f>'Hot mix emission factors'!K32</f>
        <v>Methylene Chloride</v>
      </c>
      <c r="N35" s="528">
        <f>IF($F$5="no",'Hot mix emission factors'!$N$12,IF($F$5="yes",(0.000181+0.00141*(-$E$6)*EXP((0.0251)*($E$7+460)-20.43)),IF($F$5="Choose one",0)))*'Hot mix emission factors'!N32</f>
        <v>0</v>
      </c>
      <c r="O35" s="91">
        <f t="shared" si="2"/>
        <v>0</v>
      </c>
      <c r="P35" s="101">
        <f t="shared" si="3"/>
        <v>0</v>
      </c>
    </row>
    <row r="36" spans="2:16" ht="15" customHeight="1" x14ac:dyDescent="0.25">
      <c r="B36" s="76" t="str">
        <f>'Hot mix emission factors'!K33</f>
        <v>MTBE</v>
      </c>
      <c r="F36" s="528">
        <f>IF($F$5="no",'Hot mix emission factors'!$L$12,IF($F$5="yes",(0.000181+0.00141*(-$E$6)*EXP((0.0251)*($E$7+460)-20.43)),IF($F$5="Choose one",0)))*'Hot mix emission factors'!L33</f>
        <v>0</v>
      </c>
      <c r="G36" s="91">
        <f t="shared" si="0"/>
        <v>0</v>
      </c>
      <c r="H36" s="101">
        <f t="shared" si="1"/>
        <v>0</v>
      </c>
      <c r="J36" s="76" t="str">
        <f>'Hot mix emission factors'!K33</f>
        <v>MTBE</v>
      </c>
      <c r="N36" s="528"/>
      <c r="O36" s="91">
        <f t="shared" si="2"/>
        <v>0</v>
      </c>
      <c r="P36" s="101">
        <f t="shared" si="3"/>
        <v>0</v>
      </c>
    </row>
    <row r="37" spans="2:16" ht="15" customHeight="1" x14ac:dyDescent="0.25">
      <c r="B37" s="76" t="str">
        <f>'Hot mix emission factors'!K34</f>
        <v>Styrene</v>
      </c>
      <c r="F37" s="528">
        <f>IF($F$5="no",'Hot mix emission factors'!$L$12,IF($F$5="yes",(0.000181+0.00141*(-$E$6)*EXP((0.0251)*($E$7+460)-20.43)),IF($F$5="Choose one",0)))*'Hot mix emission factors'!L34</f>
        <v>0</v>
      </c>
      <c r="G37" s="91">
        <f t="shared" si="0"/>
        <v>0</v>
      </c>
      <c r="H37" s="101">
        <f t="shared" si="1"/>
        <v>0</v>
      </c>
      <c r="J37" s="76" t="str">
        <f>'Hot mix emission factors'!K34</f>
        <v>Styrene</v>
      </c>
      <c r="N37" s="528">
        <f>IF($F$5="no",'Hot mix emission factors'!$N$12,IF($F$5="yes",(0.000181+0.00141*(-$E$6)*EXP((0.0251)*($E$7+460)-20.43)),IF($F$5="Choose one",0)))*'Hot mix emission factors'!N34</f>
        <v>0</v>
      </c>
      <c r="O37" s="91">
        <f t="shared" si="2"/>
        <v>0</v>
      </c>
      <c r="P37" s="101">
        <f t="shared" si="3"/>
        <v>0</v>
      </c>
    </row>
    <row r="38" spans="2:16" ht="15" customHeight="1" x14ac:dyDescent="0.25">
      <c r="B38" s="265" t="str">
        <f>'Hot mix emission factors'!K35</f>
        <v>Tetrachloroethene</v>
      </c>
      <c r="C38" s="532"/>
      <c r="D38" s="532"/>
      <c r="E38" s="533"/>
      <c r="F38" s="528">
        <f>IF($F$5="no",'Hot mix emission factors'!$L$12,IF($F$5="yes",(0.000181+0.00141*(-$E$6)*EXP((0.0251)*($E$7+460)-20.43)),IF($F$5="Choose one",0)))*'Hot mix emission factors'!L35</f>
        <v>0</v>
      </c>
      <c r="G38" s="91">
        <f t="shared" si="0"/>
        <v>0</v>
      </c>
      <c r="H38" s="101">
        <f t="shared" si="1"/>
        <v>0</v>
      </c>
      <c r="J38" s="265" t="str">
        <f>'Hot mix emission factors'!K35</f>
        <v>Tetrachloroethene</v>
      </c>
      <c r="K38" s="532"/>
      <c r="L38" s="532"/>
      <c r="M38" s="533"/>
      <c r="N38" s="528"/>
      <c r="O38" s="91">
        <f t="shared" si="2"/>
        <v>0</v>
      </c>
      <c r="P38" s="101">
        <f t="shared" si="3"/>
        <v>0</v>
      </c>
    </row>
    <row r="39" spans="2:16" ht="15" customHeight="1" x14ac:dyDescent="0.25">
      <c r="B39" s="76" t="str">
        <f>'Hot mix emission factors'!K36</f>
        <v>Toluene</v>
      </c>
      <c r="F39" s="528">
        <f>IF($F$5="no",'Hot mix emission factors'!$L$12,IF($F$5="yes",(0.000181+0.00141*(-$E$6)*EXP((0.0251)*($E$7+460)-20.43)),IF($F$5="Choose one",0)))*'Hot mix emission factors'!L36</f>
        <v>0</v>
      </c>
      <c r="G39" s="91">
        <f t="shared" si="0"/>
        <v>0</v>
      </c>
      <c r="H39" s="101">
        <f t="shared" si="1"/>
        <v>0</v>
      </c>
      <c r="J39" s="76" t="str">
        <f>'Hot mix emission factors'!K36</f>
        <v>Toluene</v>
      </c>
      <c r="N39" s="528">
        <f>IF($F$5="no",'Hot mix emission factors'!$N$12,IF($F$5="yes",(0.000181+0.00141*(-$E$6)*EXP((0.0251)*($E$7+460)-20.43)),IF($F$5="Choose one",0)))*'Hot mix emission factors'!N36</f>
        <v>0</v>
      </c>
      <c r="O39" s="91">
        <f t="shared" si="2"/>
        <v>0</v>
      </c>
      <c r="P39" s="101">
        <f t="shared" si="3"/>
        <v>0</v>
      </c>
    </row>
    <row r="40" spans="2:16" ht="15" customHeight="1" x14ac:dyDescent="0.25">
      <c r="B40" s="76" t="str">
        <f>'Hot mix emission factors'!K37</f>
        <v>1,1,1-Trichloroethane</v>
      </c>
      <c r="C40" s="529"/>
      <c r="E40" s="524"/>
      <c r="F40" s="528">
        <f>IF($F$5="no",'Hot mix emission factors'!$L$12,IF($F$5="yes",(0.000181+0.00141*(-$E$6)*EXP((0.0251)*($E$7+460)-20.43)),IF($F$5="Choose one",0)))*'Hot mix emission factors'!L37</f>
        <v>0</v>
      </c>
      <c r="G40" s="91">
        <f t="shared" si="0"/>
        <v>0</v>
      </c>
      <c r="H40" s="101">
        <f t="shared" si="1"/>
        <v>0</v>
      </c>
      <c r="J40" s="76" t="str">
        <f>'Hot mix emission factors'!K37</f>
        <v>1,1,1-Trichloroethane</v>
      </c>
      <c r="K40" s="529"/>
      <c r="M40" s="524"/>
      <c r="N40" s="528"/>
      <c r="O40" s="91">
        <f t="shared" si="2"/>
        <v>0</v>
      </c>
      <c r="P40" s="101">
        <f t="shared" si="3"/>
        <v>0</v>
      </c>
    </row>
    <row r="41" spans="2:16" ht="15" customHeight="1" x14ac:dyDescent="0.25">
      <c r="B41" s="76" t="str">
        <f>'Hot mix emission factors'!K38</f>
        <v>Trichloroenthene</v>
      </c>
      <c r="C41" s="529"/>
      <c r="E41" s="524"/>
      <c r="F41" s="528">
        <f>IF($F$5="no",'Hot mix emission factors'!$L$12,IF($F$5="yes",(0.000181+0.00141*(-$E$6)*EXP((0.0251)*($E$7+460)-20.43)),IF($F$5="Choose one",0)))*'Hot mix emission factors'!L38</f>
        <v>0</v>
      </c>
      <c r="G41" s="91">
        <f t="shared" si="0"/>
        <v>0</v>
      </c>
      <c r="H41" s="101">
        <f t="shared" si="1"/>
        <v>0</v>
      </c>
      <c r="J41" s="76" t="str">
        <f>'Hot mix emission factors'!K38</f>
        <v>Trichloroenthene</v>
      </c>
      <c r="K41" s="529"/>
      <c r="M41" s="524"/>
      <c r="N41" s="528"/>
      <c r="O41" s="91">
        <f t="shared" si="2"/>
        <v>0</v>
      </c>
      <c r="P41" s="101">
        <f t="shared" si="3"/>
        <v>0</v>
      </c>
    </row>
    <row r="42" spans="2:16" ht="15" customHeight="1" x14ac:dyDescent="0.25">
      <c r="B42" s="76" t="str">
        <f>'Hot mix emission factors'!K39</f>
        <v>Trichlorofluoromethane</v>
      </c>
      <c r="C42" s="529"/>
      <c r="E42" s="524"/>
      <c r="F42" s="528">
        <f>IF($F$5="no",'Hot mix emission factors'!$L$12,IF($F$5="yes",(0.000181+0.00141*(-$E$6)*EXP((0.0251)*($E$7+460)-20.43)),IF($F$5="Choose one",0)))*'Hot mix emission factors'!L39</f>
        <v>0</v>
      </c>
      <c r="G42" s="91">
        <f t="shared" si="0"/>
        <v>0</v>
      </c>
      <c r="H42" s="101">
        <f t="shared" si="1"/>
        <v>0</v>
      </c>
      <c r="J42" s="76" t="str">
        <f>'Hot mix emission factors'!K39</f>
        <v>Trichlorofluoromethane</v>
      </c>
      <c r="K42" s="529"/>
      <c r="M42" s="524"/>
      <c r="N42" s="528"/>
      <c r="O42" s="91">
        <f t="shared" si="2"/>
        <v>0</v>
      </c>
      <c r="P42" s="101">
        <f t="shared" si="3"/>
        <v>0</v>
      </c>
    </row>
    <row r="43" spans="2:16" ht="15" customHeight="1" x14ac:dyDescent="0.25">
      <c r="B43" s="76" t="str">
        <f>'Hot mix emission factors'!K40</f>
        <v>Xylene</v>
      </c>
      <c r="F43" s="528">
        <f>IF($F$5="no",'Hot mix emission factors'!$L$12,IF($F$5="yes",(0.000181+0.00141*(-$E$6)*EXP((0.0251)*($E$7+460)-20.43)),IF($F$5="Choose one",0)))*'Hot mix emission factors'!L40</f>
        <v>0</v>
      </c>
      <c r="G43" s="523">
        <f t="shared" si="0"/>
        <v>0</v>
      </c>
      <c r="H43" s="663">
        <f t="shared" si="1"/>
        <v>0</v>
      </c>
      <c r="J43" s="76" t="str">
        <f>'Hot mix emission factors'!K40</f>
        <v>Xylene</v>
      </c>
      <c r="N43" s="528">
        <f>IF($F$5="no",'Hot mix emission factors'!$N$12,IF($F$5="yes",(0.000181+0.00141*(-$E$6)*EXP((0.0251)*($E$7+460)-20.43)),IF($F$5="Choose one",0)))*'Hot mix emission factors'!N40</f>
        <v>0</v>
      </c>
      <c r="O43" s="91">
        <f t="shared" si="2"/>
        <v>0</v>
      </c>
      <c r="P43" s="101">
        <f t="shared" si="3"/>
        <v>0</v>
      </c>
    </row>
    <row r="44" spans="2:16" s="21" customFormat="1" ht="15" customHeight="1" x14ac:dyDescent="0.2">
      <c r="B44" s="1033" t="str">
        <f>'Hot mix emission factors'!K41</f>
        <v>PAH HAPs</v>
      </c>
      <c r="C44" s="1034"/>
      <c r="D44" s="1034"/>
      <c r="E44" s="1034"/>
      <c r="F44" s="1034" t="e">
        <f>IF($F$5="no",'Hot mix emission factors'!$L$12,IF($F$5="yes",(0.00141*(-$E$6)*EXP((0.0251)*($E$7+460)-20.43)),IF($F$5="Choose one",0)))*'Hot mix emission factors'!L41</f>
        <v>#VALUE!</v>
      </c>
      <c r="G44" s="1034" t="e">
        <f t="shared" si="0"/>
        <v>#VALUE!</v>
      </c>
      <c r="H44" s="1035" t="e">
        <f t="shared" si="1"/>
        <v>#VALUE!</v>
      </c>
      <c r="J44" s="1033" t="str">
        <f>'Hot mix emission factors'!K41</f>
        <v>PAH HAPs</v>
      </c>
      <c r="K44" s="1034"/>
      <c r="L44" s="1034"/>
      <c r="M44" s="1034"/>
      <c r="N44" s="1034" t="e">
        <f>IF($F$5="no",'Hot mix emission factors'!$N$12,IF($F$5="yes",(0.000181+0.00141*(-$E$6)*EXP((0.0251)*($E$7+460)-20.43)),IF($F$5="Choose one",0)))*'Hot mix emission factors'!N41</f>
        <v>#VALUE!</v>
      </c>
      <c r="O44" s="1034" t="e">
        <f t="shared" si="2"/>
        <v>#VALUE!</v>
      </c>
      <c r="P44" s="1035" t="e">
        <f t="shared" si="3"/>
        <v>#VALUE!</v>
      </c>
    </row>
    <row r="45" spans="2:16" ht="15" customHeight="1" x14ac:dyDescent="0.25">
      <c r="B45" s="76" t="str">
        <f>'Hot mix emission factors'!K42</f>
        <v>Acenaphthene</v>
      </c>
      <c r="F45" s="528">
        <f>IF($F$5="no",'Hot mix emission factors'!$L$12,IF($F$5="yes",(0.00141*(-$E$6)*EXP((0.0251)*($E$7+460)-20.43)),IF($F$5="Choose one",0)))*'Hot mix emission factors'!L42</f>
        <v>0</v>
      </c>
      <c r="G45" s="91">
        <f>$C$13*$E$13*$F45/2000</f>
        <v>0</v>
      </c>
      <c r="H45" s="101">
        <f t="shared" si="1"/>
        <v>0</v>
      </c>
      <c r="J45" s="76" t="str">
        <f>'Hot mix emission factors'!K42</f>
        <v>Acenaphthene</v>
      </c>
      <c r="N45" s="528">
        <f>IF($F$5="no",'Hot mix emission factors'!$N$12,IF($F$5="yes",(0.00141*(-$E$6)*EXP((0.0251)*($E$7+460)-20.43)),IF($F$5="Choose one",0)))*'Hot mix emission factors'!N42</f>
        <v>0</v>
      </c>
      <c r="O45" s="91">
        <f t="shared" si="2"/>
        <v>0</v>
      </c>
      <c r="P45" s="101">
        <f t="shared" si="3"/>
        <v>0</v>
      </c>
    </row>
    <row r="46" spans="2:16" ht="15" customHeight="1" x14ac:dyDescent="0.25">
      <c r="B46" s="76" t="str">
        <f>'Hot mix emission factors'!K43</f>
        <v>Acenaphthylene</v>
      </c>
      <c r="F46" s="528">
        <f>IF($F$5="no",'Hot mix emission factors'!$L$12,IF($F$5="yes",(0.00141*(-$E$6)*EXP((0.0251)*($E$7+460)-20.43)),IF($F$5="Choose one",0)))*'Hot mix emission factors'!L43</f>
        <v>0</v>
      </c>
      <c r="G46" s="91">
        <f t="shared" si="0"/>
        <v>0</v>
      </c>
      <c r="H46" s="101">
        <f t="shared" si="1"/>
        <v>0</v>
      </c>
      <c r="J46" s="76" t="str">
        <f>'Hot mix emission factors'!K43</f>
        <v>Acenaphthylene</v>
      </c>
      <c r="N46" s="528">
        <f>IF($F$5="no",'Hot mix emission factors'!$N$12,IF($F$5="yes",(0.00141*(-$E$6)*EXP((0.0251)*($E$7+460)-20.43)),IF($F$5="Choose one",0)))*'Hot mix emission factors'!N43</f>
        <v>0</v>
      </c>
      <c r="O46" s="91">
        <f t="shared" si="2"/>
        <v>0</v>
      </c>
      <c r="P46" s="101">
        <f t="shared" si="3"/>
        <v>0</v>
      </c>
    </row>
    <row r="47" spans="2:16" ht="15" customHeight="1" x14ac:dyDescent="0.25">
      <c r="B47" s="76" t="str">
        <f>'Hot mix emission factors'!K44</f>
        <v>Anthracene</v>
      </c>
      <c r="F47" s="528">
        <f>IF($F$5="no",'Hot mix emission factors'!$L$12,IF($F$5="yes",(0.00141*(-$E$6)*EXP((0.0251)*($E$7+460)-20.43)),IF($F$5="Choose one",0)))*'Hot mix emission factors'!L44</f>
        <v>0</v>
      </c>
      <c r="G47" s="91">
        <f t="shared" si="0"/>
        <v>0</v>
      </c>
      <c r="H47" s="101">
        <f t="shared" si="1"/>
        <v>0</v>
      </c>
      <c r="J47" s="76" t="str">
        <f>'Hot mix emission factors'!K44</f>
        <v>Anthracene</v>
      </c>
      <c r="N47" s="528">
        <f>IF($F$5="no",'Hot mix emission factors'!$N$12,IF($F$5="yes",(0.00141*(-$E$6)*EXP((0.0251)*($E$7+460)-20.43)),IF($F$5="Choose one",0)))*'Hot mix emission factors'!N44</f>
        <v>0</v>
      </c>
      <c r="O47" s="91">
        <f t="shared" si="2"/>
        <v>0</v>
      </c>
      <c r="P47" s="101">
        <f t="shared" si="3"/>
        <v>0</v>
      </c>
    </row>
    <row r="48" spans="2:16" ht="15" customHeight="1" x14ac:dyDescent="0.25">
      <c r="B48" s="76" t="str">
        <f>'Hot mix emission factors'!K45</f>
        <v>Benzo(a)anthracene</v>
      </c>
      <c r="F48" s="528">
        <f>IF($F$5="no",'Hot mix emission factors'!$L$12,IF($F$5="yes",(0.00141*(-$E$6)*EXP((0.0251)*($E$7+460)-20.43)),IF($F$5="Choose one",0)))*'Hot mix emission factors'!L45</f>
        <v>0</v>
      </c>
      <c r="G48" s="91">
        <f t="shared" si="0"/>
        <v>0</v>
      </c>
      <c r="H48" s="101">
        <f t="shared" si="1"/>
        <v>0</v>
      </c>
      <c r="J48" s="76" t="str">
        <f>'Hot mix emission factors'!K45</f>
        <v>Benzo(a)anthracene</v>
      </c>
      <c r="N48" s="528">
        <f>IF($F$5="no",'Hot mix emission factors'!$N$12,IF($F$5="yes",(0.00141*(-$E$6)*EXP((0.0251)*($E$7+460)-20.43)),IF($F$5="Choose one",0)))*'Hot mix emission factors'!N45</f>
        <v>0</v>
      </c>
      <c r="O48" s="91">
        <f t="shared" si="2"/>
        <v>0</v>
      </c>
      <c r="P48" s="101">
        <f t="shared" si="3"/>
        <v>0</v>
      </c>
    </row>
    <row r="49" spans="2:16" ht="15" customHeight="1" x14ac:dyDescent="0.25">
      <c r="B49" s="265" t="str">
        <f>'Hot mix emission factors'!K46</f>
        <v>Benzo(b)fluoranthene</v>
      </c>
      <c r="C49" s="532"/>
      <c r="D49" s="532"/>
      <c r="E49" s="533"/>
      <c r="F49" s="528">
        <f>IF($F$5="no",'Hot mix emission factors'!$L$12,IF($F$5="yes",(0.00141*(-$E$6)*EXP((0.0251)*($E$7+460)-20.43)),IF($F$5="Choose one",0)))*'Hot mix emission factors'!L46</f>
        <v>0</v>
      </c>
      <c r="G49" s="91">
        <f t="shared" si="0"/>
        <v>0</v>
      </c>
      <c r="H49" s="101">
        <f t="shared" si="1"/>
        <v>0</v>
      </c>
      <c r="J49" s="265" t="str">
        <f>'Hot mix emission factors'!K46</f>
        <v>Benzo(b)fluoranthene</v>
      </c>
      <c r="K49" s="532"/>
      <c r="L49" s="532"/>
      <c r="M49" s="533"/>
      <c r="N49" s="528"/>
      <c r="O49" s="91">
        <f t="shared" si="2"/>
        <v>0</v>
      </c>
      <c r="P49" s="101">
        <f t="shared" si="3"/>
        <v>0</v>
      </c>
    </row>
    <row r="50" spans="2:16" ht="15" customHeight="1" x14ac:dyDescent="0.25">
      <c r="B50" s="76" t="str">
        <f>'Hot mix emission factors'!K47</f>
        <v>Benzo(k)fluoranthene</v>
      </c>
      <c r="F50" s="528">
        <f>IF($F$5="no",'Hot mix emission factors'!$L$12,IF($F$5="yes",(0.00141*(-$E$6)*EXP((0.0251)*($E$7+460)-20.43)),IF($F$5="Choose one",0)))*'Hot mix emission factors'!L47</f>
        <v>0</v>
      </c>
      <c r="G50" s="91">
        <f t="shared" si="0"/>
        <v>0</v>
      </c>
      <c r="H50" s="101">
        <f t="shared" si="1"/>
        <v>0</v>
      </c>
      <c r="J50" s="76" t="str">
        <f>'Hot mix emission factors'!K47</f>
        <v>Benzo(k)fluoranthene</v>
      </c>
      <c r="N50" s="528"/>
      <c r="O50" s="91">
        <f t="shared" si="2"/>
        <v>0</v>
      </c>
      <c r="P50" s="101">
        <f t="shared" si="3"/>
        <v>0</v>
      </c>
    </row>
    <row r="51" spans="2:16" ht="15" customHeight="1" x14ac:dyDescent="0.25">
      <c r="B51" s="76" t="str">
        <f>'Hot mix emission factors'!K48</f>
        <v>Benzo(g,h,i)perylene</v>
      </c>
      <c r="F51" s="528">
        <f>IF($F$5="no",'Hot mix emission factors'!$L$12,IF($F$5="yes",(0.00141*(-$E$6)*EXP((0.0251)*($E$7+460)-20.43)),IF($F$5="Choose one",0)))*'Hot mix emission factors'!L48</f>
        <v>0</v>
      </c>
      <c r="G51" s="91">
        <f t="shared" si="0"/>
        <v>0</v>
      </c>
      <c r="H51" s="101">
        <f t="shared" si="1"/>
        <v>0</v>
      </c>
      <c r="J51" s="76" t="str">
        <f>'Hot mix emission factors'!K48</f>
        <v>Benzo(g,h,i)perylene</v>
      </c>
      <c r="N51" s="528"/>
      <c r="O51" s="91">
        <f t="shared" si="2"/>
        <v>0</v>
      </c>
      <c r="P51" s="101">
        <f t="shared" si="3"/>
        <v>0</v>
      </c>
    </row>
    <row r="52" spans="2:16" ht="15" customHeight="1" x14ac:dyDescent="0.25">
      <c r="B52" s="76" t="str">
        <f>'Hot mix emission factors'!K49</f>
        <v>Benzo(a)pyrene</v>
      </c>
      <c r="F52" s="528">
        <f>IF($F$5="no",'Hot mix emission factors'!$L$12,IF($F$5="yes",(0.00141*(-$E$6)*EXP((0.0251)*($E$7+460)-20.43)),IF($F$5="Choose one",0)))*'Hot mix emission factors'!L49</f>
        <v>0</v>
      </c>
      <c r="G52" s="91">
        <f t="shared" si="0"/>
        <v>0</v>
      </c>
      <c r="H52" s="101">
        <f t="shared" si="1"/>
        <v>0</v>
      </c>
      <c r="J52" s="76" t="str">
        <f>'Hot mix emission factors'!K49</f>
        <v>Benzo(a)pyrene</v>
      </c>
      <c r="N52" s="528"/>
      <c r="O52" s="91">
        <f t="shared" si="2"/>
        <v>0</v>
      </c>
      <c r="P52" s="101">
        <f t="shared" si="3"/>
        <v>0</v>
      </c>
    </row>
    <row r="53" spans="2:16" ht="15" customHeight="1" x14ac:dyDescent="0.25">
      <c r="B53" s="76" t="str">
        <f>'Hot mix emission factors'!K50</f>
        <v>Benzo(e)pyrene</v>
      </c>
      <c r="F53" s="528">
        <f>IF($F$5="no",'Hot mix emission factors'!$L$12,IF($F$5="yes",(0.00141*(-$E$6)*EXP((0.0251)*($E$7+460)-20.43)),IF($F$5="Choose one",0)))*'Hot mix emission factors'!L50</f>
        <v>0</v>
      </c>
      <c r="G53" s="91">
        <f t="shared" si="0"/>
        <v>0</v>
      </c>
      <c r="H53" s="101">
        <f t="shared" si="1"/>
        <v>0</v>
      </c>
      <c r="J53" s="76" t="str">
        <f>'Hot mix emission factors'!K50</f>
        <v>Benzo(e)pyrene</v>
      </c>
      <c r="N53" s="528">
        <f>IF($F$5="no",'Hot mix emission factors'!$N$12,IF($F$5="yes",(0.00141*(-$E$6)*EXP((0.0251)*($E$7+460)-20.43)),IF($F$5="Choose one",0)))*'Hot mix emission factors'!N50</f>
        <v>0</v>
      </c>
      <c r="O53" s="91">
        <f t="shared" si="2"/>
        <v>0</v>
      </c>
      <c r="P53" s="101">
        <f t="shared" si="3"/>
        <v>0</v>
      </c>
    </row>
    <row r="54" spans="2:16" ht="15" customHeight="1" x14ac:dyDescent="0.25">
      <c r="B54" s="265" t="str">
        <f>'Hot mix emission factors'!K51</f>
        <v>Chrysene</v>
      </c>
      <c r="C54" s="532"/>
      <c r="D54" s="532"/>
      <c r="E54" s="533"/>
      <c r="F54" s="528">
        <f>IF($F$5="no",'Hot mix emission factors'!$L$12,IF($F$5="yes",(0.00141*(-$E$6)*EXP((0.0251)*($E$7+460)-20.43)),IF($F$5="Choose one",0)))*'Hot mix emission factors'!L51</f>
        <v>0</v>
      </c>
      <c r="G54" s="91">
        <f t="shared" si="0"/>
        <v>0</v>
      </c>
      <c r="H54" s="101">
        <f t="shared" si="1"/>
        <v>0</v>
      </c>
      <c r="J54" s="265" t="str">
        <f>'Hot mix emission factors'!K51</f>
        <v>Chrysene</v>
      </c>
      <c r="K54" s="532"/>
      <c r="L54" s="532"/>
      <c r="M54" s="533"/>
      <c r="N54" s="528">
        <f>IF($F$5="no",'Hot mix emission factors'!$N$12,IF($F$5="yes",(0.00141*(-$E$6)*EXP((0.0251)*($E$7+460)-20.43)),IF($F$5="Choose one",0)))*'Hot mix emission factors'!N51</f>
        <v>0</v>
      </c>
      <c r="O54" s="91">
        <f t="shared" si="2"/>
        <v>0</v>
      </c>
      <c r="P54" s="101">
        <f t="shared" si="3"/>
        <v>0</v>
      </c>
    </row>
    <row r="55" spans="2:16" ht="15" customHeight="1" x14ac:dyDescent="0.25">
      <c r="B55" s="76" t="str">
        <f>'Hot mix emission factors'!K52</f>
        <v>Dibenz(a,h)anthracene</v>
      </c>
      <c r="F55" s="528">
        <f>IF($F$5="no",'Hot mix emission factors'!$L$12,IF($F$5="yes",(0.00141*(-$E$6)*EXP((0.0251)*($E$7+460)-20.43)),IF($F$5="Choose one",0)))*'Hot mix emission factors'!L52</f>
        <v>0</v>
      </c>
      <c r="G55" s="91">
        <f t="shared" si="0"/>
        <v>0</v>
      </c>
      <c r="H55" s="101">
        <f t="shared" si="1"/>
        <v>0</v>
      </c>
      <c r="J55" s="76" t="str">
        <f>'Hot mix emission factors'!K52</f>
        <v>Dibenz(a,h)anthracene</v>
      </c>
      <c r="N55" s="528"/>
      <c r="O55" s="91">
        <f t="shared" si="2"/>
        <v>0</v>
      </c>
      <c r="P55" s="101">
        <f t="shared" si="3"/>
        <v>0</v>
      </c>
    </row>
    <row r="56" spans="2:16" ht="15" customHeight="1" x14ac:dyDescent="0.25">
      <c r="B56" s="76" t="str">
        <f>'Hot mix emission factors'!K53</f>
        <v>Fluoranthene</v>
      </c>
      <c r="F56" s="528">
        <f>IF($F$5="no",'Hot mix emission factors'!$L$12,IF($F$5="yes",(0.00141*(-$E$6)*EXP((0.0251)*($E$7+460)-20.43)),IF($F$5="Choose one",0)))*'Hot mix emission factors'!L53</f>
        <v>0</v>
      </c>
      <c r="G56" s="91">
        <f t="shared" si="0"/>
        <v>0</v>
      </c>
      <c r="H56" s="101">
        <f t="shared" si="1"/>
        <v>0</v>
      </c>
      <c r="J56" s="76" t="str">
        <f>'Hot mix emission factors'!K53</f>
        <v>Fluoranthene</v>
      </c>
      <c r="N56" s="528">
        <f>IF($F$5="no",'Hot mix emission factors'!$N$12,IF($F$5="yes",(0.00141*(-$E$6)*EXP((0.0251)*($E$7+460)-20.43)),IF($F$5="Choose one",0)))*'Hot mix emission factors'!N53</f>
        <v>0</v>
      </c>
      <c r="O56" s="91">
        <f t="shared" si="2"/>
        <v>0</v>
      </c>
      <c r="P56" s="101">
        <f t="shared" si="3"/>
        <v>0</v>
      </c>
    </row>
    <row r="57" spans="2:16" ht="15" customHeight="1" x14ac:dyDescent="0.25">
      <c r="B57" s="76" t="str">
        <f>'Hot mix emission factors'!K54</f>
        <v>Fluorene</v>
      </c>
      <c r="F57" s="528">
        <f>IF($F$5="no",'Hot mix emission factors'!$L$12,IF($F$5="yes",(0.00141*(-$E$6)*EXP((0.0251)*($E$7+460)-20.43)),IF($F$5="Choose one",0)))*'Hot mix emission factors'!L54</f>
        <v>0</v>
      </c>
      <c r="G57" s="91">
        <f t="shared" si="0"/>
        <v>0</v>
      </c>
      <c r="H57" s="101">
        <f t="shared" si="1"/>
        <v>0</v>
      </c>
      <c r="J57" s="76" t="str">
        <f>'Hot mix emission factors'!K54</f>
        <v>Fluorene</v>
      </c>
      <c r="N57" s="528">
        <f>IF($F$5="no",'Hot mix emission factors'!$N$12,IF($F$5="yes",(0.00141*(-$E$6)*EXP((0.0251)*($E$7+460)-20.43)),IF($F$5="Choose one",0)))*'Hot mix emission factors'!N54</f>
        <v>0</v>
      </c>
      <c r="O57" s="91">
        <f t="shared" si="2"/>
        <v>0</v>
      </c>
      <c r="P57" s="101">
        <f t="shared" si="3"/>
        <v>0</v>
      </c>
    </row>
    <row r="58" spans="2:16" ht="15" customHeight="1" x14ac:dyDescent="0.25">
      <c r="B58" s="76" t="str">
        <f>'Hot mix emission factors'!K55</f>
        <v>Indeno(1,2,3-cd)pyrene</v>
      </c>
      <c r="F58" s="528">
        <f>IF($F$5="no",'Hot mix emission factors'!$L$12,IF($F$5="yes",(0.00141*(-$E$6)*EXP((0.0251)*($E$7+460)-20.43)),IF($F$5="Choose one",0)))*'Hot mix emission factors'!L55</f>
        <v>0</v>
      </c>
      <c r="G58" s="91">
        <f t="shared" si="0"/>
        <v>0</v>
      </c>
      <c r="H58" s="101">
        <f t="shared" si="1"/>
        <v>0</v>
      </c>
      <c r="J58" s="76" t="str">
        <f>'Hot mix emission factors'!K55</f>
        <v>Indeno(1,2,3-cd)pyrene</v>
      </c>
      <c r="N58" s="528"/>
      <c r="O58" s="91">
        <f t="shared" si="2"/>
        <v>0</v>
      </c>
      <c r="P58" s="101">
        <f t="shared" si="3"/>
        <v>0</v>
      </c>
    </row>
    <row r="59" spans="2:16" ht="15" customHeight="1" x14ac:dyDescent="0.25">
      <c r="B59" s="265" t="str">
        <f>'Hot mix emission factors'!K56</f>
        <v>2-Methylnaphthalene</v>
      </c>
      <c r="C59" s="532"/>
      <c r="D59" s="532"/>
      <c r="E59" s="533"/>
      <c r="F59" s="528">
        <f>IF($F$5="no",'Hot mix emission factors'!$L$12,IF($F$5="yes",(0.00141*(-$E$6)*EXP((0.0251)*($E$7+460)-20.43)),IF($F$5="Choose one",0)))*'Hot mix emission factors'!L56</f>
        <v>0</v>
      </c>
      <c r="G59" s="91">
        <f t="shared" si="0"/>
        <v>0</v>
      </c>
      <c r="H59" s="101">
        <f t="shared" si="1"/>
        <v>0</v>
      </c>
      <c r="J59" s="265" t="str">
        <f>'Hot mix emission factors'!K56</f>
        <v>2-Methylnaphthalene</v>
      </c>
      <c r="K59" s="532"/>
      <c r="L59" s="532"/>
      <c r="M59" s="533"/>
      <c r="N59" s="528">
        <f>IF($F$5="no",'Hot mix emission factors'!$N$12,IF($F$5="yes",(0.00141*(-$E$6)*EXP((0.0251)*($E$7+460)-20.43)),IF($F$5="Choose one",0)))*'Hot mix emission factors'!N56</f>
        <v>0</v>
      </c>
      <c r="O59" s="91">
        <f t="shared" si="2"/>
        <v>0</v>
      </c>
      <c r="P59" s="101">
        <f t="shared" si="3"/>
        <v>0</v>
      </c>
    </row>
    <row r="60" spans="2:16" ht="15" customHeight="1" x14ac:dyDescent="0.25">
      <c r="B60" s="76" t="str">
        <f>'Hot mix emission factors'!K57</f>
        <v>Naphthalene</v>
      </c>
      <c r="F60" s="528">
        <f>IF($F$5="no",'Hot mix emission factors'!$L$12,IF($F$5="yes",(0.00141*(-$E$6)*EXP((0.0251)*($E$7+460)-20.43)),IF($F$5="Choose one",0)))*'Hot mix emission factors'!L57</f>
        <v>0</v>
      </c>
      <c r="G60" s="91">
        <f t="shared" si="0"/>
        <v>0</v>
      </c>
      <c r="H60" s="101">
        <f t="shared" si="1"/>
        <v>0</v>
      </c>
      <c r="J60" s="76" t="str">
        <f>'Hot mix emission factors'!K57</f>
        <v>Naphthalene</v>
      </c>
      <c r="N60" s="528">
        <f>IF($F$5="no",'Hot mix emission factors'!$N$12,IF($F$5="yes",(0.00141*(-$E$6)*EXP((0.0251)*($E$7+460)-20.43)),IF($F$5="Choose one",0)))*'Hot mix emission factors'!N57</f>
        <v>0</v>
      </c>
      <c r="O60" s="91">
        <f t="shared" si="2"/>
        <v>0</v>
      </c>
      <c r="P60" s="101">
        <f t="shared" si="3"/>
        <v>0</v>
      </c>
    </row>
    <row r="61" spans="2:16" ht="15" customHeight="1" x14ac:dyDescent="0.25">
      <c r="B61" s="76" t="str">
        <f>'Hot mix emission factors'!K58</f>
        <v>Perylene</v>
      </c>
      <c r="F61" s="528">
        <f>IF($F$5="no",'Hot mix emission factors'!$L$12,IF($F$5="yes",(0.00141*(-$E$6)*EXP((0.0251)*($E$7+460)-20.43)),IF($F$5="Choose one",0)))*'Hot mix emission factors'!L58</f>
        <v>0</v>
      </c>
      <c r="G61" s="91">
        <f t="shared" si="0"/>
        <v>0</v>
      </c>
      <c r="H61" s="101">
        <f t="shared" si="1"/>
        <v>0</v>
      </c>
      <c r="J61" s="76" t="str">
        <f>'Hot mix emission factors'!K58</f>
        <v>Perylene</v>
      </c>
      <c r="N61" s="528">
        <f>IF($F$5="no",'Hot mix emission factors'!$N$12,IF($F$5="yes",(0.00141*(-$E$6)*EXP((0.0251)*($E$7+460)-20.43)),IF($F$5="Choose one",0)))*'Hot mix emission factors'!N58</f>
        <v>0</v>
      </c>
      <c r="O61" s="91">
        <f t="shared" si="2"/>
        <v>0</v>
      </c>
      <c r="P61" s="101">
        <f t="shared" si="3"/>
        <v>0</v>
      </c>
    </row>
    <row r="62" spans="2:16" ht="15" customHeight="1" x14ac:dyDescent="0.25">
      <c r="B62" s="76" t="str">
        <f>'Hot mix emission factors'!K59</f>
        <v>Phenanthrene</v>
      </c>
      <c r="F62" s="528">
        <f>IF($F$5="no",'Hot mix emission factors'!$L$12,IF($F$5="yes",(0.00141*(-$E$6)*EXP((0.0251)*($E$7+460)-20.43)),IF($F$5="Choose one",0)))*'Hot mix emission factors'!L59</f>
        <v>0</v>
      </c>
      <c r="G62" s="91">
        <f t="shared" si="0"/>
        <v>0</v>
      </c>
      <c r="H62" s="101">
        <f t="shared" si="1"/>
        <v>0</v>
      </c>
      <c r="J62" s="76" t="str">
        <f>'Hot mix emission factors'!K59</f>
        <v>Phenanthrene</v>
      </c>
      <c r="N62" s="528">
        <f>IF($F$5="no",'Hot mix emission factors'!$N$12,IF($F$5="yes",(0.00141*(-$E$6)*EXP((0.0251)*($E$7+460)-20.43)),IF($F$5="Choose one",0)))*'Hot mix emission factors'!N59</f>
        <v>0</v>
      </c>
      <c r="O62" s="91">
        <f t="shared" si="2"/>
        <v>0</v>
      </c>
      <c r="P62" s="101">
        <f t="shared" si="3"/>
        <v>0</v>
      </c>
    </row>
    <row r="63" spans="2:16" ht="15" customHeight="1" thickBot="1" x14ac:dyDescent="0.3">
      <c r="B63" s="84" t="str">
        <f>'Hot mix emission factors'!K60</f>
        <v>Pyrene</v>
      </c>
      <c r="C63" s="664"/>
      <c r="D63" s="664"/>
      <c r="E63" s="664"/>
      <c r="F63" s="665">
        <f>IF($F$5="no",'Hot mix emission factors'!$L$12,IF($F$5="yes",(0.00141*(-$E$6)*EXP((0.0251)*($E$7+460)-20.43)),IF($F$5="Choose one",0)))*'Hot mix emission factors'!L60</f>
        <v>0</v>
      </c>
      <c r="G63" s="666">
        <f t="shared" si="0"/>
        <v>0</v>
      </c>
      <c r="H63" s="667">
        <f t="shared" si="1"/>
        <v>0</v>
      </c>
      <c r="J63" s="76" t="str">
        <f>'Hot mix emission factors'!K60</f>
        <v>Pyrene</v>
      </c>
      <c r="N63" s="528">
        <f>IF($F$5="no",'Hot mix emission factors'!$N$12,IF($F$5="yes",(0.00141*(-$E$6)*EXP((0.0251)*($E$7+460)-20.43)),IF($F$5="Choose one",0)))*'Hot mix emission factors'!N60</f>
        <v>0</v>
      </c>
      <c r="O63" s="91">
        <f t="shared" si="2"/>
        <v>0</v>
      </c>
      <c r="P63" s="101">
        <f t="shared" si="3"/>
        <v>0</v>
      </c>
    </row>
    <row r="64" spans="2:16" ht="15" customHeight="1" x14ac:dyDescent="0.25">
      <c r="B64" s="1041" t="s">
        <v>357</v>
      </c>
      <c r="C64" s="1041"/>
      <c r="D64" s="1041"/>
      <c r="E64" s="1041"/>
      <c r="F64" s="1041"/>
      <c r="G64" s="1041"/>
      <c r="H64" s="1041"/>
      <c r="J64" s="1045" t="s">
        <v>357</v>
      </c>
      <c r="K64" s="1046"/>
      <c r="L64" s="1046"/>
      <c r="M64" s="1046"/>
      <c r="N64" s="1046"/>
      <c r="O64" s="1046"/>
      <c r="P64" s="1047"/>
    </row>
    <row r="65" spans="2:16" ht="15" customHeight="1" x14ac:dyDescent="0.25">
      <c r="B65" s="1041" t="s">
        <v>517</v>
      </c>
      <c r="C65" s="1041"/>
      <c r="D65" s="1041"/>
      <c r="E65" s="1041"/>
      <c r="F65" s="1041"/>
      <c r="G65" s="1041"/>
      <c r="H65" s="1041"/>
      <c r="J65" s="1042" t="s">
        <v>517</v>
      </c>
      <c r="K65" s="1041"/>
      <c r="L65" s="1041"/>
      <c r="M65" s="1041"/>
      <c r="N65" s="1041"/>
      <c r="O65" s="1041"/>
      <c r="P65" s="1043"/>
    </row>
    <row r="66" spans="2:16" ht="15" customHeight="1" thickBot="1" x14ac:dyDescent="0.3">
      <c r="J66" s="1038" t="s">
        <v>624</v>
      </c>
      <c r="K66" s="1039"/>
      <c r="L66" s="1039"/>
      <c r="M66" s="1039"/>
      <c r="N66" s="1039"/>
      <c r="O66" s="1039"/>
      <c r="P66" s="1040"/>
    </row>
    <row r="67" spans="2:16" ht="15" customHeight="1" x14ac:dyDescent="0.25"/>
  </sheetData>
  <protectedRanges>
    <protectedRange sqref="B20 J20" name="Range1"/>
    <protectedRange sqref="E22 M22" name="Range1_2"/>
  </protectedRanges>
  <dataConsolidate/>
  <mergeCells count="18">
    <mergeCell ref="J66:P66"/>
    <mergeCell ref="B20:H20"/>
    <mergeCell ref="J20:P20"/>
    <mergeCell ref="B44:H44"/>
    <mergeCell ref="J44:P44"/>
    <mergeCell ref="B65:H65"/>
    <mergeCell ref="J65:P65"/>
    <mergeCell ref="B23:H23"/>
    <mergeCell ref="J23:P23"/>
    <mergeCell ref="J64:P64"/>
    <mergeCell ref="B64:H64"/>
    <mergeCell ref="B2:H2"/>
    <mergeCell ref="B3:H3"/>
    <mergeCell ref="B14:H14"/>
    <mergeCell ref="J14:P14"/>
    <mergeCell ref="B5:E5"/>
    <mergeCell ref="J9:P9"/>
    <mergeCell ref="B9:H9"/>
  </mergeCells>
  <conditionalFormatting sqref="D6:D7 F6:F7">
    <cfRule type="expression" dxfId="40" priority="2">
      <formula>OR($F$5="No",$F$5="Choose one")</formula>
    </cfRule>
  </conditionalFormatting>
  <conditionalFormatting sqref="E6:E7">
    <cfRule type="expression" dxfId="39" priority="1">
      <formula>OR($F$5="No",$F$5="Choose one")</formula>
    </cfRule>
  </conditionalFormatting>
  <conditionalFormatting sqref="F15:F19 N15:N19 F21 N21">
    <cfRule type="cellIs" dxfId="38" priority="5" operator="equal">
      <formula>0</formula>
    </cfRule>
  </conditionalFormatting>
  <conditionalFormatting sqref="N24:N43 N45:N63">
    <cfRule type="cellIs" dxfId="37" priority="3" operator="equal">
      <formula>0</formula>
    </cfRule>
  </conditionalFormatting>
  <pageMargins left="0.25" right="0.25" top="0.5" bottom="0.5" header="0.3" footer="0.3"/>
  <pageSetup fitToHeight="0" orientation="landscape" r:id="rId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Incorrect Entry" error="Please choose from the drop down list. _x000a__x000a_----&gt; Press CANCEL" xr:uid="{00000000-0002-0000-0400-000000000000}">
          <x14:formula1>
            <xm:f>'Data Validation'!$A$6:$A$8</xm:f>
          </x14:formula1>
          <xm:sqref>F5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D1EAFF"/>
    <pageSetUpPr fitToPage="1"/>
  </sheetPr>
  <dimension ref="A1:AC411"/>
  <sheetViews>
    <sheetView showGridLines="0" zoomScaleNormal="100" zoomScaleSheetLayoutView="100" zoomScalePageLayoutView="85" workbookViewId="0">
      <selection activeCell="C5" sqref="C5:D5"/>
    </sheetView>
  </sheetViews>
  <sheetFormatPr defaultColWidth="9.42578125" defaultRowHeight="15" x14ac:dyDescent="0.25"/>
  <cols>
    <col min="1" max="1" width="5.42578125" style="2" customWidth="1"/>
    <col min="2" max="2" width="21.42578125" style="2" customWidth="1"/>
    <col min="3" max="3" width="9" style="2" customWidth="1"/>
    <col min="4" max="9" width="17.5703125" style="2" customWidth="1"/>
    <col min="10" max="10" width="16" style="2" customWidth="1"/>
    <col min="11" max="13" width="12" style="21" customWidth="1"/>
    <col min="14" max="18" width="9.42578125" style="21"/>
    <col min="19" max="20" width="9.42578125" style="402"/>
    <col min="21" max="16384" width="9.42578125" style="2"/>
  </cols>
  <sheetData>
    <row r="1" spans="1:27" x14ac:dyDescent="0.25">
      <c r="B1" s="670"/>
      <c r="C1" s="670"/>
      <c r="D1" s="670"/>
      <c r="E1" s="670"/>
      <c r="F1" s="670"/>
      <c r="G1" s="670"/>
      <c r="H1" s="670"/>
      <c r="I1" s="670"/>
      <c r="J1" s="671" t="str">
        <f>Instructions!$H$2</f>
        <v>p-sbap5-20  •  7/28/2025</v>
      </c>
      <c r="M1" s="402"/>
      <c r="N1" s="402"/>
      <c r="O1" s="2"/>
      <c r="P1" s="2"/>
      <c r="Q1" s="2"/>
      <c r="R1" s="2"/>
      <c r="S1" s="2"/>
      <c r="T1" s="2"/>
    </row>
    <row r="2" spans="1:27" ht="19.5" thickBot="1" x14ac:dyDescent="0.3">
      <c r="B2" s="920" t="s">
        <v>108</v>
      </c>
      <c r="C2" s="920"/>
      <c r="D2" s="920"/>
      <c r="E2" s="920"/>
      <c r="F2" s="920"/>
      <c r="G2" s="920"/>
      <c r="H2" s="920"/>
      <c r="I2" s="920"/>
      <c r="J2" s="920"/>
      <c r="L2" s="920" t="s">
        <v>897</v>
      </c>
      <c r="M2" s="920"/>
      <c r="N2" s="920"/>
      <c r="O2" s="920"/>
      <c r="P2" s="920"/>
      <c r="Q2" s="920"/>
      <c r="R2" s="920"/>
      <c r="S2" s="920"/>
      <c r="T2" s="920"/>
      <c r="U2" s="920"/>
      <c r="V2" s="920"/>
      <c r="W2" s="920"/>
      <c r="X2" s="920"/>
      <c r="Y2" s="920"/>
      <c r="Z2" s="920"/>
      <c r="AA2" s="920"/>
    </row>
    <row r="3" spans="1:27" s="231" customFormat="1" ht="14.25" x14ac:dyDescent="0.2">
      <c r="B3" s="1063" t="s">
        <v>877</v>
      </c>
      <c r="C3" s="1063"/>
      <c r="D3" s="1063"/>
      <c r="E3" s="1063"/>
      <c r="F3" s="1063"/>
      <c r="G3" s="1063"/>
      <c r="H3" s="1063"/>
      <c r="I3" s="1063"/>
      <c r="J3" s="341"/>
      <c r="L3" s="1066" t="s">
        <v>898</v>
      </c>
      <c r="M3" s="1066"/>
      <c r="N3" s="1066"/>
      <c r="O3" s="1066"/>
      <c r="P3" s="1066"/>
      <c r="Q3" s="1066"/>
      <c r="R3" s="1066"/>
      <c r="S3" s="1066"/>
      <c r="T3" s="1066"/>
      <c r="U3" s="1066"/>
      <c r="V3" s="1066"/>
      <c r="W3" s="1066"/>
      <c r="X3" s="1066"/>
      <c r="Y3" s="1066"/>
      <c r="Z3" s="1066"/>
      <c r="AA3" s="1066"/>
    </row>
    <row r="4" spans="1:27" s="231" customFormat="1" x14ac:dyDescent="0.25">
      <c r="B4" s="876"/>
      <c r="C4" s="877"/>
      <c r="D4" s="877"/>
      <c r="E4" s="877"/>
      <c r="F4" s="877"/>
      <c r="G4" s="877"/>
      <c r="H4" s="877"/>
      <c r="I4" s="877"/>
      <c r="J4" s="341"/>
      <c r="L4" s="1067"/>
      <c r="M4" s="1067"/>
      <c r="N4" s="1067"/>
      <c r="O4" s="1067"/>
      <c r="P4" s="1067"/>
      <c r="Q4" s="1067"/>
      <c r="R4" s="1067"/>
      <c r="S4" s="1067"/>
      <c r="T4" s="1067"/>
      <c r="U4" s="1067"/>
      <c r="V4" s="1067"/>
      <c r="W4" s="1067"/>
      <c r="X4" s="1067"/>
      <c r="Y4" s="1067"/>
      <c r="Z4" s="1067"/>
      <c r="AA4" s="1067"/>
    </row>
    <row r="5" spans="1:27" s="231" customFormat="1" x14ac:dyDescent="0.25">
      <c r="B5" s="878" t="s">
        <v>878</v>
      </c>
      <c r="C5" s="1064" t="s">
        <v>879</v>
      </c>
      <c r="D5" s="1065"/>
      <c r="E5" s="11"/>
      <c r="F5" s="878" t="s">
        <v>880</v>
      </c>
      <c r="G5" s="879"/>
      <c r="H5" s="11" t="s">
        <v>881</v>
      </c>
      <c r="I5" s="880"/>
      <c r="L5" s="883" t="s">
        <v>899</v>
      </c>
      <c r="M5" s="11"/>
      <c r="N5" s="11"/>
      <c r="O5" s="11"/>
      <c r="P5" s="11"/>
      <c r="Q5" s="11"/>
      <c r="R5" s="11"/>
      <c r="S5" s="11"/>
      <c r="T5" s="11"/>
      <c r="U5" s="11"/>
      <c r="V5" s="11"/>
      <c r="W5" s="11"/>
      <c r="X5" s="11"/>
      <c r="Y5" s="11"/>
    </row>
    <row r="6" spans="1:27" s="231" customFormat="1" ht="14.25" x14ac:dyDescent="0.2">
      <c r="B6" s="878" t="s">
        <v>882</v>
      </c>
      <c r="C6" s="1064"/>
      <c r="D6" s="1065"/>
      <c r="E6" s="11"/>
      <c r="F6" s="878" t="s">
        <v>883</v>
      </c>
      <c r="G6" s="879"/>
      <c r="H6" s="11" t="s">
        <v>884</v>
      </c>
      <c r="I6" s="880"/>
      <c r="L6" s="1068" t="s">
        <v>900</v>
      </c>
      <c r="M6" s="1068"/>
      <c r="N6" s="1068"/>
      <c r="O6" s="1068"/>
      <c r="P6" s="1068"/>
      <c r="Q6" s="1068"/>
      <c r="R6" s="1068"/>
      <c r="S6" s="1068"/>
      <c r="T6" s="1068"/>
      <c r="U6" s="1068"/>
      <c r="V6" s="1068"/>
      <c r="W6" s="1068"/>
      <c r="X6" s="1068"/>
      <c r="Y6" s="1068"/>
      <c r="Z6" s="1068"/>
      <c r="AA6" s="1068"/>
    </row>
    <row r="7" spans="1:27" s="231" customFormat="1" ht="14.25" x14ac:dyDescent="0.2">
      <c r="B7" s="878" t="s">
        <v>885</v>
      </c>
      <c r="C7" s="1064"/>
      <c r="D7" s="1065"/>
      <c r="E7" s="11"/>
      <c r="F7" s="878" t="s">
        <v>886</v>
      </c>
      <c r="G7" s="879"/>
      <c r="H7" s="11" t="s">
        <v>887</v>
      </c>
      <c r="I7" s="880"/>
      <c r="L7" s="1068"/>
      <c r="M7" s="1068"/>
      <c r="N7" s="1068"/>
      <c r="O7" s="1068"/>
      <c r="P7" s="1068"/>
      <c r="Q7" s="1068"/>
      <c r="R7" s="1068"/>
      <c r="S7" s="1068"/>
      <c r="T7" s="1068"/>
      <c r="U7" s="1068"/>
      <c r="V7" s="1068"/>
      <c r="W7" s="1068"/>
      <c r="X7" s="1068"/>
      <c r="Y7" s="1068"/>
      <c r="Z7" s="1068"/>
      <c r="AA7" s="1068"/>
    </row>
    <row r="8" spans="1:27" s="231" customFormat="1" ht="14.25" x14ac:dyDescent="0.2">
      <c r="B8" s="878" t="s">
        <v>888</v>
      </c>
      <c r="C8" s="1064"/>
      <c r="D8" s="1065"/>
      <c r="E8" s="11" t="s">
        <v>889</v>
      </c>
      <c r="F8" s="878" t="s">
        <v>890</v>
      </c>
      <c r="G8" s="879" t="s">
        <v>103</v>
      </c>
      <c r="H8" s="11" t="s">
        <v>891</v>
      </c>
      <c r="I8" s="880"/>
      <c r="L8" s="853"/>
      <c r="M8" s="853"/>
      <c r="N8" s="853"/>
      <c r="O8" s="853"/>
      <c r="P8" s="853"/>
      <c r="Q8" s="853"/>
      <c r="R8" s="853"/>
      <c r="S8" s="853"/>
      <c r="T8" s="853"/>
      <c r="U8" s="853"/>
      <c r="V8" s="853"/>
      <c r="W8" s="853"/>
      <c r="X8" s="853"/>
      <c r="Y8" s="853"/>
    </row>
    <row r="9" spans="1:27" s="231" customFormat="1" ht="14.25" x14ac:dyDescent="0.2">
      <c r="B9" s="11"/>
      <c r="C9" s="881"/>
      <c r="D9" s="881"/>
      <c r="E9" s="881"/>
      <c r="F9" s="881"/>
      <c r="G9" s="881"/>
      <c r="H9" s="881"/>
      <c r="I9" s="881"/>
      <c r="J9" s="341"/>
      <c r="K9" s="341"/>
      <c r="L9" s="1069" t="s">
        <v>901</v>
      </c>
      <c r="M9" s="1069"/>
      <c r="N9" s="1071" t="s">
        <v>902</v>
      </c>
      <c r="O9" s="1071"/>
      <c r="P9" s="1071"/>
      <c r="Q9" s="1071"/>
      <c r="R9" s="1071"/>
      <c r="S9" s="1071"/>
      <c r="T9" s="1071" t="s">
        <v>336</v>
      </c>
      <c r="U9" s="1071"/>
      <c r="V9" s="1071"/>
      <c r="W9" s="1071"/>
      <c r="X9" s="1071"/>
      <c r="Y9" s="1071"/>
      <c r="Z9" s="1071"/>
      <c r="AA9" s="1071"/>
    </row>
    <row r="10" spans="1:27" s="231" customFormat="1" ht="14.25" x14ac:dyDescent="0.2">
      <c r="B10" s="882" t="s">
        <v>892</v>
      </c>
      <c r="C10" s="881"/>
      <c r="D10" s="881"/>
      <c r="E10" s="881"/>
      <c r="G10" s="341"/>
      <c r="L10" s="1070"/>
      <c r="M10" s="1070"/>
      <c r="N10" s="1072"/>
      <c r="O10" s="1072"/>
      <c r="P10" s="1072"/>
      <c r="Q10" s="1072"/>
      <c r="R10" s="1072"/>
      <c r="S10" s="1072"/>
      <c r="T10" s="1072"/>
      <c r="U10" s="1072"/>
      <c r="V10" s="1072"/>
      <c r="W10" s="1072"/>
      <c r="X10" s="1072"/>
      <c r="Y10" s="1072"/>
      <c r="Z10" s="1072"/>
      <c r="AA10" s="1072"/>
    </row>
    <row r="11" spans="1:27" s="231" customFormat="1" ht="14.25" x14ac:dyDescent="0.2">
      <c r="B11" s="852" t="s">
        <v>103</v>
      </c>
      <c r="C11" s="854" t="s">
        <v>893</v>
      </c>
      <c r="D11" s="881"/>
      <c r="E11" s="881"/>
      <c r="G11" s="341"/>
      <c r="H11" s="882"/>
      <c r="L11" s="1073" t="s">
        <v>903</v>
      </c>
      <c r="M11" s="1074"/>
      <c r="N11" s="1077" t="s">
        <v>904</v>
      </c>
      <c r="O11" s="1078"/>
      <c r="P11" s="1078"/>
      <c r="Q11" s="1078"/>
      <c r="R11" s="1078"/>
      <c r="S11" s="1079"/>
      <c r="T11" s="1078" t="s">
        <v>905</v>
      </c>
      <c r="U11" s="1078"/>
      <c r="V11" s="1078"/>
      <c r="W11" s="1078"/>
      <c r="X11" s="1078"/>
      <c r="Y11" s="1078"/>
      <c r="Z11" s="1078"/>
      <c r="AA11" s="1078"/>
    </row>
    <row r="12" spans="1:27" s="231" customFormat="1" ht="14.25" x14ac:dyDescent="0.2">
      <c r="B12" s="394" t="s">
        <v>103</v>
      </c>
      <c r="C12" s="854" t="s">
        <v>894</v>
      </c>
      <c r="D12" s="881"/>
      <c r="E12" s="881"/>
      <c r="G12" s="341"/>
      <c r="H12" s="854"/>
      <c r="L12" s="1075"/>
      <c r="M12" s="1076"/>
      <c r="N12" s="1080"/>
      <c r="O12" s="1081"/>
      <c r="P12" s="1081"/>
      <c r="Q12" s="1081"/>
      <c r="R12" s="1081"/>
      <c r="S12" s="1082"/>
      <c r="T12" s="1081"/>
      <c r="U12" s="1081"/>
      <c r="V12" s="1081"/>
      <c r="W12" s="1081"/>
      <c r="X12" s="1081"/>
      <c r="Y12" s="1081"/>
      <c r="Z12" s="1081"/>
      <c r="AA12" s="1081"/>
    </row>
    <row r="13" spans="1:27" s="231" customFormat="1" ht="15.75" customHeight="1" x14ac:dyDescent="0.2">
      <c r="B13" s="394" t="s">
        <v>103</v>
      </c>
      <c r="C13" s="854" t="s">
        <v>895</v>
      </c>
      <c r="D13" s="881"/>
      <c r="E13" s="881"/>
      <c r="G13" s="341"/>
      <c r="L13" s="1075" t="s">
        <v>906</v>
      </c>
      <c r="M13" s="1076"/>
      <c r="N13" s="1080" t="s">
        <v>266</v>
      </c>
      <c r="O13" s="1081"/>
      <c r="P13" s="1081"/>
      <c r="Q13" s="1081"/>
      <c r="R13" s="1081"/>
      <c r="S13" s="1082"/>
      <c r="T13" s="1081" t="s">
        <v>907</v>
      </c>
      <c r="U13" s="1081"/>
      <c r="V13" s="1081"/>
      <c r="W13" s="1081"/>
      <c r="X13" s="1081" t="s">
        <v>908</v>
      </c>
      <c r="Y13" s="1081"/>
      <c r="Z13" s="1081"/>
      <c r="AA13" s="1081"/>
    </row>
    <row r="14" spans="1:27" s="231" customFormat="1" ht="15.75" customHeight="1" x14ac:dyDescent="0.2">
      <c r="A14" s="854"/>
      <c r="B14" s="881"/>
      <c r="C14" s="881"/>
      <c r="D14" s="881"/>
      <c r="E14" s="881"/>
      <c r="F14" s="881"/>
      <c r="G14" s="881"/>
      <c r="H14" s="341"/>
      <c r="I14" s="341"/>
      <c r="L14" s="1075"/>
      <c r="M14" s="1076"/>
      <c r="N14" s="1080"/>
      <c r="O14" s="1081"/>
      <c r="P14" s="1081"/>
      <c r="Q14" s="1081"/>
      <c r="R14" s="1081"/>
      <c r="S14" s="1082"/>
      <c r="T14" s="1081"/>
      <c r="U14" s="1081"/>
      <c r="V14" s="1081"/>
      <c r="W14" s="1081"/>
      <c r="X14" s="1081"/>
      <c r="Y14" s="1081"/>
      <c r="Z14" s="1081"/>
      <c r="AA14" s="1081"/>
    </row>
    <row r="15" spans="1:27" s="231" customFormat="1" ht="15.75" customHeight="1" x14ac:dyDescent="0.2">
      <c r="A15" s="854"/>
      <c r="B15" s="882" t="s">
        <v>896</v>
      </c>
      <c r="C15" s="881"/>
      <c r="D15" s="881"/>
      <c r="E15" s="881"/>
      <c r="F15" s="881"/>
      <c r="G15" s="881"/>
      <c r="H15" s="341"/>
      <c r="I15" s="341"/>
      <c r="L15" s="1075" t="s">
        <v>909</v>
      </c>
      <c r="M15" s="1076"/>
      <c r="N15" s="1085" t="s">
        <v>910</v>
      </c>
      <c r="O15" s="1086"/>
      <c r="P15" s="1086"/>
      <c r="Q15" s="1086"/>
      <c r="R15" s="1086"/>
      <c r="S15" s="1087"/>
      <c r="T15" s="1086" t="s">
        <v>911</v>
      </c>
      <c r="U15" s="1086"/>
      <c r="V15" s="1086"/>
      <c r="W15" s="1086"/>
      <c r="X15" s="1086" t="s">
        <v>912</v>
      </c>
      <c r="Y15" s="1086"/>
      <c r="Z15" s="1086"/>
      <c r="AA15" s="1086"/>
    </row>
    <row r="16" spans="1:27" s="231" customFormat="1" ht="15.75" customHeight="1" x14ac:dyDescent="0.2">
      <c r="A16" s="854"/>
      <c r="B16" s="852" t="s">
        <v>103</v>
      </c>
      <c r="C16" s="854" t="s">
        <v>959</v>
      </c>
      <c r="D16" s="881"/>
      <c r="E16" s="881"/>
      <c r="F16" s="881"/>
      <c r="G16" s="881"/>
      <c r="H16" s="341"/>
      <c r="I16" s="341"/>
      <c r="L16" s="1075"/>
      <c r="M16" s="1076"/>
      <c r="N16" s="1085"/>
      <c r="O16" s="1086"/>
      <c r="P16" s="1086"/>
      <c r="Q16" s="1086"/>
      <c r="R16" s="1086"/>
      <c r="S16" s="1087"/>
      <c r="T16" s="1086"/>
      <c r="U16" s="1086"/>
      <c r="V16" s="1086"/>
      <c r="W16" s="1086"/>
      <c r="X16" s="1086"/>
      <c r="Y16" s="1086"/>
      <c r="Z16" s="1086"/>
      <c r="AA16" s="1086"/>
    </row>
    <row r="17" spans="1:27" s="26" customFormat="1" ht="14.25" x14ac:dyDescent="0.2">
      <c r="A17" s="854"/>
      <c r="B17" s="881"/>
      <c r="C17" s="881"/>
      <c r="D17" s="881"/>
      <c r="E17" s="881"/>
      <c r="F17" s="881"/>
      <c r="G17" s="881"/>
      <c r="H17" s="341"/>
      <c r="I17" s="341"/>
      <c r="J17" s="231"/>
      <c r="K17" s="231"/>
      <c r="L17" s="1088" t="s">
        <v>913</v>
      </c>
      <c r="M17" s="1089"/>
      <c r="N17" s="1090" t="s">
        <v>797</v>
      </c>
      <c r="O17" s="1091"/>
      <c r="P17" s="1091"/>
      <c r="Q17" s="1091"/>
      <c r="R17" s="1091"/>
      <c r="S17" s="1092"/>
      <c r="T17" s="1093" t="s">
        <v>796</v>
      </c>
      <c r="U17" s="1094"/>
      <c r="V17" s="1094"/>
      <c r="W17" s="1094"/>
      <c r="X17" s="1094" t="s">
        <v>914</v>
      </c>
      <c r="Y17" s="1094"/>
      <c r="Z17" s="1094"/>
      <c r="AA17" s="1094"/>
    </row>
    <row r="18" spans="1:27" s="26" customFormat="1" ht="15" customHeight="1" x14ac:dyDescent="0.25">
      <c r="B18" s="1060" t="s">
        <v>958</v>
      </c>
      <c r="C18" s="1060"/>
      <c r="D18" s="1060"/>
      <c r="E18" s="1060"/>
      <c r="F18" s="1060"/>
      <c r="G18" s="1060"/>
      <c r="H18" s="1060"/>
      <c r="I18" s="1060"/>
      <c r="J18" s="13"/>
      <c r="K18" s="13"/>
      <c r="L18" s="1088"/>
      <c r="M18" s="1089"/>
      <c r="N18" s="1090"/>
      <c r="O18" s="1091"/>
      <c r="P18" s="1091"/>
      <c r="Q18" s="1091"/>
      <c r="R18" s="1091"/>
      <c r="S18" s="1092"/>
      <c r="T18" s="1093"/>
      <c r="U18" s="1094"/>
      <c r="V18" s="1094"/>
      <c r="W18" s="1094"/>
      <c r="X18" s="1094"/>
      <c r="Y18" s="1094"/>
      <c r="Z18" s="1094"/>
      <c r="AA18" s="1094"/>
    </row>
    <row r="19" spans="1:27" s="26" customFormat="1" ht="15" customHeight="1" x14ac:dyDescent="0.2">
      <c r="B19" s="848"/>
      <c r="C19" s="848"/>
      <c r="D19" s="782" t="s">
        <v>109</v>
      </c>
      <c r="E19" s="1061" t="s">
        <v>103</v>
      </c>
      <c r="F19" s="1062"/>
      <c r="G19" s="1021"/>
      <c r="H19" s="1021"/>
      <c r="K19" s="21"/>
      <c r="L19" s="1088"/>
      <c r="M19" s="1089"/>
      <c r="N19" s="1090"/>
      <c r="O19" s="1091"/>
      <c r="P19" s="1091"/>
      <c r="Q19" s="1091"/>
      <c r="R19" s="1091"/>
      <c r="S19" s="1092"/>
      <c r="T19" s="1093"/>
      <c r="U19" s="1094"/>
      <c r="V19" s="1094"/>
      <c r="W19" s="1094"/>
      <c r="X19" s="1094"/>
      <c r="Y19" s="1094"/>
      <c r="Z19" s="1094"/>
      <c r="AA19" s="1094"/>
    </row>
    <row r="20" spans="1:27" s="26" customFormat="1" ht="15" customHeight="1" x14ac:dyDescent="0.2">
      <c r="B20" s="848"/>
      <c r="C20" s="848"/>
      <c r="D20" s="782" t="s">
        <v>110</v>
      </c>
      <c r="E20" s="394" t="s">
        <v>103</v>
      </c>
      <c r="F20" s="783"/>
      <c r="G20" s="846"/>
      <c r="H20" s="846"/>
      <c r="I20" s="846"/>
      <c r="J20" s="13"/>
      <c r="K20" s="13"/>
      <c r="L20" s="1088"/>
      <c r="M20" s="1089"/>
      <c r="N20" s="1090"/>
      <c r="O20" s="1091"/>
      <c r="P20" s="1091"/>
      <c r="Q20" s="1091"/>
      <c r="R20" s="1091"/>
      <c r="S20" s="1092"/>
      <c r="T20" s="1093"/>
      <c r="U20" s="1094"/>
      <c r="V20" s="1094"/>
      <c r="W20" s="1094"/>
      <c r="X20" s="1094"/>
      <c r="Y20" s="1094"/>
      <c r="Z20" s="1094"/>
      <c r="AA20" s="1094"/>
    </row>
    <row r="21" spans="1:27" s="26" customFormat="1" ht="15" customHeight="1" x14ac:dyDescent="0.2">
      <c r="B21" s="845"/>
      <c r="C21" s="845"/>
      <c r="D21" s="785" t="str">
        <f>IF($E$19='Data Validation Generator'!$A$6," ",IF(OR($E$19=rd,$E$19=rg),"Rated mechanical output",IF(OR($E$19=pro,OR($E$19=ngl,OR($E$19=ngr,OR($E$19=tng,$E$19=ng2l)))),"Rated fuel input"," ")))</f>
        <v xml:space="preserve"> </v>
      </c>
      <c r="E21" s="132">
        <v>0</v>
      </c>
      <c r="F21" s="784" t="str">
        <f>IF($D$21=" "," ",IF($D$21="Rated mechanical output",'Data Validation Generator'!$A$24,IF(AND($D$21="Rated fuel input",$E$19=pro),'Data Validation Generator'!$A$26,'Data Validation Generator'!$A$25)))</f>
        <v xml:space="preserve"> </v>
      </c>
      <c r="G21" s="846"/>
      <c r="H21" s="846"/>
      <c r="I21" s="846"/>
      <c r="J21" s="13"/>
      <c r="K21" s="13"/>
      <c r="L21" s="1084" t="s">
        <v>915</v>
      </c>
      <c r="M21" s="1075"/>
      <c r="N21" s="1080" t="s">
        <v>916</v>
      </c>
      <c r="O21" s="1081"/>
      <c r="P21" s="1081"/>
      <c r="Q21" s="1081"/>
      <c r="R21" s="1081"/>
      <c r="S21" s="1082"/>
      <c r="T21" s="1081" t="s">
        <v>917</v>
      </c>
      <c r="U21" s="1081"/>
      <c r="V21" s="1081"/>
      <c r="W21" s="1081"/>
      <c r="X21" s="1081"/>
      <c r="Y21" s="1081"/>
      <c r="Z21" s="1081"/>
      <c r="AA21" s="1081"/>
    </row>
    <row r="22" spans="1:27" s="26" customFormat="1" ht="15" customHeight="1" x14ac:dyDescent="0.2">
      <c r="B22" s="1011" t="s">
        <v>112</v>
      </c>
      <c r="C22" s="1012"/>
      <c r="D22" s="1013"/>
      <c r="E22" s="132">
        <v>0</v>
      </c>
      <c r="F22" s="783" t="str">
        <f>IF($B$22='Data Validation Generator'!$B$5," ",IF($B$22='Data Validation Generator'!$B$6,'Data Validation Generator'!$B$11,IF(AND($B$22='Data Validation Generator'!$B$7,OR($E$19=tng,OR($E$19=ngl,OR($E$19=ngr,OR($E$19=ng2l))))),'Data Validation Generator'!$B$12,IF(AND($B$22='Data Validation Generator'!$B$7,OR($E$19=rd,OR($E$19=rg,OR($E$19=pro)))),'Data Validation Generator'!$B$13," "))))</f>
        <v>hours per year (hr/yr)</v>
      </c>
      <c r="G22" s="846"/>
      <c r="H22" s="846"/>
      <c r="I22" s="846"/>
      <c r="J22" s="13"/>
      <c r="K22" s="13"/>
      <c r="L22" s="1084"/>
      <c r="M22" s="1075"/>
      <c r="N22" s="1080"/>
      <c r="O22" s="1081"/>
      <c r="P22" s="1081"/>
      <c r="Q22" s="1081"/>
      <c r="R22" s="1081"/>
      <c r="S22" s="1082"/>
      <c r="T22" s="1081"/>
      <c r="U22" s="1081"/>
      <c r="V22" s="1081"/>
      <c r="W22" s="1081"/>
      <c r="X22" s="1081"/>
      <c r="Y22" s="1081"/>
      <c r="Z22" s="1081"/>
      <c r="AA22" s="1081"/>
    </row>
    <row r="23" spans="1:27" s="26" customFormat="1" ht="15" customHeight="1" x14ac:dyDescent="0.2">
      <c r="B23" s="357"/>
      <c r="C23" s="357"/>
      <c r="D23" s="781" t="str">
        <f>IF($F$21=" "," ",IF($F$21='Data Validation Generator'!$A$24,'Data Validation Generator'!$A$29,IF(OR($F$21='Data Validation Generator'!$A$25,$F$21='Data Validation Generator'!$A$26),'Data Validation Generator'!$A$30)))</f>
        <v xml:space="preserve"> </v>
      </c>
      <c r="E23" s="133" t="str">
        <f>IF(E19='Data Validation Generator'!A6," ",IF(E19=rd,'Engine Emission Factors'!F53,IF(E19=rg,'Engine Emission Factors'!F54,IF(OR(E19=ngl,OR(E19=ngr,OR(E19=tng,E19=ng2l))),'Engine Emission Factors'!G52,IF(E19=pro,'Engine Emission Factors'!H55," ")))))</f>
        <v xml:space="preserve"> </v>
      </c>
      <c r="F23" s="786" t="str">
        <f>IF($D$23=" "," ",IF($D$23='Data Validation Generator'!$A$29,"(Btu/HP-hr)",IF(AND($D$23='Data Validation Generator'!$A$30,$E$19=pro),"(Btu/gal)",IF($D$23='Data Validation Generator'!$A$30,"(Btu/scf)"))))</f>
        <v xml:space="preserve"> </v>
      </c>
      <c r="G23" s="847"/>
      <c r="H23" s="847"/>
      <c r="I23" s="847"/>
      <c r="J23" s="13"/>
      <c r="K23" s="13"/>
      <c r="L23" s="885"/>
      <c r="M23" s="886"/>
      <c r="N23" s="886"/>
      <c r="O23" s="886"/>
      <c r="P23" s="886"/>
      <c r="Q23" s="884"/>
      <c r="R23" s="884"/>
      <c r="S23" s="884"/>
      <c r="T23" s="884"/>
      <c r="U23" s="884"/>
      <c r="V23" s="884"/>
      <c r="W23" s="884"/>
      <c r="X23" s="884"/>
      <c r="Y23" s="884"/>
      <c r="Z23" s="884"/>
      <c r="AA23" s="884"/>
    </row>
    <row r="24" spans="1:27" s="26" customFormat="1" ht="15" customHeight="1" x14ac:dyDescent="0.25">
      <c r="B24" s="357"/>
      <c r="C24" s="357"/>
      <c r="D24" s="781" t="str">
        <f>IF($E$19='Data Validation Generator'!$A$6," ",IF($E$19=rd,"Heat value of fuel",IF($E$19=rg,"Heat value of fuel"," ")))</f>
        <v xml:space="preserve"> </v>
      </c>
      <c r="E24" s="133" t="str">
        <f>IF(E19=rd,'Engine Emission Factors'!H53,IF(E19=rg,'Engine Emission Factors'!H54," "))</f>
        <v xml:space="preserve"> </v>
      </c>
      <c r="F24" s="786" t="str">
        <f>IF($E$19='Data Validation Generator'!$A$6," ",IF($E$19=rd,"(Btu/gal)",IF($E$19=rg,"(Btu/gal)"," ")))</f>
        <v xml:space="preserve"> </v>
      </c>
      <c r="G24" s="847"/>
      <c r="H24" s="847"/>
      <c r="I24" s="847"/>
      <c r="J24" s="13"/>
      <c r="K24" s="13"/>
      <c r="L24" s="887" t="s">
        <v>918</v>
      </c>
      <c r="M24" s="853"/>
      <c r="N24" s="231"/>
      <c r="O24" s="888" t="s">
        <v>101</v>
      </c>
      <c r="P24" s="4"/>
      <c r="Q24" s="4"/>
      <c r="R24" s="4"/>
      <c r="S24" s="888"/>
      <c r="T24" s="853"/>
      <c r="U24" s="853"/>
      <c r="V24" s="853"/>
      <c r="W24" s="853"/>
      <c r="X24" s="853"/>
      <c r="Y24" s="853"/>
      <c r="Z24" s="231"/>
      <c r="AA24" s="231"/>
    </row>
    <row r="25" spans="1:27" s="26" customFormat="1" ht="15" customHeight="1" x14ac:dyDescent="0.2">
      <c r="B25" s="1057" t="s">
        <v>111</v>
      </c>
      <c r="C25" s="1057"/>
      <c r="D25" s="1057"/>
      <c r="E25" s="403" t="str">
        <f>IF(E19=rd,"0.0015",IF(E19=pro,"0.54",IF(E19=tng,"0.00065","NA")))</f>
        <v>NA</v>
      </c>
      <c r="F25" s="784" t="str">
        <f>IF(OR(E19=rd,E19=tng),"%",IF(E19=pro,"gr/100ft3",""))</f>
        <v/>
      </c>
      <c r="G25" s="846"/>
      <c r="H25" s="846"/>
      <c r="I25" s="846"/>
      <c r="J25" s="13"/>
      <c r="K25" s="13"/>
      <c r="L25" s="13"/>
      <c r="M25" s="21"/>
      <c r="N25" s="21"/>
      <c r="O25" s="21"/>
      <c r="P25" s="21"/>
      <c r="Q25" s="21"/>
      <c r="R25" s="21"/>
      <c r="S25" s="21"/>
      <c r="T25" s="21"/>
    </row>
    <row r="26" spans="1:27" s="26" customFormat="1" ht="15" customHeight="1" x14ac:dyDescent="0.2">
      <c r="B26" s="1058"/>
      <c r="C26" s="1058"/>
      <c r="D26" s="1058"/>
      <c r="E26" s="1058"/>
      <c r="F26" s="1058"/>
      <c r="G26" s="1058"/>
      <c r="H26" s="1058"/>
      <c r="I26" s="1058"/>
      <c r="J26" s="13"/>
      <c r="K26" s="13"/>
      <c r="L26" s="13"/>
      <c r="M26" s="21"/>
      <c r="N26" s="21"/>
      <c r="O26" s="21"/>
      <c r="P26" s="21"/>
      <c r="Q26" s="21"/>
      <c r="R26" s="21"/>
      <c r="S26" s="21"/>
      <c r="T26" s="21"/>
    </row>
    <row r="27" spans="1:27" s="26" customFormat="1" ht="15" customHeight="1" thickBot="1" x14ac:dyDescent="0.3">
      <c r="B27" s="1006" t="s">
        <v>113</v>
      </c>
      <c r="C27" s="1006"/>
      <c r="D27" s="1006"/>
      <c r="E27" s="1006"/>
      <c r="F27" s="1006"/>
      <c r="G27" s="1006"/>
      <c r="H27" s="1006"/>
      <c r="I27" s="1006"/>
      <c r="J27" s="13"/>
      <c r="K27" s="13"/>
      <c r="L27" s="883" t="s">
        <v>919</v>
      </c>
      <c r="M27" s="883"/>
      <c r="N27" s="883"/>
      <c r="O27" s="883"/>
      <c r="P27" s="883"/>
      <c r="Q27" s="883"/>
      <c r="R27" s="883"/>
      <c r="S27" s="883"/>
      <c r="T27" s="883"/>
      <c r="U27" s="883"/>
      <c r="V27" s="883"/>
      <c r="W27" s="883"/>
      <c r="X27" s="883"/>
      <c r="Y27" s="883"/>
      <c r="Z27" s="883"/>
      <c r="AA27" s="883"/>
    </row>
    <row r="28" spans="1:27" s="26" customFormat="1" ht="15" customHeight="1" x14ac:dyDescent="0.2">
      <c r="B28" s="54"/>
      <c r="C28" s="55" t="s">
        <v>17</v>
      </c>
      <c r="D28" s="56" t="s">
        <v>18</v>
      </c>
      <c r="E28" s="56" t="s">
        <v>19</v>
      </c>
      <c r="F28" s="55" t="s">
        <v>20</v>
      </c>
      <c r="G28" s="55" t="s">
        <v>21</v>
      </c>
      <c r="H28" s="57"/>
      <c r="I28" s="58"/>
      <c r="J28" s="404"/>
      <c r="K28" s="13"/>
      <c r="L28" s="895" t="s">
        <v>920</v>
      </c>
      <c r="M28" s="895"/>
      <c r="N28" s="895"/>
      <c r="O28" s="895"/>
      <c r="P28" s="895"/>
      <c r="Q28" s="895"/>
      <c r="R28" s="895"/>
      <c r="S28" s="895"/>
      <c r="T28" s="895"/>
      <c r="U28" s="895"/>
      <c r="V28" s="895"/>
      <c r="W28" s="895"/>
      <c r="X28" s="895"/>
      <c r="Y28" s="895"/>
      <c r="Z28" s="895"/>
      <c r="AA28" s="895"/>
    </row>
    <row r="29" spans="1:27" s="26" customFormat="1" ht="15" customHeight="1" x14ac:dyDescent="0.2">
      <c r="B29" s="1059" t="s">
        <v>23</v>
      </c>
      <c r="C29" s="1027" t="s">
        <v>358</v>
      </c>
      <c r="D29" s="1029" t="s">
        <v>452</v>
      </c>
      <c r="E29" s="1029" t="s">
        <v>453</v>
      </c>
      <c r="F29" s="1029" t="s">
        <v>454</v>
      </c>
      <c r="G29" s="1029" t="s">
        <v>25</v>
      </c>
      <c r="H29" s="1030" t="s">
        <v>27</v>
      </c>
      <c r="I29" s="1031" t="s">
        <v>28</v>
      </c>
      <c r="J29" s="1050" t="s">
        <v>404</v>
      </c>
      <c r="K29" s="13"/>
      <c r="L29" s="890" t="s">
        <v>921</v>
      </c>
      <c r="M29" s="894"/>
      <c r="N29" s="894"/>
      <c r="O29" s="894"/>
      <c r="P29" s="894"/>
      <c r="Q29" s="894"/>
      <c r="R29" s="894"/>
      <c r="S29" s="894"/>
      <c r="T29" s="894"/>
      <c r="U29" s="894"/>
      <c r="V29" s="894"/>
      <c r="W29" s="894"/>
      <c r="X29" s="894"/>
      <c r="Y29" s="894"/>
      <c r="Z29" s="894"/>
      <c r="AA29" s="894"/>
    </row>
    <row r="30" spans="1:27" s="46" customFormat="1" ht="15" customHeight="1" x14ac:dyDescent="0.25">
      <c r="A30" s="26"/>
      <c r="B30" s="1059"/>
      <c r="C30" s="1027"/>
      <c r="D30" s="1029"/>
      <c r="E30" s="1029"/>
      <c r="F30" s="1029"/>
      <c r="G30" s="1029"/>
      <c r="H30" s="1030"/>
      <c r="I30" s="1031"/>
      <c r="J30" s="1050"/>
      <c r="K30" s="21"/>
      <c r="L30" s="4"/>
      <c r="M30" s="4"/>
      <c r="N30" s="4"/>
      <c r="O30" s="4"/>
      <c r="P30" s="4"/>
      <c r="Q30" s="4"/>
      <c r="R30" s="4"/>
      <c r="S30" s="4"/>
      <c r="T30" s="4"/>
      <c r="U30" s="4"/>
      <c r="V30" s="4"/>
      <c r="W30" s="4"/>
      <c r="X30" s="4"/>
      <c r="Y30" s="4"/>
      <c r="Z30" s="26"/>
      <c r="AA30" s="26"/>
    </row>
    <row r="31" spans="1:27" s="26" customFormat="1" ht="15" customHeight="1" x14ac:dyDescent="0.2">
      <c r="A31" s="46"/>
      <c r="B31" s="65"/>
      <c r="C31" s="66"/>
      <c r="D31" s="67" t="s">
        <v>863</v>
      </c>
      <c r="E31" s="67" t="s">
        <v>455</v>
      </c>
      <c r="F31" s="68" t="s">
        <v>30</v>
      </c>
      <c r="G31" s="68" t="s">
        <v>115</v>
      </c>
      <c r="H31" s="69" t="s">
        <v>33</v>
      </c>
      <c r="I31" s="70" t="s">
        <v>34</v>
      </c>
      <c r="J31" s="1051" t="s">
        <v>34</v>
      </c>
      <c r="K31" s="21"/>
      <c r="L31" s="895" t="s">
        <v>922</v>
      </c>
      <c r="M31" s="895"/>
      <c r="N31" s="895"/>
      <c r="O31" s="895"/>
      <c r="P31" s="895"/>
      <c r="Q31" s="895"/>
      <c r="R31" s="895"/>
      <c r="S31" s="895"/>
      <c r="T31" s="895"/>
      <c r="U31" s="895"/>
      <c r="V31" s="895"/>
      <c r="W31" s="895"/>
      <c r="X31" s="895"/>
      <c r="Y31" s="895"/>
      <c r="Z31" s="895"/>
      <c r="AA31" s="895"/>
    </row>
    <row r="32" spans="1:27" s="26" customFormat="1" ht="15" customHeight="1" thickBot="1" x14ac:dyDescent="0.25">
      <c r="B32" s="234"/>
      <c r="C32" s="405"/>
      <c r="D32" s="285" cm="1">
        <f t="array" ref="D32">IF(E19=select,0,IF(OR(E19=rd,E19=rg),(E21*E23/10^6),IF(E19=pro,(E21*E23/10^6),IF(OR(E19=ngl,OR(E19=ngr,OR(E19=tng,E19=ng2l))),(E21*E23/(10^6))))))</f>
        <v>0</v>
      </c>
      <c r="E32" s="285">
        <f>IF(F22='Data Validation Generator'!B12,E22,IF(AND(F22='Data Validation Generator'!B13,E19=rd),(('Engine Emission Factors'!H53*E22)/1000000),IF(AND(F22='Data Validation Generator'!B13,E19=rg),(('Engine Emission Factors'!H54*E22)/1000000),IF(AND(F22='Data Validation Generator'!B13,E19=pro),(('Engine Emission Factors'!H55*E22)/1000000),IF(F22='Data Validation Generator'!B11,(E22*D32),IF(F22=" ",0))))))</f>
        <v>0</v>
      </c>
      <c r="F32" s="406">
        <f>IF($E$20=so,0,IF(OR($E$20=routine,AND($E$20=Emer,$B$12="Yes")),8760,IF($E$20=Emer,500)))</f>
        <v>0</v>
      </c>
      <c r="G32" s="128" t="s">
        <v>59</v>
      </c>
      <c r="H32" s="69" t="s">
        <v>96</v>
      </c>
      <c r="I32" s="70" t="s">
        <v>632</v>
      </c>
      <c r="J32" s="1052"/>
      <c r="K32" s="21"/>
      <c r="L32" s="1083" t="s">
        <v>923</v>
      </c>
      <c r="M32" s="1083"/>
      <c r="N32" s="1083"/>
      <c r="O32" s="1083"/>
      <c r="P32" s="1083"/>
      <c r="Q32" s="1083"/>
      <c r="R32" s="1083"/>
      <c r="S32" s="1083"/>
      <c r="T32" s="1083"/>
      <c r="U32" s="1083"/>
      <c r="V32" s="1083"/>
      <c r="W32" s="1083"/>
      <c r="X32" s="1083"/>
      <c r="Y32" s="1083"/>
      <c r="Z32" s="1083"/>
      <c r="AA32" s="1083"/>
    </row>
    <row r="33" spans="2:27" s="26" customFormat="1" ht="15" customHeight="1" x14ac:dyDescent="0.2">
      <c r="B33" s="39" t="s">
        <v>62</v>
      </c>
      <c r="C33" s="37"/>
      <c r="D33" s="218"/>
      <c r="E33" s="38"/>
      <c r="F33" s="225"/>
      <c r="G33" s="219"/>
      <c r="H33" s="220"/>
      <c r="I33" s="407" t="s">
        <v>456</v>
      </c>
      <c r="J33" s="408"/>
      <c r="K33" s="21"/>
      <c r="L33" s="1083"/>
      <c r="M33" s="1083"/>
      <c r="N33" s="1083"/>
      <c r="O33" s="1083"/>
      <c r="P33" s="1083"/>
      <c r="Q33" s="1083"/>
      <c r="R33" s="1083"/>
      <c r="S33" s="1083"/>
      <c r="T33" s="1083"/>
      <c r="U33" s="1083"/>
      <c r="V33" s="1083"/>
      <c r="W33" s="1083"/>
      <c r="X33" s="1083"/>
      <c r="Y33" s="1083"/>
      <c r="Z33" s="1083"/>
      <c r="AA33" s="1083"/>
    </row>
    <row r="34" spans="2:27" s="26" customFormat="1" ht="15" customHeight="1" x14ac:dyDescent="0.2">
      <c r="B34" s="76" t="s">
        <v>36</v>
      </c>
      <c r="D34" s="77"/>
      <c r="E34" s="78"/>
      <c r="F34" s="79"/>
      <c r="G34" s="471">
        <f>IF($E$19=rd,IF($E$21&gt;=600,'Engine Emission Factors'!$C5,'Engine Emission Factors'!$B5),IF($E$19=rg,'Engine Emission Factors'!$E5,IF($E$19=tng,'Engine Emission Factors'!$D5,IF($E$19=ngr,'Engine Emission Factors'!$F5,IF($E$19=ngl,'Engine Emission Factors'!$G5,IF($E$19=ng2l,'Engine Emission Factors'!$H5,IF($E$19=pro,'Engine Emission Factors'!$I5,IF($E$19=select,'Engine Emission Factors'!$AA5))))))))</f>
        <v>0</v>
      </c>
      <c r="H34" s="81">
        <f>$D$32*$F$32*$G34/2000</f>
        <v>0</v>
      </c>
      <c r="I34" s="82">
        <f t="shared" ref="I34:I40" si="0">($E$32*$G34)/2000</f>
        <v>0</v>
      </c>
      <c r="J34" s="409">
        <v>1</v>
      </c>
      <c r="K34" s="21"/>
      <c r="L34" s="855"/>
      <c r="M34" s="608"/>
      <c r="N34" s="855"/>
      <c r="O34" s="855"/>
      <c r="P34" s="855"/>
      <c r="Q34" s="855"/>
      <c r="R34" s="855"/>
      <c r="S34" s="855"/>
      <c r="T34" s="855"/>
      <c r="U34" s="855"/>
      <c r="V34" s="855"/>
      <c r="W34" s="855"/>
      <c r="X34" s="855"/>
    </row>
    <row r="35" spans="2:27" s="26" customFormat="1" ht="15" customHeight="1" x14ac:dyDescent="0.2">
      <c r="B35" s="76" t="s">
        <v>37</v>
      </c>
      <c r="D35" s="77"/>
      <c r="E35" s="78"/>
      <c r="F35" s="79"/>
      <c r="G35" s="471">
        <f>IF($E$19=rd,IF($E$21&gt;=600,'Engine Emission Factors'!$C6,'Engine Emission Factors'!$B6),IF($E$19=rg,'Engine Emission Factors'!$E6,IF($E$19=tng,'Engine Emission Factors'!$D6,IF($E$19=ngr,'Engine Emission Factors'!$F6,IF($E$19=ngl,'Engine Emission Factors'!$G6,IF($E$19=ng2l,'Engine Emission Factors'!$H6,IF($E$19=pro,'Engine Emission Factors'!$I6,IF($E$19=select,'Engine Emission Factors'!$AA6))))))))</f>
        <v>0</v>
      </c>
      <c r="H35" s="83">
        <f t="shared" ref="H35:H40" si="1">$D$32*$F$32*$G35/2000</f>
        <v>0</v>
      </c>
      <c r="I35" s="82">
        <f t="shared" si="0"/>
        <v>0</v>
      </c>
      <c r="J35" s="410">
        <v>1</v>
      </c>
      <c r="K35" s="21"/>
      <c r="L35" s="896" t="s">
        <v>924</v>
      </c>
      <c r="M35" s="896"/>
      <c r="N35" s="896"/>
      <c r="O35" s="896"/>
      <c r="P35" s="896"/>
      <c r="Q35" s="896"/>
      <c r="R35" s="896"/>
      <c r="S35" s="896"/>
      <c r="T35" s="896"/>
      <c r="U35" s="896"/>
      <c r="V35" s="896"/>
      <c r="W35" s="896"/>
      <c r="X35" s="896"/>
      <c r="Y35" s="896"/>
      <c r="Z35" s="896"/>
      <c r="AA35" s="896"/>
    </row>
    <row r="36" spans="2:27" s="26" customFormat="1" ht="15" customHeight="1" x14ac:dyDescent="0.2">
      <c r="B36" s="76" t="s">
        <v>97</v>
      </c>
      <c r="D36" s="77"/>
      <c r="E36" s="78"/>
      <c r="F36" s="79"/>
      <c r="G36" s="471">
        <f>IF($E$19=rd,IF($E$21&gt;=600,'Engine Emission Factors'!$C7,'Engine Emission Factors'!$B7),IF($E$19=rg,'Engine Emission Factors'!$E7,IF($E$19=tng,'Engine Emission Factors'!$D7,IF($E$19=ngr,'Engine Emission Factors'!$F7,IF($E$19=ngl,'Engine Emission Factors'!$G7,IF($E$19=ng2l,'Engine Emission Factors'!$H7,IF($E$19=pro,'Engine Emission Factors'!$I7,IF($E$19=select,'Engine Emission Factors'!$AA7))))))))</f>
        <v>0</v>
      </c>
      <c r="H36" s="83">
        <f t="shared" si="1"/>
        <v>0</v>
      </c>
      <c r="I36" s="82">
        <f t="shared" si="0"/>
        <v>0</v>
      </c>
      <c r="J36" s="411"/>
      <c r="K36" s="21"/>
      <c r="L36" s="890" t="s">
        <v>925</v>
      </c>
      <c r="M36" s="890"/>
      <c r="N36" s="890"/>
      <c r="O36" s="890"/>
      <c r="P36" s="890"/>
      <c r="Q36" s="890"/>
      <c r="R36" s="890"/>
      <c r="S36" s="890"/>
      <c r="T36" s="890"/>
      <c r="U36" s="890"/>
      <c r="V36" s="890"/>
      <c r="W36" s="890"/>
      <c r="X36" s="890"/>
      <c r="Y36" s="897"/>
      <c r="Z36" s="897"/>
    </row>
    <row r="37" spans="2:27" s="26" customFormat="1" ht="15" customHeight="1" x14ac:dyDescent="0.2">
      <c r="B37" s="76" t="s">
        <v>38</v>
      </c>
      <c r="D37" s="77"/>
      <c r="E37" s="78"/>
      <c r="F37" s="79"/>
      <c r="G37" s="471">
        <f>IF($E$19=rd,IF($E$21&gt;=600,'Engine Emission Factors'!$C8*$E$25,'Engine Emission Factors'!$B8*$E$25),IF($E$19=rg,'Engine Emission Factors'!$E8,IF($E$19=tng,'Engine Emission Factors'!$D8*$E$25,IF($E$19=ngr,'Engine Emission Factors'!$F8,IF($E$19=ngl,'Engine Emission Factors'!$G8,IF($E$19=ng2l,'Engine Emission Factors'!$H8,IF($E$19=pro,'Engine Emission Factors'!$I8*$E$25,IF($E$19=select,'Engine Emission Factors'!$AA8))))))))</f>
        <v>0</v>
      </c>
      <c r="H37" s="83">
        <f t="shared" si="1"/>
        <v>0</v>
      </c>
      <c r="I37" s="82">
        <f t="shared" si="0"/>
        <v>0</v>
      </c>
      <c r="J37" s="410">
        <v>1</v>
      </c>
      <c r="K37" s="21"/>
      <c r="L37" s="889" t="s">
        <v>281</v>
      </c>
      <c r="M37" s="890" t="s">
        <v>926</v>
      </c>
      <c r="N37" s="890"/>
      <c r="O37" s="890"/>
      <c r="P37" s="890"/>
      <c r="Q37" s="890"/>
      <c r="R37" s="890"/>
      <c r="S37" s="890"/>
      <c r="T37" s="890"/>
      <c r="U37" s="890"/>
      <c r="V37" s="890"/>
      <c r="W37" s="890"/>
      <c r="X37" s="890"/>
      <c r="Y37" s="897"/>
      <c r="Z37" s="897"/>
    </row>
    <row r="38" spans="2:27" s="26" customFormat="1" ht="15" customHeight="1" x14ac:dyDescent="0.2">
      <c r="B38" s="76" t="s">
        <v>39</v>
      </c>
      <c r="D38" s="77"/>
      <c r="E38" s="78"/>
      <c r="F38" s="79"/>
      <c r="G38" s="471">
        <f>IF($E$19=rd,IF($E$21&gt;=600,'Engine Emission Factors'!$C9,'Engine Emission Factors'!$B9),IF($E$19=rg,'Engine Emission Factors'!$E9,IF($E$19=tng,'Engine Emission Factors'!$D9,IF($E$19=ngr,'Engine Emission Factors'!$F9,IF($E$19=ngl,'Engine Emission Factors'!$G9,IF($E$19=ng2l,'Engine Emission Factors'!$H9,IF($E$19=pro,'Engine Emission Factors'!$I9,IF($E$19=select,'Engine Emission Factors'!$AA9))))))))</f>
        <v>0</v>
      </c>
      <c r="H38" s="83">
        <f t="shared" si="1"/>
        <v>0</v>
      </c>
      <c r="I38" s="82">
        <f t="shared" si="0"/>
        <v>0</v>
      </c>
      <c r="J38" s="410">
        <v>1</v>
      </c>
      <c r="K38" s="21"/>
      <c r="L38" s="889" t="s">
        <v>281</v>
      </c>
      <c r="M38" s="890" t="s">
        <v>927</v>
      </c>
      <c r="N38" s="890"/>
      <c r="O38" s="890"/>
      <c r="P38" s="890"/>
      <c r="Q38" s="890"/>
      <c r="R38" s="890"/>
      <c r="S38" s="890"/>
      <c r="T38" s="890"/>
      <c r="U38" s="890"/>
      <c r="V38" s="890"/>
      <c r="W38" s="890"/>
      <c r="X38" s="890"/>
      <c r="Y38" s="897"/>
      <c r="Z38" s="897"/>
    </row>
    <row r="39" spans="2:27" s="26" customFormat="1" ht="15" customHeight="1" x14ac:dyDescent="0.2">
      <c r="B39" s="76" t="s">
        <v>40</v>
      </c>
      <c r="D39" s="77"/>
      <c r="E39" s="78"/>
      <c r="F39" s="79"/>
      <c r="G39" s="471">
        <f>IF($E$19=rd,IF($E$21&gt;=600,'Engine Emission Factors'!$C10,'Engine Emission Factors'!$B10),IF($E$19=rg,'Engine Emission Factors'!$E10,IF($E$19=tng,'Engine Emission Factors'!$D10,IF($E$19=ngr,'Engine Emission Factors'!$F10,IF($E$19=ngl,'Engine Emission Factors'!$G10,IF($E$19=ng2l,'Engine Emission Factors'!$H10,IF($E$19=pro,'Engine Emission Factors'!$I10,IF($E$19=select,'Engine Emission Factors'!$AA10))))))))</f>
        <v>0</v>
      </c>
      <c r="H39" s="83">
        <f t="shared" si="1"/>
        <v>0</v>
      </c>
      <c r="I39" s="82">
        <f t="shared" si="0"/>
        <v>0</v>
      </c>
      <c r="J39" s="410">
        <v>1</v>
      </c>
      <c r="K39" s="21"/>
      <c r="L39" s="1083" t="s">
        <v>928</v>
      </c>
      <c r="M39" s="1083"/>
      <c r="N39" s="1083"/>
      <c r="O39" s="1083"/>
      <c r="P39" s="1083"/>
      <c r="Q39" s="1083"/>
      <c r="R39" s="1083"/>
      <c r="S39" s="1083"/>
      <c r="T39" s="1083"/>
      <c r="U39" s="1083"/>
      <c r="V39" s="1083"/>
      <c r="W39" s="1083"/>
      <c r="X39" s="1083"/>
      <c r="Y39" s="1083"/>
      <c r="Z39" s="1083"/>
      <c r="AA39" s="1083"/>
    </row>
    <row r="40" spans="2:27" s="26" customFormat="1" ht="15" customHeight="1" x14ac:dyDescent="0.2">
      <c r="B40" s="76" t="s">
        <v>41</v>
      </c>
      <c r="D40" s="77"/>
      <c r="E40" s="78"/>
      <c r="F40" s="79"/>
      <c r="G40" s="471">
        <f>IF($E$19=rd,IF($E$21&gt;=600,'Engine Emission Factors'!$C11,'Engine Emission Factors'!$B11),IF($E$19=rg,'Engine Emission Factors'!$E11,IF($E$19=tng,'Engine Emission Factors'!$D11,IF($E$19=ngr,'Engine Emission Factors'!$F11,IF($E$19=ngl,'Engine Emission Factors'!$G11,IF($E$19=ng2l,'Engine Emission Factors'!$H11,IF($E$19=pro,'Engine Emission Factors'!$I11,IF($E$19=select,'Engine Emission Factors'!$AA11))))))))</f>
        <v>0</v>
      </c>
      <c r="H40" s="83">
        <f t="shared" si="1"/>
        <v>0</v>
      </c>
      <c r="I40" s="82">
        <f t="shared" si="0"/>
        <v>0</v>
      </c>
      <c r="J40" s="410">
        <v>2</v>
      </c>
      <c r="K40" s="21"/>
      <c r="L40" s="1083"/>
      <c r="M40" s="1083"/>
      <c r="N40" s="1083"/>
      <c r="O40" s="1083"/>
      <c r="P40" s="1083"/>
      <c r="Q40" s="1083"/>
      <c r="R40" s="1083"/>
      <c r="S40" s="1083"/>
      <c r="T40" s="1083"/>
      <c r="U40" s="1083"/>
      <c r="V40" s="1083"/>
      <c r="W40" s="1083"/>
      <c r="X40" s="1083"/>
      <c r="Y40" s="1083"/>
      <c r="Z40" s="1083"/>
      <c r="AA40" s="1083"/>
    </row>
    <row r="41" spans="2:27" s="26" customFormat="1" ht="15" customHeight="1" thickBot="1" x14ac:dyDescent="0.25">
      <c r="B41" s="84" t="s">
        <v>42</v>
      </c>
      <c r="C41" s="85"/>
      <c r="D41" s="86"/>
      <c r="E41" s="87"/>
      <c r="F41" s="88"/>
      <c r="G41" s="472" t="s">
        <v>68</v>
      </c>
      <c r="H41" s="136"/>
      <c r="I41" s="137"/>
      <c r="J41" s="412"/>
      <c r="K41" s="21"/>
      <c r="L41" s="608"/>
      <c r="M41" s="608"/>
      <c r="N41" s="608"/>
      <c r="O41" s="608"/>
      <c r="P41" s="608"/>
      <c r="Q41" s="608"/>
      <c r="R41" s="608"/>
      <c r="S41" s="608"/>
      <c r="T41" s="608"/>
      <c r="U41" s="608"/>
      <c r="V41" s="608"/>
      <c r="W41" s="608"/>
      <c r="X41" s="608"/>
      <c r="Y41" s="897"/>
      <c r="Z41" s="897"/>
    </row>
    <row r="42" spans="2:27" s="26" customFormat="1" ht="15" customHeight="1" x14ac:dyDescent="0.2">
      <c r="B42" s="39" t="s">
        <v>61</v>
      </c>
      <c r="C42" s="37"/>
      <c r="D42" s="218"/>
      <c r="E42" s="38"/>
      <c r="F42" s="225"/>
      <c r="G42" s="219"/>
      <c r="H42" s="220"/>
      <c r="I42" s="413" t="s">
        <v>95</v>
      </c>
      <c r="J42" s="414"/>
      <c r="K42" s="21"/>
      <c r="L42" s="1097" t="s">
        <v>929</v>
      </c>
      <c r="M42" s="1097"/>
      <c r="N42" s="1097"/>
      <c r="O42" s="1097"/>
      <c r="P42" s="1097"/>
      <c r="Q42" s="1097"/>
      <c r="R42" s="1097"/>
      <c r="S42" s="1097"/>
      <c r="T42" s="1097"/>
      <c r="U42" s="1097"/>
      <c r="V42" s="1097"/>
      <c r="W42" s="1097"/>
      <c r="X42" s="1097"/>
      <c r="Y42" s="1097"/>
      <c r="Z42" s="1097"/>
      <c r="AA42" s="1097"/>
    </row>
    <row r="43" spans="2:27" s="26" customFormat="1" ht="15" customHeight="1" x14ac:dyDescent="0.3">
      <c r="B43" s="89" t="s">
        <v>359</v>
      </c>
      <c r="C43" s="21">
        <v>1</v>
      </c>
      <c r="D43" s="90"/>
      <c r="E43" s="90"/>
      <c r="F43" s="90"/>
      <c r="G43" s="473">
        <f>IF($E$19=rd,IF($E$21&gt;=600,'Engine Emission Factors'!$C13,'Engine Emission Factors'!$B13),IF($E$19=rg,'Engine Emission Factors'!$E13,IF($E$19=tng,'Engine Emission Factors'!$D13,IF($E$19=ngr,'Engine Emission Factors'!$F13,IF($E$19=ngl,'Engine Emission Factors'!$G13,IF($E$19=ng2l,'Engine Emission Factors'!$H13,IF($E$19=pro,'Engine Emission Factors'!$I13,IF($E$19=select,'Engine Emission Factors'!$AA13))))))))</f>
        <v>0</v>
      </c>
      <c r="H43" s="81">
        <f>$D$32*$F$32*$G43/2000</f>
        <v>0</v>
      </c>
      <c r="I43" s="82">
        <f>($E$32*$G43)/2000</f>
        <v>0</v>
      </c>
      <c r="J43" s="415"/>
      <c r="K43" s="139"/>
      <c r="L43" s="1097"/>
      <c r="M43" s="1097"/>
      <c r="N43" s="1097"/>
      <c r="O43" s="1097"/>
      <c r="P43" s="1097"/>
      <c r="Q43" s="1097"/>
      <c r="R43" s="1097"/>
      <c r="S43" s="1097"/>
      <c r="T43" s="1097"/>
      <c r="U43" s="1097"/>
      <c r="V43" s="1097"/>
      <c r="W43" s="1097"/>
      <c r="X43" s="1097"/>
      <c r="Y43" s="1097"/>
      <c r="Z43" s="1097"/>
      <c r="AA43" s="1097"/>
    </row>
    <row r="44" spans="2:27" s="26" customFormat="1" ht="15" customHeight="1" x14ac:dyDescent="0.3">
      <c r="B44" s="89" t="s">
        <v>360</v>
      </c>
      <c r="C44" s="21">
        <v>25</v>
      </c>
      <c r="D44" s="90"/>
      <c r="E44" s="90"/>
      <c r="F44" s="90"/>
      <c r="G44" s="471">
        <f>IF($E$19=rd,IF($E$21&gt;=600,'Engine Emission Factors'!$C14,'Engine Emission Factors'!$B14),IF($E$19=rg,'Engine Emission Factors'!$E14,IF($E$19=tng,'Engine Emission Factors'!$D14,IF($E$19=ngr,'Engine Emission Factors'!$F14,IF($E$19=ngl,'Engine Emission Factors'!$G14,IF($E$19=ng2l,'Engine Emission Factors'!$H14,IF($E$19=pro,'Engine Emission Factors'!$I14,IF($E$19=select,'Engine Emission Factors'!$AA14))))))))</f>
        <v>0</v>
      </c>
      <c r="H44" s="91">
        <f>$D$32*$F$32*$G44/2000</f>
        <v>0</v>
      </c>
      <c r="I44" s="101">
        <f>($E$32*$G44)/2000</f>
        <v>0</v>
      </c>
      <c r="J44" s="415"/>
      <c r="K44" s="139"/>
      <c r="L44" s="889" t="s">
        <v>281</v>
      </c>
      <c r="M44" s="1083" t="s">
        <v>930</v>
      </c>
      <c r="N44" s="1083"/>
      <c r="O44" s="1083"/>
      <c r="P44" s="1083"/>
      <c r="Q44" s="1083"/>
      <c r="R44" s="1083"/>
      <c r="S44" s="1083"/>
      <c r="T44" s="1083"/>
      <c r="U44" s="1083"/>
      <c r="V44" s="1083"/>
      <c r="W44" s="1083"/>
      <c r="X44" s="1083"/>
      <c r="Y44" s="1083"/>
      <c r="Z44" s="1083"/>
      <c r="AA44" s="1083"/>
    </row>
    <row r="45" spans="2:27" s="26" customFormat="1" ht="15" customHeight="1" x14ac:dyDescent="0.3">
      <c r="B45" s="89" t="s">
        <v>361</v>
      </c>
      <c r="C45" s="21">
        <v>298</v>
      </c>
      <c r="D45" s="90"/>
      <c r="E45" s="90"/>
      <c r="F45" s="90"/>
      <c r="G45" s="471">
        <f>IF($E$19=rd,IF($E$21&gt;=600,'Engine Emission Factors'!$C15,'Engine Emission Factors'!$B15),IF($E$19=rg,'Engine Emission Factors'!$E15,IF($E$19=tng,'Engine Emission Factors'!$D15,IF($E$19=ngr,'Engine Emission Factors'!$F15,IF($E$19=ngl,'Engine Emission Factors'!$G15,IF($E$19=ng2l,'Engine Emission Factors'!$H15,IF($E$19=pro,'Engine Emission Factors'!$I15,IF($E$19=select,'Engine Emission Factors'!$AA15))))))))</f>
        <v>0</v>
      </c>
      <c r="H45" s="91">
        <f>$D$32*$F$32*$G45/2000</f>
        <v>0</v>
      </c>
      <c r="I45" s="101">
        <f>($E$32*$G45)/2000</f>
        <v>0</v>
      </c>
      <c r="J45" s="416"/>
      <c r="K45" s="139"/>
      <c r="L45" s="889"/>
      <c r="M45" s="1083"/>
      <c r="N45" s="1083"/>
      <c r="O45" s="1083"/>
      <c r="P45" s="1083"/>
      <c r="Q45" s="1083"/>
      <c r="R45" s="1083"/>
      <c r="S45" s="1083"/>
      <c r="T45" s="1083"/>
      <c r="U45" s="1083"/>
      <c r="V45" s="1083"/>
      <c r="W45" s="1083"/>
      <c r="X45" s="1083"/>
      <c r="Y45" s="1083"/>
      <c r="Z45" s="1083"/>
      <c r="AA45" s="1083"/>
    </row>
    <row r="46" spans="2:27" s="26" customFormat="1" ht="15" customHeight="1" thickBot="1" x14ac:dyDescent="0.25">
      <c r="B46" s="102"/>
      <c r="C46" s="103"/>
      <c r="D46" s="103"/>
      <c r="E46" s="103"/>
      <c r="F46" s="104" t="s">
        <v>457</v>
      </c>
      <c r="G46" s="105"/>
      <c r="H46" s="136">
        <f>(C43*H43)+(C44*H44)+(C45*H45)</f>
        <v>0</v>
      </c>
      <c r="I46" s="137">
        <f>(C43*I43)+(C44*I44)+(C45*I45)</f>
        <v>0</v>
      </c>
      <c r="J46" s="417">
        <v>1000</v>
      </c>
      <c r="K46" s="21"/>
      <c r="L46" s="889" t="s">
        <v>281</v>
      </c>
      <c r="M46" s="1083" t="s">
        <v>931</v>
      </c>
      <c r="N46" s="1083"/>
      <c r="O46" s="1083"/>
      <c r="P46" s="1083"/>
      <c r="Q46" s="1083"/>
      <c r="R46" s="1083"/>
      <c r="S46" s="1083"/>
      <c r="T46" s="1083"/>
      <c r="U46" s="1083"/>
      <c r="V46" s="1083"/>
      <c r="W46" s="1083"/>
      <c r="X46" s="1083"/>
      <c r="Y46" s="1083"/>
      <c r="Z46" s="1083"/>
      <c r="AA46" s="1083"/>
    </row>
    <row r="47" spans="2:27" s="26" customFormat="1" ht="15" customHeight="1" x14ac:dyDescent="0.2">
      <c r="B47" s="39" t="s">
        <v>60</v>
      </c>
      <c r="C47" s="37"/>
      <c r="D47" s="218"/>
      <c r="E47" s="38"/>
      <c r="F47" s="225"/>
      <c r="G47" s="1053" t="s">
        <v>456</v>
      </c>
      <c r="H47" s="1053"/>
      <c r="I47" s="1054"/>
      <c r="K47" s="21"/>
      <c r="L47" s="889"/>
      <c r="M47" s="1083"/>
      <c r="N47" s="1083"/>
      <c r="O47" s="1083"/>
      <c r="P47" s="1083"/>
      <c r="Q47" s="1083"/>
      <c r="R47" s="1083"/>
      <c r="S47" s="1083"/>
      <c r="T47" s="1083"/>
      <c r="U47" s="1083"/>
      <c r="V47" s="1083"/>
      <c r="W47" s="1083"/>
      <c r="X47" s="1083"/>
      <c r="Y47" s="1083"/>
      <c r="Z47" s="1083"/>
      <c r="AA47" s="1083"/>
    </row>
    <row r="48" spans="2:27" s="26" customFormat="1" ht="15" customHeight="1" x14ac:dyDescent="0.2">
      <c r="B48" s="418" t="s">
        <v>116</v>
      </c>
      <c r="C48" s="47"/>
      <c r="D48" s="98"/>
      <c r="E48" s="99"/>
      <c r="F48" s="100"/>
      <c r="G48" s="525">
        <f>IF($E$19=rd,IF($E$21&gt;=600,'Engine Emission Factors'!$C17,'Engine Emission Factors'!$B17),IF($E$19=rg,'Engine Emission Factors'!$E17,IF($E$19=tng,'Engine Emission Factors'!$D17,IF($E$19=ngr,'Engine Emission Factors'!$F17,IF($E$19=ngl,'Engine Emission Factors'!$G17,IF($E$19=ng2l,'Engine Emission Factors'!$H17,IF($E$19=pro,'Engine Emission Factors'!$I17,IF($E$19=select,'Engine Emission Factors'!$Q17))))))))</f>
        <v>0</v>
      </c>
      <c r="H48" s="91">
        <f t="shared" ref="H48:H72" si="2">$D$32*$F$32*$G48/2000</f>
        <v>0</v>
      </c>
      <c r="I48" s="101">
        <f>($E$32*$G48)/2000</f>
        <v>0</v>
      </c>
      <c r="K48" s="21"/>
      <c r="L48" s="608"/>
      <c r="M48" s="344"/>
      <c r="N48" s="344"/>
      <c r="O48" s="344"/>
      <c r="P48" s="344"/>
      <c r="Q48" s="344"/>
      <c r="R48" s="344"/>
      <c r="S48" s="344"/>
      <c r="T48" s="344"/>
      <c r="U48" s="344"/>
      <c r="V48" s="344"/>
      <c r="W48" s="344"/>
      <c r="X48" s="344"/>
      <c r="Y48" s="344"/>
      <c r="Z48" s="897"/>
    </row>
    <row r="49" spans="2:27" s="26" customFormat="1" ht="15" customHeight="1" x14ac:dyDescent="0.2">
      <c r="B49" s="419" t="s">
        <v>117</v>
      </c>
      <c r="C49" s="47"/>
      <c r="D49" s="98"/>
      <c r="E49" s="99"/>
      <c r="F49" s="100"/>
      <c r="G49" s="525">
        <f>IF($E$19=rd,IF($E$21&gt;=600,'Engine Emission Factors'!$C18,'Engine Emission Factors'!$B18),IF($E$19=rg,'Engine Emission Factors'!$E18,IF($E$19=tng,'Engine Emission Factors'!$D18,IF($E$19=ngr,'Engine Emission Factors'!$F18,IF($E$19=ngl,'Engine Emission Factors'!$G18,IF($E$19=ng2l,'Engine Emission Factors'!$H18,IF($E$19=pro,'Engine Emission Factors'!$I18,IF($E$19=select,'Engine Emission Factors'!$Q18))))))))</f>
        <v>0</v>
      </c>
      <c r="H49" s="91">
        <f t="shared" si="2"/>
        <v>0</v>
      </c>
      <c r="I49" s="101">
        <f t="shared" ref="I49:I72" si="3">($E$32*$G49)/2000</f>
        <v>0</v>
      </c>
      <c r="K49" s="21"/>
      <c r="L49" s="895" t="s">
        <v>932</v>
      </c>
      <c r="M49" s="895"/>
      <c r="N49" s="895"/>
      <c r="O49" s="895"/>
      <c r="P49" s="895"/>
      <c r="Q49" s="895"/>
      <c r="R49" s="895"/>
      <c r="S49" s="895"/>
      <c r="T49" s="895"/>
      <c r="U49" s="895"/>
      <c r="V49" s="895"/>
      <c r="W49" s="895"/>
      <c r="X49" s="895"/>
      <c r="Y49" s="895"/>
      <c r="Z49" s="897"/>
    </row>
    <row r="50" spans="2:27" s="26" customFormat="1" ht="15" customHeight="1" x14ac:dyDescent="0.2">
      <c r="B50" s="419" t="s">
        <v>118</v>
      </c>
      <c r="C50" s="47"/>
      <c r="D50" s="98"/>
      <c r="E50" s="99"/>
      <c r="F50" s="100"/>
      <c r="G50" s="525">
        <f>IF($E$19=rd,IF($E$21&gt;=600,'Engine Emission Factors'!$C19,'Engine Emission Factors'!$B19),IF($E$19=rg,'Engine Emission Factors'!$E19,IF($E$19=tng,'Engine Emission Factors'!$D19,IF($E$19=ngr,'Engine Emission Factors'!$F19,IF($E$19=ngl,'Engine Emission Factors'!$G19,IF($E$19=ng2l,'Engine Emission Factors'!$H19,IF($E$19=pro,'Engine Emission Factors'!$I19,IF($E$19=select,'Engine Emission Factors'!$Q19))))))))</f>
        <v>0</v>
      </c>
      <c r="H50" s="91">
        <f t="shared" si="2"/>
        <v>0</v>
      </c>
      <c r="I50" s="101">
        <f t="shared" si="3"/>
        <v>0</v>
      </c>
      <c r="K50" s="21"/>
      <c r="L50" s="890" t="s">
        <v>933</v>
      </c>
      <c r="M50" s="890"/>
      <c r="N50" s="890"/>
      <c r="O50" s="890"/>
      <c r="P50" s="890"/>
      <c r="Q50" s="890"/>
      <c r="R50" s="890"/>
      <c r="S50" s="890"/>
      <c r="T50" s="890"/>
      <c r="U50" s="890"/>
      <c r="V50" s="890"/>
      <c r="W50" s="890"/>
      <c r="X50" s="890"/>
      <c r="Y50" s="890"/>
      <c r="Z50" s="897"/>
    </row>
    <row r="51" spans="2:27" s="26" customFormat="1" ht="15" customHeight="1" x14ac:dyDescent="0.2">
      <c r="B51" s="419" t="s">
        <v>119</v>
      </c>
      <c r="C51" s="47"/>
      <c r="D51" s="98"/>
      <c r="E51" s="99"/>
      <c r="F51" s="100"/>
      <c r="G51" s="525">
        <f>IF($E$19=rd,IF($E$21&gt;=600,'Engine Emission Factors'!$C20,'Engine Emission Factors'!$B20),IF($E$19=rg,'Engine Emission Factors'!$E20,IF($E$19=tng,'Engine Emission Factors'!$D20,IF($E$19=ngr,'Engine Emission Factors'!$F20,IF($E$19=ngl,'Engine Emission Factors'!$G20,IF($E$19=ng2l,'Engine Emission Factors'!$H20,IF($E$19=pro,'Engine Emission Factors'!$I20,IF($E$19=select,'Engine Emission Factors'!$Q20))))))))</f>
        <v>0</v>
      </c>
      <c r="H51" s="91">
        <f t="shared" si="2"/>
        <v>0</v>
      </c>
      <c r="I51" s="101">
        <f t="shared" si="3"/>
        <v>0</v>
      </c>
      <c r="K51" s="21"/>
      <c r="L51" s="608"/>
      <c r="M51" s="608"/>
      <c r="N51" s="608"/>
      <c r="O51" s="608"/>
      <c r="P51" s="608"/>
      <c r="Q51" s="608"/>
      <c r="R51" s="608"/>
      <c r="S51" s="608"/>
      <c r="T51" s="608"/>
      <c r="U51" s="608"/>
      <c r="V51" s="608"/>
      <c r="W51" s="608"/>
      <c r="X51" s="608"/>
      <c r="Y51" s="608"/>
      <c r="Z51" s="897"/>
    </row>
    <row r="52" spans="2:27" s="26" customFormat="1" ht="15" customHeight="1" x14ac:dyDescent="0.2">
      <c r="B52" s="97" t="s">
        <v>120</v>
      </c>
      <c r="C52" s="47"/>
      <c r="D52" s="98"/>
      <c r="E52" s="99"/>
      <c r="F52" s="100"/>
      <c r="G52" s="525">
        <f>IF($E$19=rd,IF($E$21&gt;=600,'Engine Emission Factors'!$C21,'Engine Emission Factors'!$B21),IF($E$19=rg,'Engine Emission Factors'!$E21,IF($E$19=tng,'Engine Emission Factors'!$D21,IF($E$19=ngr,'Engine Emission Factors'!$F21,IF($E$19=ngl,'Engine Emission Factors'!$G21,IF($E$19=ng2l,'Engine Emission Factors'!$H21,IF($E$19=pro,'Engine Emission Factors'!$I21,IF($E$19=select,'Engine Emission Factors'!$Q21))))))))</f>
        <v>0</v>
      </c>
      <c r="H52" s="91">
        <f t="shared" si="2"/>
        <v>0</v>
      </c>
      <c r="I52" s="101">
        <f t="shared" si="3"/>
        <v>0</v>
      </c>
      <c r="K52" s="21"/>
      <c r="L52" s="895" t="s">
        <v>934</v>
      </c>
      <c r="M52" s="895"/>
      <c r="N52" s="895"/>
      <c r="O52" s="895"/>
      <c r="P52" s="895"/>
      <c r="Q52" s="895"/>
      <c r="R52" s="895"/>
      <c r="S52" s="895"/>
      <c r="T52" s="895"/>
      <c r="U52" s="895"/>
      <c r="V52" s="895"/>
      <c r="W52" s="895"/>
      <c r="X52" s="895"/>
      <c r="Y52" s="895"/>
      <c r="Z52" s="897"/>
    </row>
    <row r="53" spans="2:27" s="26" customFormat="1" ht="15" customHeight="1" x14ac:dyDescent="0.2">
      <c r="B53" s="97" t="s">
        <v>121</v>
      </c>
      <c r="C53" s="47"/>
      <c r="D53" s="98"/>
      <c r="E53" s="99"/>
      <c r="F53" s="100"/>
      <c r="G53" s="525">
        <f>IF($E$19=rd,IF($E$21&gt;=600,'Engine Emission Factors'!$C22,'Engine Emission Factors'!$B22),IF($E$19=rg,'Engine Emission Factors'!$E22,IF($E$19=tng,'Engine Emission Factors'!$D22,IF($E$19=ngr,'Engine Emission Factors'!$F22,IF($E$19=ngl,'Engine Emission Factors'!$G22,IF($E$19=ng2l,'Engine Emission Factors'!$H22,IF($E$19=pro,'Engine Emission Factors'!$I22,IF($E$19=select,'Engine Emission Factors'!$Q22))))))))</f>
        <v>0</v>
      </c>
      <c r="H53" s="91">
        <f t="shared" si="2"/>
        <v>0</v>
      </c>
      <c r="I53" s="101">
        <f t="shared" si="3"/>
        <v>0</v>
      </c>
      <c r="K53" s="21"/>
      <c r="L53" s="344" t="s">
        <v>935</v>
      </c>
      <c r="M53" s="344"/>
      <c r="N53" s="344"/>
      <c r="O53" s="344"/>
      <c r="P53" s="344"/>
      <c r="Q53" s="344"/>
      <c r="R53" s="344"/>
      <c r="S53" s="344"/>
      <c r="T53" s="344"/>
      <c r="U53" s="344"/>
      <c r="V53" s="344"/>
      <c r="W53" s="344"/>
      <c r="X53" s="344"/>
      <c r="Y53" s="344"/>
      <c r="Z53" s="897"/>
    </row>
    <row r="54" spans="2:27" s="26" customFormat="1" ht="15" customHeight="1" x14ac:dyDescent="0.2">
      <c r="B54" s="97" t="s">
        <v>43</v>
      </c>
      <c r="C54" s="47"/>
      <c r="D54" s="98"/>
      <c r="E54" s="99"/>
      <c r="F54" s="100"/>
      <c r="G54" s="525">
        <f>IF($E$19=rd,IF($E$21&gt;=600,'Engine Emission Factors'!$C23,'Engine Emission Factors'!$B23),IF($E$19=rg,'Engine Emission Factors'!$E23,IF($E$19=tng,'Engine Emission Factors'!$D23,IF($E$19=ngr,'Engine Emission Factors'!$F23,IF($E$19=ngl,'Engine Emission Factors'!$G23,IF($E$19=ng2l,'Engine Emission Factors'!$H23,IF($E$19=pro,'Engine Emission Factors'!$I23,IF($E$19=select,'Engine Emission Factors'!$Q23))))))))</f>
        <v>0</v>
      </c>
      <c r="H54" s="91">
        <f t="shared" si="2"/>
        <v>0</v>
      </c>
      <c r="I54" s="101">
        <f t="shared" si="3"/>
        <v>0</v>
      </c>
      <c r="K54" s="21"/>
      <c r="L54" s="891" t="s">
        <v>936</v>
      </c>
      <c r="M54" s="891"/>
      <c r="N54" s="344"/>
      <c r="O54" s="344"/>
      <c r="P54" s="344"/>
      <c r="Q54" s="344"/>
      <c r="R54" s="344"/>
      <c r="S54" s="344"/>
      <c r="T54" s="344"/>
      <c r="U54" s="344"/>
      <c r="V54" s="344"/>
      <c r="W54" s="344"/>
      <c r="X54" s="344"/>
      <c r="Y54" s="897"/>
      <c r="Z54" s="897"/>
    </row>
    <row r="55" spans="2:27" s="26" customFormat="1" ht="15" customHeight="1" x14ac:dyDescent="0.2">
      <c r="B55" s="419" t="s">
        <v>122</v>
      </c>
      <c r="C55" s="47"/>
      <c r="D55" s="98"/>
      <c r="E55" s="99"/>
      <c r="F55" s="100"/>
      <c r="G55" s="525">
        <f>IF($E$19=rd,IF($E$21&gt;=600,'Engine Emission Factors'!$C24,'Engine Emission Factors'!$B24),IF($E$19=rg,'Engine Emission Factors'!$E24,IF($E$19=tng,'Engine Emission Factors'!$D24,IF($E$19=ngr,'Engine Emission Factors'!$F24,IF($E$19=ngl,'Engine Emission Factors'!$G24,IF($E$19=ng2l,'Engine Emission Factors'!$H24,IF($E$19=pro,'Engine Emission Factors'!$I24,IF($E$19=select,'Engine Emission Factors'!$Q24))))))))</f>
        <v>0</v>
      </c>
      <c r="H55" s="91">
        <f t="shared" si="2"/>
        <v>0</v>
      </c>
      <c r="I55" s="101">
        <f t="shared" si="3"/>
        <v>0</v>
      </c>
      <c r="K55" s="21"/>
      <c r="L55" s="1083" t="s">
        <v>937</v>
      </c>
      <c r="M55" s="1083"/>
      <c r="N55" s="1083"/>
      <c r="O55" s="1083"/>
      <c r="P55" s="1083"/>
      <c r="Q55" s="1083"/>
      <c r="R55" s="1083"/>
      <c r="S55" s="1083"/>
      <c r="T55" s="1083"/>
      <c r="U55" s="1083"/>
      <c r="V55" s="1083"/>
      <c r="W55" s="1083"/>
      <c r="X55" s="1083"/>
      <c r="Y55" s="1083"/>
      <c r="Z55" s="1083"/>
      <c r="AA55" s="1083"/>
    </row>
    <row r="56" spans="2:27" s="26" customFormat="1" ht="15" customHeight="1" x14ac:dyDescent="0.2">
      <c r="B56" s="419" t="s">
        <v>123</v>
      </c>
      <c r="C56" s="47"/>
      <c r="D56" s="98"/>
      <c r="E56" s="99"/>
      <c r="F56" s="100"/>
      <c r="G56" s="525">
        <f>IF($E$19=rd,IF($E$21&gt;=600,'Engine Emission Factors'!$C25,'Engine Emission Factors'!$B25),IF($E$19=rg,'Engine Emission Factors'!$E25,IF($E$19=tng,'Engine Emission Factors'!$D25,IF($E$19=ngr,'Engine Emission Factors'!$F25,IF($E$19=ngl,'Engine Emission Factors'!$G25,IF($E$19=ng2l,'Engine Emission Factors'!$H25,IF($E$19=pro,'Engine Emission Factors'!$I25,IF($E$19=select,'Engine Emission Factors'!$Q25))))))))</f>
        <v>0</v>
      </c>
      <c r="H56" s="91">
        <f t="shared" si="2"/>
        <v>0</v>
      </c>
      <c r="I56" s="101">
        <f t="shared" si="3"/>
        <v>0</v>
      </c>
      <c r="K56" s="21"/>
      <c r="L56" s="1083"/>
      <c r="M56" s="1083"/>
      <c r="N56" s="1083"/>
      <c r="O56" s="1083"/>
      <c r="P56" s="1083"/>
      <c r="Q56" s="1083"/>
      <c r="R56" s="1083"/>
      <c r="S56" s="1083"/>
      <c r="T56" s="1083"/>
      <c r="U56" s="1083"/>
      <c r="V56" s="1083"/>
      <c r="W56" s="1083"/>
      <c r="X56" s="1083"/>
      <c r="Y56" s="1083"/>
      <c r="Z56" s="1083"/>
      <c r="AA56" s="1083"/>
    </row>
    <row r="57" spans="2:27" s="26" customFormat="1" ht="15" customHeight="1" x14ac:dyDescent="0.2">
      <c r="B57" s="419" t="s">
        <v>124</v>
      </c>
      <c r="C57" s="47"/>
      <c r="D57" s="98"/>
      <c r="E57" s="99"/>
      <c r="F57" s="100"/>
      <c r="G57" s="525">
        <f>IF($E$19=rd,IF($E$21&gt;=600,'Engine Emission Factors'!$C26,'Engine Emission Factors'!$B26),IF($E$19=rg,'Engine Emission Factors'!$E26,IF($E$19=tng,'Engine Emission Factors'!$D26,IF($E$19=ngr,'Engine Emission Factors'!$F26,IF($E$19=ngl,'Engine Emission Factors'!$G26,IF($E$19=ng2l,'Engine Emission Factors'!$H26,IF($E$19=pro,'Engine Emission Factors'!$I26,IF($E$19=select,'Engine Emission Factors'!$Q26))))))))</f>
        <v>0</v>
      </c>
      <c r="H57" s="91">
        <f t="shared" si="2"/>
        <v>0</v>
      </c>
      <c r="I57" s="101">
        <f t="shared" si="3"/>
        <v>0</v>
      </c>
      <c r="K57" s="21"/>
      <c r="L57" s="344"/>
      <c r="M57" s="344"/>
      <c r="N57" s="344"/>
      <c r="O57" s="344"/>
      <c r="P57" s="344"/>
      <c r="Q57" s="344"/>
      <c r="R57" s="344"/>
      <c r="S57" s="344"/>
      <c r="T57" s="344"/>
      <c r="U57" s="344"/>
      <c r="V57" s="344"/>
      <c r="W57" s="344"/>
      <c r="X57" s="344"/>
      <c r="Y57" s="897"/>
      <c r="Z57" s="897"/>
    </row>
    <row r="58" spans="2:27" s="26" customFormat="1" ht="15" customHeight="1" x14ac:dyDescent="0.2">
      <c r="B58" s="419" t="s">
        <v>125</v>
      </c>
      <c r="C58" s="47"/>
      <c r="D58" s="98"/>
      <c r="E58" s="99"/>
      <c r="F58" s="100"/>
      <c r="G58" s="525">
        <f>IF($E$19=rd,IF($E$21&gt;=600,'Engine Emission Factors'!$C27,'Engine Emission Factors'!$B27),IF($E$19=rg,'Engine Emission Factors'!$E27,IF($E$19=tng,'Engine Emission Factors'!$D27,IF($E$19=ngr,'Engine Emission Factors'!$F27,IF($E$19=ngl,'Engine Emission Factors'!$G27,IF($E$19=ng2l,'Engine Emission Factors'!$H27,IF($E$19=pro,'Engine Emission Factors'!$I27,IF($E$19=select,'Engine Emission Factors'!$Q27))))))))</f>
        <v>0</v>
      </c>
      <c r="H58" s="91">
        <f t="shared" si="2"/>
        <v>0</v>
      </c>
      <c r="I58" s="101">
        <f t="shared" si="3"/>
        <v>0</v>
      </c>
      <c r="K58" s="21"/>
      <c r="L58" s="891" t="s">
        <v>938</v>
      </c>
      <c r="M58" s="891"/>
      <c r="N58" s="891"/>
      <c r="O58" s="344"/>
      <c r="P58" s="344"/>
      <c r="Q58" s="344"/>
      <c r="R58" s="344"/>
      <c r="S58" s="344"/>
      <c r="T58" s="344"/>
      <c r="U58" s="344"/>
      <c r="V58" s="344"/>
      <c r="W58" s="344"/>
      <c r="X58" s="344"/>
      <c r="Y58" s="897"/>
      <c r="Z58" s="897"/>
    </row>
    <row r="59" spans="2:27" s="26" customFormat="1" ht="15" customHeight="1" x14ac:dyDescent="0.2">
      <c r="B59" s="97" t="s">
        <v>126</v>
      </c>
      <c r="C59" s="47"/>
      <c r="D59" s="98"/>
      <c r="E59" s="99"/>
      <c r="F59" s="100"/>
      <c r="G59" s="525">
        <f>IF($E$19=rd,IF($E$21&gt;=600,'Engine Emission Factors'!$C28,'Engine Emission Factors'!$B28),IF($E$19=rg,'Engine Emission Factors'!$E28,IF($E$19=tng,'Engine Emission Factors'!$D28,IF($E$19=ngr,'Engine Emission Factors'!$F28,IF($E$19=ngl,'Engine Emission Factors'!$G28,IF($E$19=ng2l,'Engine Emission Factors'!$H28,IF($E$19=pro,'Engine Emission Factors'!$I28,IF($E$19=select,'Engine Emission Factors'!$Q28))))))))</f>
        <v>0</v>
      </c>
      <c r="H59" s="91">
        <f t="shared" si="2"/>
        <v>0</v>
      </c>
      <c r="I59" s="101">
        <f t="shared" si="3"/>
        <v>0</v>
      </c>
      <c r="K59" s="21"/>
      <c r="L59" s="892" t="s">
        <v>939</v>
      </c>
      <c r="M59" s="344" t="s">
        <v>940</v>
      </c>
      <c r="N59" s="344"/>
      <c r="O59" s="344"/>
      <c r="P59" s="344"/>
      <c r="Q59" s="344"/>
      <c r="R59" s="344"/>
      <c r="S59" s="344"/>
      <c r="T59" s="344"/>
      <c r="U59" s="344"/>
      <c r="V59" s="344"/>
      <c r="W59" s="344"/>
      <c r="X59" s="344"/>
      <c r="Y59" s="897"/>
      <c r="Z59" s="897"/>
    </row>
    <row r="60" spans="2:27" s="26" customFormat="1" ht="15" customHeight="1" x14ac:dyDescent="0.2">
      <c r="B60" s="419" t="s">
        <v>127</v>
      </c>
      <c r="C60" s="47"/>
      <c r="D60" s="98"/>
      <c r="E60" s="99"/>
      <c r="F60" s="100"/>
      <c r="G60" s="525">
        <f>IF($E$19=rd,IF($E$21&gt;=600,'Engine Emission Factors'!$C29,'Engine Emission Factors'!$B29),IF($E$19=rg,'Engine Emission Factors'!$E29,IF($E$19=tng,'Engine Emission Factors'!$D29,IF($E$19=ngr,'Engine Emission Factors'!$F29,IF($E$19=ngl,'Engine Emission Factors'!$G29,IF($E$19=ng2l,'Engine Emission Factors'!$H29,IF($E$19=pro,'Engine Emission Factors'!$I29,IF($E$19=select,'Engine Emission Factors'!$Q29))))))))</f>
        <v>0</v>
      </c>
      <c r="H60" s="91">
        <f t="shared" si="2"/>
        <v>0</v>
      </c>
      <c r="I60" s="101">
        <f t="shared" si="3"/>
        <v>0</v>
      </c>
      <c r="K60" s="21"/>
      <c r="L60" s="892" t="s">
        <v>941</v>
      </c>
      <c r="M60" s="344" t="s">
        <v>942</v>
      </c>
      <c r="N60" s="344"/>
      <c r="O60" s="344"/>
      <c r="P60" s="344"/>
      <c r="Q60" s="344"/>
      <c r="R60" s="344"/>
      <c r="S60" s="344"/>
      <c r="T60" s="344"/>
      <c r="U60" s="344"/>
      <c r="V60" s="344"/>
      <c r="W60" s="344"/>
      <c r="X60" s="344"/>
      <c r="Y60" s="897"/>
      <c r="Z60" s="897"/>
    </row>
    <row r="61" spans="2:27" s="26" customFormat="1" ht="15" customHeight="1" x14ac:dyDescent="0.2">
      <c r="B61" s="97" t="s">
        <v>44</v>
      </c>
      <c r="C61" s="47"/>
      <c r="D61" s="98"/>
      <c r="E61" s="99"/>
      <c r="F61" s="100"/>
      <c r="G61" s="525">
        <f>IF($E$19=rd,IF($E$21&gt;=600,'Engine Emission Factors'!$C30,'Engine Emission Factors'!$B30),IF($E$19=rg,'Engine Emission Factors'!$E30,IF($E$19=tng,'Engine Emission Factors'!$D30,IF($E$19=ngr,'Engine Emission Factors'!$F30,IF($E$19=ngl,'Engine Emission Factors'!$G30,IF($E$19=ng2l,'Engine Emission Factors'!$H30,IF($E$19=pro,'Engine Emission Factors'!$I30,IF($E$19=select,'Engine Emission Factors'!$Q30))))))))</f>
        <v>0</v>
      </c>
      <c r="H61" s="91">
        <f t="shared" si="2"/>
        <v>0</v>
      </c>
      <c r="I61" s="101">
        <f t="shared" si="3"/>
        <v>0</v>
      </c>
      <c r="K61" s="21"/>
      <c r="L61" s="892"/>
      <c r="M61" s="1096" t="s">
        <v>943</v>
      </c>
      <c r="N61" s="1096"/>
      <c r="O61" s="1095" t="s">
        <v>944</v>
      </c>
      <c r="P61" s="1095"/>
      <c r="Q61" s="1095"/>
      <c r="R61" s="1095"/>
      <c r="S61" s="1095"/>
      <c r="T61" s="1095"/>
      <c r="U61" s="1095"/>
      <c r="V61" s="1095"/>
      <c r="W61" s="1095"/>
      <c r="X61" s="1095"/>
      <c r="Y61" s="1095"/>
      <c r="Z61" s="1095"/>
      <c r="AA61" s="1095"/>
    </row>
    <row r="62" spans="2:27" s="26" customFormat="1" ht="15" customHeight="1" x14ac:dyDescent="0.2">
      <c r="B62" s="97" t="s">
        <v>45</v>
      </c>
      <c r="C62" s="47"/>
      <c r="D62" s="98"/>
      <c r="E62" s="99"/>
      <c r="F62" s="100"/>
      <c r="G62" s="525">
        <f>IF($E$19=rd,IF($E$21&gt;=600,'Engine Emission Factors'!$C31,'Engine Emission Factors'!$B31),IF($E$19=rg,'Engine Emission Factors'!$E31,IF($E$19=tng,'Engine Emission Factors'!$D31,IF($E$19=ngr,'Engine Emission Factors'!$F31,IF($E$19=ngl,'Engine Emission Factors'!$G31,IF($E$19=ng2l,'Engine Emission Factors'!$H31,IF($E$19=pro,'Engine Emission Factors'!$I31,IF($E$19=select,'Engine Emission Factors'!$Q31))))))))</f>
        <v>0</v>
      </c>
      <c r="H62" s="91">
        <f t="shared" si="2"/>
        <v>0</v>
      </c>
      <c r="I62" s="101">
        <f t="shared" si="3"/>
        <v>0</v>
      </c>
      <c r="K62" s="21"/>
      <c r="L62" s="892"/>
      <c r="M62" s="1096"/>
      <c r="N62" s="1096"/>
      <c r="O62" s="1095"/>
      <c r="P62" s="1095"/>
      <c r="Q62" s="1095"/>
      <c r="R62" s="1095"/>
      <c r="S62" s="1095"/>
      <c r="T62" s="1095"/>
      <c r="U62" s="1095"/>
      <c r="V62" s="1095"/>
      <c r="W62" s="1095"/>
      <c r="X62" s="1095"/>
      <c r="Y62" s="1095"/>
      <c r="Z62" s="1095"/>
      <c r="AA62" s="1095"/>
    </row>
    <row r="63" spans="2:27" s="26" customFormat="1" ht="15" customHeight="1" x14ac:dyDescent="0.2">
      <c r="B63" s="419" t="s">
        <v>128</v>
      </c>
      <c r="C63" s="47"/>
      <c r="D63" s="98"/>
      <c r="E63" s="99"/>
      <c r="F63" s="100"/>
      <c r="G63" s="525">
        <f>IF($E$19=rd,IF($E$21&gt;=600,'Engine Emission Factors'!$C32,'Engine Emission Factors'!$B32),IF($E$19=rg,'Engine Emission Factors'!$E32,IF($E$19=tng,'Engine Emission Factors'!$D32,IF($E$19=ngr,'Engine Emission Factors'!$F32,IF($E$19=ngl,'Engine Emission Factors'!$G32,IF($E$19=ng2l,'Engine Emission Factors'!$H32,IF($E$19=pro,'Engine Emission Factors'!$I32,IF($E$19=select,'Engine Emission Factors'!$Q32))))))))</f>
        <v>0</v>
      </c>
      <c r="H63" s="91">
        <f t="shared" si="2"/>
        <v>0</v>
      </c>
      <c r="I63" s="101">
        <f t="shared" si="3"/>
        <v>0</v>
      </c>
      <c r="K63" s="21"/>
      <c r="L63" s="892"/>
      <c r="M63" s="1096"/>
      <c r="N63" s="1096"/>
      <c r="O63" s="1095"/>
      <c r="P63" s="1095"/>
      <c r="Q63" s="1095"/>
      <c r="R63" s="1095"/>
      <c r="S63" s="1095"/>
      <c r="T63" s="1095"/>
      <c r="U63" s="1095"/>
      <c r="V63" s="1095"/>
      <c r="W63" s="1095"/>
      <c r="X63" s="1095"/>
      <c r="Y63" s="1095"/>
      <c r="Z63" s="1095"/>
      <c r="AA63" s="1095"/>
    </row>
    <row r="64" spans="2:27" s="26" customFormat="1" ht="15" customHeight="1" x14ac:dyDescent="0.2">
      <c r="B64" s="419" t="s">
        <v>129</v>
      </c>
      <c r="C64" s="47"/>
      <c r="D64" s="98"/>
      <c r="E64" s="99"/>
      <c r="F64" s="100"/>
      <c r="G64" s="525">
        <f>IF($E$19=rd,IF($E$21&gt;=600,'Engine Emission Factors'!$C33,'Engine Emission Factors'!$B33),IF($E$19=rg,'Engine Emission Factors'!$E33,IF($E$19=tng,'Engine Emission Factors'!$D33,IF($E$19=ngr,'Engine Emission Factors'!$F33,IF($E$19=ngl,'Engine Emission Factors'!$G33,IF($E$19=ng2l,'Engine Emission Factors'!$H33,IF($E$19=pro,'Engine Emission Factors'!$I33,IF($E$19=select,'Engine Emission Factors'!$Q33))))))))</f>
        <v>0</v>
      </c>
      <c r="H64" s="91">
        <f t="shared" si="2"/>
        <v>0</v>
      </c>
      <c r="I64" s="101">
        <f t="shared" si="3"/>
        <v>0</v>
      </c>
      <c r="K64" s="21"/>
      <c r="L64" s="892"/>
      <c r="M64" s="1096"/>
      <c r="N64" s="1096"/>
      <c r="O64" s="1095"/>
      <c r="P64" s="1095"/>
      <c r="Q64" s="1095"/>
      <c r="R64" s="1095"/>
      <c r="S64" s="1095"/>
      <c r="T64" s="1095"/>
      <c r="U64" s="1095"/>
      <c r="V64" s="1095"/>
      <c r="W64" s="1095"/>
      <c r="X64" s="1095"/>
      <c r="Y64" s="1095"/>
      <c r="Z64" s="1095"/>
      <c r="AA64" s="1095"/>
    </row>
    <row r="65" spans="1:29" s="26" customFormat="1" ht="15" customHeight="1" x14ac:dyDescent="0.2">
      <c r="B65" s="97" t="s">
        <v>46</v>
      </c>
      <c r="C65" s="47"/>
      <c r="D65" s="98"/>
      <c r="E65" s="99"/>
      <c r="F65" s="100"/>
      <c r="G65" s="525">
        <f>IF($E$19=rd,IF($E$21&gt;=600,'Engine Emission Factors'!$C34,'Engine Emission Factors'!$B34),IF($E$19=rg,'Engine Emission Factors'!$E34,IF($E$19=tng,'Engine Emission Factors'!$D34,IF($E$19=ngr,'Engine Emission Factors'!$F34,IF($E$19=ngl,'Engine Emission Factors'!$G34,IF($E$19=ng2l,'Engine Emission Factors'!$H34,IF($E$19=pro,'Engine Emission Factors'!$I34,IF($E$19=select,'Engine Emission Factors'!$Q34))))))))</f>
        <v>0</v>
      </c>
      <c r="H65" s="91">
        <f t="shared" si="2"/>
        <v>0</v>
      </c>
      <c r="I65" s="101">
        <f t="shared" si="3"/>
        <v>0</v>
      </c>
      <c r="K65" s="21"/>
      <c r="L65" s="892"/>
      <c r="M65" s="891"/>
      <c r="N65" s="891"/>
      <c r="O65" s="1095"/>
      <c r="P65" s="1095"/>
      <c r="Q65" s="1095"/>
      <c r="R65" s="1095"/>
      <c r="S65" s="1095"/>
      <c r="T65" s="1095"/>
      <c r="U65" s="1095"/>
      <c r="V65" s="1095"/>
      <c r="W65" s="1095"/>
      <c r="X65" s="1095"/>
      <c r="Y65" s="1095"/>
      <c r="Z65" s="1095"/>
      <c r="AA65" s="1095"/>
    </row>
    <row r="66" spans="1:29" s="26" customFormat="1" ht="15" customHeight="1" x14ac:dyDescent="0.2">
      <c r="B66" s="419" t="s">
        <v>285</v>
      </c>
      <c r="G66" s="525">
        <f>IF($E$19=rd,IF($E$21&gt;=600,'Engine Emission Factors'!$C35,'Engine Emission Factors'!$B35),IF($E$19=rg,'Engine Emission Factors'!$E35,IF($E$19=tng,'Engine Emission Factors'!$D35,IF($E$19=ngr,'Engine Emission Factors'!$F35,IF($E$19=ngl,'Engine Emission Factors'!$G35,IF($E$19=ng2l,'Engine Emission Factors'!$H35,IF($E$19=pro,'Engine Emission Factors'!$I35,IF($E$19=select,'Engine Emission Factors'!$Q35))))))))</f>
        <v>0</v>
      </c>
      <c r="H66" s="91">
        <f t="shared" si="2"/>
        <v>0</v>
      </c>
      <c r="I66" s="101">
        <f t="shared" si="3"/>
        <v>0</v>
      </c>
      <c r="K66" s="21"/>
      <c r="L66" s="892" t="s">
        <v>945</v>
      </c>
      <c r="M66" s="344" t="s">
        <v>946</v>
      </c>
      <c r="N66" s="344"/>
      <c r="O66" s="344"/>
      <c r="P66" s="893"/>
      <c r="Q66" s="893"/>
      <c r="R66" s="893"/>
      <c r="S66" s="893"/>
      <c r="T66" s="893"/>
      <c r="U66" s="893"/>
      <c r="V66" s="893"/>
      <c r="W66" s="893"/>
      <c r="X66" s="893"/>
      <c r="Y66" s="893"/>
      <c r="Z66" s="893"/>
      <c r="AA66" s="893"/>
    </row>
    <row r="67" spans="1:29" s="26" customFormat="1" ht="15" customHeight="1" x14ac:dyDescent="0.2">
      <c r="B67" s="419" t="s">
        <v>130</v>
      </c>
      <c r="G67" s="525">
        <f>IF($E$19=rd,IF($E$21&gt;=600,'Engine Emission Factors'!$C36,'Engine Emission Factors'!$B36),IF($E$19=rg,'Engine Emission Factors'!$E36,IF($E$19=tng,'Engine Emission Factors'!$D36,IF($E$19=ngr,'Engine Emission Factors'!$F36,IF($E$19=ngl,'Engine Emission Factors'!$G36,IF($E$19=ng2l,'Engine Emission Factors'!$H36,IF($E$19=pro,'Engine Emission Factors'!$I36,IF($E$19=select,'Engine Emission Factors'!$Q36))))))))</f>
        <v>0</v>
      </c>
      <c r="H67" s="91">
        <f t="shared" si="2"/>
        <v>0</v>
      </c>
      <c r="I67" s="101">
        <f t="shared" si="3"/>
        <v>0</v>
      </c>
      <c r="K67" s="21"/>
      <c r="L67" s="898"/>
      <c r="M67" s="1096" t="s">
        <v>947</v>
      </c>
      <c r="N67" s="1096"/>
      <c r="O67" s="1083" t="s">
        <v>948</v>
      </c>
      <c r="P67" s="1083"/>
      <c r="Q67" s="1083"/>
      <c r="R67" s="1083"/>
      <c r="S67" s="1083"/>
      <c r="T67" s="1083"/>
      <c r="U67" s="1083"/>
      <c r="V67" s="1083"/>
      <c r="W67" s="1083"/>
      <c r="X67" s="1083"/>
      <c r="Y67" s="1083"/>
      <c r="Z67" s="1083"/>
      <c r="AA67" s="1083"/>
    </row>
    <row r="68" spans="1:29" s="26" customFormat="1" ht="15" customHeight="1" x14ac:dyDescent="0.2">
      <c r="B68" s="419" t="s">
        <v>131</v>
      </c>
      <c r="G68" s="525">
        <f>IF($E$19=rd,IF($E$21&gt;=600,'Engine Emission Factors'!$C37,'Engine Emission Factors'!$B37),IF($E$19=rg,'Engine Emission Factors'!$E37,IF($E$19=tng,'Engine Emission Factors'!$D37,IF($E$19=ngr,'Engine Emission Factors'!$F37,IF($E$19=ngl,'Engine Emission Factors'!$G37,IF($E$19=ng2l,'Engine Emission Factors'!$H37,IF($E$19=pro,'Engine Emission Factors'!$I37,IF($E$19=select,'Engine Emission Factors'!$Q37))))))))</f>
        <v>0</v>
      </c>
      <c r="H68" s="91">
        <f t="shared" si="2"/>
        <v>0</v>
      </c>
      <c r="I68" s="101">
        <f t="shared" si="3"/>
        <v>0</v>
      </c>
      <c r="K68" s="21"/>
      <c r="L68" s="898"/>
      <c r="M68" s="1096"/>
      <c r="N68" s="1096"/>
      <c r="O68" s="1083"/>
      <c r="P68" s="1083"/>
      <c r="Q68" s="1083"/>
      <c r="R68" s="1083"/>
      <c r="S68" s="1083"/>
      <c r="T68" s="1083"/>
      <c r="U68" s="1083"/>
      <c r="V68" s="1083"/>
      <c r="W68" s="1083"/>
      <c r="X68" s="1083"/>
      <c r="Y68" s="1083"/>
      <c r="Z68" s="1083"/>
      <c r="AA68" s="1083"/>
    </row>
    <row r="69" spans="1:29" s="26" customFormat="1" ht="15" customHeight="1" x14ac:dyDescent="0.2">
      <c r="B69" s="419" t="s">
        <v>132</v>
      </c>
      <c r="G69" s="525">
        <f>IF($E$19=rd,IF($E$21&gt;=600,'Engine Emission Factors'!$C38,'Engine Emission Factors'!$B38),IF($E$19=rg,'Engine Emission Factors'!$E38,IF($E$19=tng,'Engine Emission Factors'!$D38,IF($E$19=ngr,'Engine Emission Factors'!$F38,IF($E$19=ngl,'Engine Emission Factors'!$G38,IF($E$19=ng2l,'Engine Emission Factors'!$H38,IF($E$19=pro,'Engine Emission Factors'!$I38,IF($E$19=select,'Engine Emission Factors'!$Q38))))))))</f>
        <v>0</v>
      </c>
      <c r="H69" s="91">
        <f t="shared" si="2"/>
        <v>0</v>
      </c>
      <c r="I69" s="101">
        <f t="shared" si="3"/>
        <v>0</v>
      </c>
      <c r="K69" s="21"/>
      <c r="M69" s="1096" t="s">
        <v>949</v>
      </c>
      <c r="N69" s="1096"/>
      <c r="O69" s="1083" t="s">
        <v>950</v>
      </c>
      <c r="P69" s="1083"/>
      <c r="Q69" s="1083"/>
      <c r="R69" s="1083"/>
      <c r="S69" s="1083"/>
      <c r="T69" s="1083"/>
      <c r="U69" s="1083"/>
      <c r="V69" s="1083"/>
      <c r="W69" s="1083"/>
      <c r="X69" s="1083"/>
      <c r="Y69" s="1083"/>
      <c r="Z69" s="1083"/>
      <c r="AA69" s="1083"/>
    </row>
    <row r="70" spans="1:29" s="26" customFormat="1" ht="15" customHeight="1" x14ac:dyDescent="0.2">
      <c r="B70" s="97" t="s">
        <v>47</v>
      </c>
      <c r="G70" s="525">
        <f>IF($E$19=rd,IF($E$21&gt;=600,'Engine Emission Factors'!$C39,'Engine Emission Factors'!$B39),IF($E$19=rg,'Engine Emission Factors'!$E39,IF($E$19=tng,'Engine Emission Factors'!$D39,IF($E$19=ngr,'Engine Emission Factors'!$F39,IF($E$19=ngl,'Engine Emission Factors'!$G39,IF($E$19=ng2l,'Engine Emission Factors'!$H39,IF($E$19=pro,'Engine Emission Factors'!$I39,IF($E$19=select,'Engine Emission Factors'!$Q39))))))))</f>
        <v>0</v>
      </c>
      <c r="H70" s="91">
        <f t="shared" si="2"/>
        <v>0</v>
      </c>
      <c r="I70" s="101">
        <f t="shared" si="3"/>
        <v>0</v>
      </c>
      <c r="K70" s="21"/>
      <c r="L70" s="344"/>
      <c r="M70" s="1096"/>
      <c r="N70" s="1096"/>
      <c r="O70" s="1083"/>
      <c r="P70" s="1083"/>
      <c r="Q70" s="1083"/>
      <c r="R70" s="1083"/>
      <c r="S70" s="1083"/>
      <c r="T70" s="1083"/>
      <c r="U70" s="1083"/>
      <c r="V70" s="1083"/>
      <c r="W70" s="1083"/>
      <c r="X70" s="1083"/>
      <c r="Y70" s="1083"/>
      <c r="Z70" s="1083"/>
      <c r="AA70" s="1083"/>
    </row>
    <row r="71" spans="1:29" s="26" customFormat="1" ht="15" customHeight="1" x14ac:dyDescent="0.2">
      <c r="B71" s="419" t="s">
        <v>133</v>
      </c>
      <c r="G71" s="525">
        <f>IF($E$19=rd,IF($E$21&gt;=600,'Engine Emission Factors'!$C40,'Engine Emission Factors'!$B40),IF($E$19=rg,'Engine Emission Factors'!$E40,IF($E$19=tng,'Engine Emission Factors'!$D40,IF($E$19=ngr,'Engine Emission Factors'!$F40,IF($E$19=ngl,'Engine Emission Factors'!$G40,IF($E$19=ng2l,'Engine Emission Factors'!$H40,IF($E$19=pro,'Engine Emission Factors'!$I40,IF($E$19=select,'Engine Emission Factors'!$Q40))))))))</f>
        <v>0</v>
      </c>
      <c r="H71" s="91">
        <f t="shared" si="2"/>
        <v>0</v>
      </c>
      <c r="I71" s="101">
        <f t="shared" si="3"/>
        <v>0</v>
      </c>
      <c r="K71" s="21"/>
      <c r="L71" s="344"/>
      <c r="M71" s="344"/>
      <c r="N71" s="889" t="s">
        <v>281</v>
      </c>
      <c r="O71" s="890" t="s">
        <v>951</v>
      </c>
      <c r="P71" s="890"/>
      <c r="Q71" s="890"/>
      <c r="R71" s="890"/>
      <c r="S71" s="890"/>
      <c r="T71" s="890"/>
      <c r="U71" s="890"/>
      <c r="V71" s="890"/>
      <c r="W71" s="897"/>
      <c r="X71" s="897"/>
      <c r="Y71" s="897"/>
      <c r="Z71" s="897"/>
      <c r="AA71" s="897"/>
    </row>
    <row r="72" spans="1:29" s="26" customFormat="1" ht="15" customHeight="1" x14ac:dyDescent="0.2">
      <c r="B72" s="97" t="s">
        <v>134</v>
      </c>
      <c r="G72" s="525">
        <f>IF($E$19=rd,IF($E$21&gt;=600,'Engine Emission Factors'!$C41,'Engine Emission Factors'!$B41),IF($E$19=rg,'Engine Emission Factors'!$E41,IF($E$19=tng,'Engine Emission Factors'!$D41,IF($E$19=ngr,'Engine Emission Factors'!$F41,IF($E$19=ngl,'Engine Emission Factors'!$G41,IF($E$19=ng2l,'Engine Emission Factors'!$H41,IF($E$19=pro,'Engine Emission Factors'!$I41,IF($E$19=select,'Engine Emission Factors'!$Q41))))))))</f>
        <v>0</v>
      </c>
      <c r="H72" s="91">
        <f t="shared" si="2"/>
        <v>0</v>
      </c>
      <c r="I72" s="101">
        <f t="shared" si="3"/>
        <v>0</v>
      </c>
      <c r="K72" s="21"/>
      <c r="L72" s="344"/>
      <c r="M72" s="344"/>
      <c r="N72" s="889" t="s">
        <v>281</v>
      </c>
      <c r="O72" s="1083" t="s">
        <v>952</v>
      </c>
      <c r="P72" s="1083"/>
      <c r="Q72" s="1083"/>
      <c r="R72" s="1083"/>
      <c r="S72" s="1083"/>
      <c r="T72" s="1083"/>
      <c r="U72" s="1083"/>
      <c r="V72" s="1083"/>
      <c r="W72" s="1083"/>
      <c r="X72" s="1083"/>
      <c r="Y72" s="1083"/>
      <c r="Z72" s="1083"/>
      <c r="AA72" s="1083"/>
    </row>
    <row r="73" spans="1:29" s="26" customFormat="1" ht="15" customHeight="1" thickBot="1" x14ac:dyDescent="0.25">
      <c r="B73" s="102"/>
      <c r="C73" s="103"/>
      <c r="D73" s="103"/>
      <c r="E73" s="103"/>
      <c r="F73" s="104" t="s">
        <v>57</v>
      </c>
      <c r="G73" s="105"/>
      <c r="H73" s="106">
        <f>SUM(H48:H72)</f>
        <v>0</v>
      </c>
      <c r="I73" s="107">
        <f>SUM(I48:I72)</f>
        <v>0</v>
      </c>
      <c r="K73" s="21"/>
      <c r="L73" s="344"/>
      <c r="M73" s="344"/>
      <c r="N73" s="889"/>
      <c r="O73" s="1083"/>
      <c r="P73" s="1083"/>
      <c r="Q73" s="1083"/>
      <c r="R73" s="1083"/>
      <c r="S73" s="1083"/>
      <c r="T73" s="1083"/>
      <c r="U73" s="1083"/>
      <c r="V73" s="1083"/>
      <c r="W73" s="1083"/>
      <c r="X73" s="1083"/>
      <c r="Y73" s="1083"/>
      <c r="Z73" s="1083"/>
      <c r="AA73" s="1083"/>
    </row>
    <row r="74" spans="1:29" s="26" customFormat="1" ht="15" customHeight="1" x14ac:dyDescent="0.2">
      <c r="B74" s="1055" t="s">
        <v>362</v>
      </c>
      <c r="C74" s="1055"/>
      <c r="D74" s="1055"/>
      <c r="E74" s="1055"/>
      <c r="F74" s="1056" t="s">
        <v>631</v>
      </c>
      <c r="G74" s="1056"/>
      <c r="H74" s="1056"/>
      <c r="I74" s="1056"/>
      <c r="K74" s="21"/>
      <c r="L74" s="344"/>
      <c r="M74" s="344"/>
      <c r="N74" s="889" t="s">
        <v>281</v>
      </c>
      <c r="O74" s="1083" t="s">
        <v>953</v>
      </c>
      <c r="P74" s="1083"/>
      <c r="Q74" s="1083"/>
      <c r="R74" s="1083"/>
      <c r="S74" s="1083"/>
      <c r="T74" s="1083"/>
      <c r="U74" s="1083"/>
      <c r="V74" s="1083"/>
      <c r="W74" s="1083"/>
      <c r="X74" s="1083"/>
      <c r="Y74" s="1083"/>
      <c r="Z74" s="1083"/>
      <c r="AA74" s="1083"/>
    </row>
    <row r="75" spans="1:29" s="26" customFormat="1" ht="15" customHeight="1" x14ac:dyDescent="0.25">
      <c r="B75" s="1048" t="s">
        <v>458</v>
      </c>
      <c r="C75" s="1048"/>
      <c r="D75" s="1048"/>
      <c r="E75" s="1048"/>
      <c r="F75" s="1009"/>
      <c r="G75" s="1009"/>
      <c r="H75" s="1009"/>
      <c r="I75" s="1009"/>
      <c r="K75" s="21"/>
      <c r="L75" s="344"/>
      <c r="M75" s="357"/>
      <c r="N75" s="889"/>
      <c r="O75" s="1083"/>
      <c r="P75" s="1083"/>
      <c r="Q75" s="1083"/>
      <c r="R75" s="1083"/>
      <c r="S75" s="1083"/>
      <c r="T75" s="1083"/>
      <c r="U75" s="1083"/>
      <c r="V75" s="1083"/>
      <c r="W75" s="1083"/>
      <c r="X75" s="1083"/>
      <c r="Y75" s="1083"/>
      <c r="Z75" s="1083"/>
      <c r="AA75" s="1083"/>
    </row>
    <row r="76" spans="1:29" ht="15" customHeight="1" x14ac:dyDescent="0.25">
      <c r="A76" s="26"/>
      <c r="B76" s="1048" t="s">
        <v>459</v>
      </c>
      <c r="C76" s="1048"/>
      <c r="D76" s="1048"/>
      <c r="E76" s="1048"/>
      <c r="F76" s="1049" t="s">
        <v>460</v>
      </c>
      <c r="G76" s="1049"/>
      <c r="H76" s="398"/>
      <c r="I76" s="398"/>
      <c r="J76" s="26"/>
      <c r="L76" s="357"/>
      <c r="M76" s="357"/>
      <c r="N76" s="889" t="s">
        <v>281</v>
      </c>
      <c r="O76" s="890" t="s">
        <v>954</v>
      </c>
      <c r="P76" s="890"/>
      <c r="Q76" s="890"/>
      <c r="R76" s="890"/>
      <c r="S76" s="890"/>
      <c r="T76" s="890"/>
      <c r="U76" s="890"/>
      <c r="V76" s="890"/>
      <c r="W76" s="897"/>
      <c r="X76" s="897"/>
      <c r="Y76" s="897"/>
      <c r="Z76" s="897"/>
      <c r="AA76" s="897"/>
      <c r="AB76" s="26"/>
      <c r="AC76" s="26"/>
    </row>
    <row r="77" spans="1:29" x14ac:dyDescent="0.25">
      <c r="L77" s="357"/>
      <c r="M77" s="357"/>
      <c r="N77" s="889" t="s">
        <v>281</v>
      </c>
      <c r="O77" s="1083" t="s">
        <v>955</v>
      </c>
      <c r="P77" s="1083"/>
      <c r="Q77" s="1083"/>
      <c r="R77" s="1083"/>
      <c r="S77" s="1083"/>
      <c r="T77" s="1083"/>
      <c r="U77" s="1083"/>
      <c r="V77" s="1083"/>
      <c r="W77" s="1083"/>
      <c r="X77" s="1083"/>
      <c r="Y77" s="1083"/>
      <c r="Z77" s="1083"/>
      <c r="AA77" s="1083"/>
      <c r="AB77" s="26"/>
    </row>
    <row r="78" spans="1:29" ht="15" customHeight="1" x14ac:dyDescent="0.25">
      <c r="L78" s="357"/>
      <c r="M78" s="357"/>
      <c r="N78" s="357"/>
      <c r="O78" s="1083"/>
      <c r="P78" s="1083"/>
      <c r="Q78" s="1083"/>
      <c r="R78" s="1083"/>
      <c r="S78" s="1083"/>
      <c r="T78" s="1083"/>
      <c r="U78" s="1083"/>
      <c r="V78" s="1083"/>
      <c r="W78" s="1083"/>
      <c r="X78" s="1083"/>
      <c r="Y78" s="1083"/>
      <c r="Z78" s="1083"/>
      <c r="AA78" s="1083"/>
      <c r="AB78" s="26"/>
    </row>
    <row r="79" spans="1:29" x14ac:dyDescent="0.25">
      <c r="B79" s="1"/>
      <c r="C79" s="1"/>
      <c r="D79" s="1"/>
      <c r="E79" s="1"/>
      <c r="F79" s="1"/>
      <c r="G79" s="1"/>
      <c r="H79" s="1"/>
      <c r="I79" s="1"/>
      <c r="L79" s="357"/>
      <c r="M79" s="357"/>
      <c r="N79" s="357"/>
      <c r="O79" s="1083"/>
      <c r="P79" s="1083"/>
      <c r="Q79" s="1083"/>
      <c r="R79" s="1083"/>
      <c r="S79" s="1083"/>
      <c r="T79" s="1083"/>
      <c r="U79" s="1083"/>
      <c r="V79" s="1083"/>
      <c r="W79" s="1083"/>
      <c r="X79" s="1083"/>
      <c r="Y79" s="1083"/>
      <c r="Z79" s="1083"/>
      <c r="AA79" s="1083"/>
      <c r="AB79" s="26"/>
    </row>
    <row r="80" spans="1:29" x14ac:dyDescent="0.25">
      <c r="L80" s="357"/>
      <c r="M80" s="357"/>
      <c r="N80" s="357"/>
      <c r="O80" s="357"/>
      <c r="P80" s="357"/>
      <c r="Q80" s="357"/>
      <c r="R80" s="357"/>
      <c r="S80" s="357"/>
      <c r="T80" s="357"/>
      <c r="U80" s="897"/>
      <c r="V80" s="897"/>
      <c r="W80" s="897"/>
      <c r="X80" s="897"/>
      <c r="Y80" s="897"/>
      <c r="Z80" s="897"/>
      <c r="AA80" s="26"/>
      <c r="AB80" s="26"/>
    </row>
    <row r="81" spans="12:28" x14ac:dyDescent="0.25">
      <c r="L81" s="357"/>
      <c r="M81" s="357"/>
      <c r="N81" s="357"/>
      <c r="O81" s="357"/>
      <c r="P81" s="357"/>
      <c r="Q81" s="357"/>
      <c r="R81" s="357"/>
      <c r="S81" s="357"/>
      <c r="T81" s="357"/>
      <c r="U81" s="897"/>
      <c r="V81" s="897"/>
      <c r="W81" s="897"/>
      <c r="X81" s="897"/>
      <c r="Y81" s="897"/>
      <c r="Z81" s="897"/>
      <c r="AA81" s="26"/>
      <c r="AB81" s="26"/>
    </row>
    <row r="82" spans="12:28" x14ac:dyDescent="0.25">
      <c r="L82" s="357"/>
      <c r="M82" s="357"/>
      <c r="N82" s="357"/>
      <c r="O82" s="357"/>
      <c r="P82" s="357"/>
      <c r="Q82" s="357"/>
      <c r="R82" s="357"/>
      <c r="S82" s="357"/>
      <c r="T82" s="357"/>
      <c r="U82" s="897"/>
      <c r="V82" s="897"/>
      <c r="W82" s="897"/>
      <c r="X82" s="897"/>
      <c r="Y82" s="897"/>
      <c r="Z82" s="897"/>
      <c r="AA82" s="26"/>
    </row>
    <row r="83" spans="12:28" x14ac:dyDescent="0.25">
      <c r="L83" s="357"/>
      <c r="M83" s="357"/>
      <c r="N83" s="357"/>
      <c r="O83" s="357"/>
      <c r="P83" s="357"/>
      <c r="Q83" s="357"/>
      <c r="R83" s="357"/>
      <c r="S83" s="357"/>
      <c r="T83" s="357"/>
      <c r="U83" s="897"/>
      <c r="V83" s="897"/>
      <c r="W83" s="897"/>
      <c r="X83" s="897"/>
      <c r="Y83" s="897"/>
      <c r="Z83" s="897"/>
      <c r="AA83" s="26"/>
    </row>
    <row r="84" spans="12:28" x14ac:dyDescent="0.25">
      <c r="L84" s="357"/>
      <c r="M84" s="357"/>
      <c r="N84" s="357"/>
      <c r="O84" s="357"/>
      <c r="P84" s="357"/>
      <c r="Q84" s="357"/>
      <c r="R84" s="357"/>
      <c r="S84" s="357"/>
      <c r="T84" s="357"/>
      <c r="U84" s="897"/>
      <c r="V84" s="897"/>
      <c r="W84" s="897"/>
      <c r="X84" s="897"/>
      <c r="Y84" s="897"/>
      <c r="Z84" s="899"/>
    </row>
    <row r="85" spans="12:28" x14ac:dyDescent="0.25">
      <c r="L85" s="357"/>
      <c r="M85" s="357"/>
      <c r="N85" s="357"/>
      <c r="O85" s="357"/>
      <c r="P85" s="357"/>
      <c r="Q85" s="357"/>
      <c r="R85" s="357"/>
      <c r="S85" s="357"/>
      <c r="T85" s="357"/>
      <c r="U85" s="897"/>
      <c r="V85" s="897"/>
      <c r="W85" s="897"/>
      <c r="X85" s="897"/>
      <c r="Y85" s="897"/>
      <c r="Z85" s="899"/>
    </row>
    <row r="86" spans="12:28" x14ac:dyDescent="0.25">
      <c r="L86" s="357"/>
      <c r="M86" s="357"/>
      <c r="N86" s="357"/>
      <c r="O86" s="357"/>
      <c r="P86" s="357"/>
      <c r="Q86" s="357"/>
      <c r="R86" s="357"/>
      <c r="S86" s="357"/>
      <c r="T86" s="357"/>
      <c r="U86" s="897"/>
      <c r="V86" s="897"/>
      <c r="W86" s="897"/>
      <c r="X86" s="897"/>
      <c r="Y86" s="899"/>
      <c r="Z86" s="899"/>
    </row>
    <row r="87" spans="12:28" x14ac:dyDescent="0.25">
      <c r="L87" s="357"/>
      <c r="M87" s="357"/>
      <c r="N87" s="357"/>
      <c r="O87" s="357"/>
      <c r="P87" s="357"/>
      <c r="Q87" s="357"/>
      <c r="R87" s="357"/>
      <c r="S87" s="670"/>
      <c r="T87" s="670"/>
      <c r="U87" s="899"/>
      <c r="V87" s="899"/>
      <c r="W87" s="899"/>
      <c r="X87" s="899"/>
      <c r="Y87" s="899"/>
      <c r="Z87" s="899"/>
    </row>
    <row r="88" spans="12:28" x14ac:dyDescent="0.25">
      <c r="L88" s="357"/>
      <c r="M88" s="357"/>
      <c r="N88" s="357"/>
      <c r="O88" s="357"/>
      <c r="P88" s="357"/>
      <c r="Q88" s="357"/>
      <c r="R88" s="357"/>
      <c r="S88" s="670"/>
      <c r="T88" s="670"/>
      <c r="U88" s="899"/>
      <c r="V88" s="899"/>
      <c r="W88" s="899"/>
      <c r="X88" s="899"/>
      <c r="Y88" s="899"/>
      <c r="Z88" s="899"/>
    </row>
    <row r="89" spans="12:28" x14ac:dyDescent="0.25">
      <c r="L89" s="357"/>
      <c r="M89" s="357"/>
      <c r="N89" s="357"/>
      <c r="O89" s="357"/>
      <c r="P89" s="357"/>
      <c r="Q89" s="357"/>
      <c r="R89" s="357"/>
      <c r="S89" s="670"/>
      <c r="T89" s="670"/>
      <c r="U89" s="899"/>
      <c r="V89" s="899"/>
      <c r="W89" s="899"/>
      <c r="X89" s="899"/>
      <c r="Y89" s="899"/>
      <c r="Z89" s="899"/>
    </row>
    <row r="90" spans="12:28" x14ac:dyDescent="0.25">
      <c r="L90" s="357"/>
      <c r="M90" s="357"/>
      <c r="N90" s="357"/>
      <c r="O90" s="357"/>
      <c r="P90" s="357"/>
      <c r="Q90" s="357"/>
      <c r="R90" s="357"/>
      <c r="S90" s="670"/>
      <c r="T90" s="670"/>
      <c r="U90" s="899"/>
      <c r="V90" s="899"/>
      <c r="W90" s="899"/>
      <c r="X90" s="899"/>
      <c r="Y90" s="899"/>
      <c r="Z90" s="899"/>
    </row>
    <row r="91" spans="12:28" x14ac:dyDescent="0.25">
      <c r="L91" s="357"/>
      <c r="M91" s="357"/>
      <c r="N91" s="357"/>
      <c r="O91" s="357"/>
      <c r="P91" s="357"/>
      <c r="Q91" s="357"/>
      <c r="R91" s="357"/>
      <c r="S91" s="670"/>
      <c r="T91" s="670"/>
      <c r="U91" s="899"/>
      <c r="V91" s="899"/>
      <c r="W91" s="899"/>
      <c r="X91" s="899"/>
      <c r="Y91" s="899"/>
      <c r="Z91" s="899"/>
    </row>
    <row r="92" spans="12:28" x14ac:dyDescent="0.25">
      <c r="L92" s="357"/>
      <c r="M92" s="357"/>
      <c r="N92" s="357"/>
      <c r="O92" s="357"/>
      <c r="P92" s="357"/>
      <c r="Q92" s="357"/>
      <c r="R92" s="357"/>
      <c r="S92" s="670"/>
      <c r="T92" s="670"/>
      <c r="U92" s="899"/>
      <c r="V92" s="899"/>
      <c r="W92" s="899"/>
      <c r="X92" s="899"/>
      <c r="Y92" s="899"/>
      <c r="Z92" s="899"/>
    </row>
    <row r="93" spans="12:28" x14ac:dyDescent="0.25">
      <c r="L93" s="357"/>
      <c r="M93" s="357"/>
      <c r="N93" s="357"/>
      <c r="O93" s="357"/>
      <c r="P93" s="357"/>
      <c r="Q93" s="357"/>
      <c r="R93" s="357"/>
      <c r="S93" s="670"/>
      <c r="T93" s="670"/>
      <c r="U93" s="899"/>
      <c r="V93" s="899"/>
      <c r="W93" s="899"/>
      <c r="X93" s="899"/>
      <c r="Y93" s="899"/>
      <c r="Z93" s="899"/>
    </row>
    <row r="94" spans="12:28" x14ac:dyDescent="0.25">
      <c r="L94" s="357"/>
      <c r="M94" s="357"/>
      <c r="N94" s="357"/>
      <c r="O94" s="357"/>
      <c r="P94" s="357"/>
      <c r="Q94" s="357"/>
      <c r="R94" s="357"/>
      <c r="S94" s="670"/>
      <c r="T94" s="670"/>
      <c r="U94" s="899"/>
      <c r="V94" s="899"/>
      <c r="W94" s="899"/>
      <c r="X94" s="899"/>
      <c r="Y94" s="899"/>
      <c r="Z94" s="899"/>
    </row>
    <row r="95" spans="12:28" x14ac:dyDescent="0.25">
      <c r="L95" s="357"/>
      <c r="M95" s="357"/>
      <c r="N95" s="357"/>
      <c r="O95" s="357"/>
      <c r="P95" s="357"/>
      <c r="Q95" s="357"/>
      <c r="R95" s="357"/>
      <c r="S95" s="670"/>
      <c r="T95" s="670"/>
      <c r="U95" s="899"/>
      <c r="V95" s="899"/>
      <c r="W95" s="899"/>
      <c r="X95" s="899"/>
      <c r="Y95" s="899"/>
      <c r="Z95" s="899"/>
    </row>
    <row r="96" spans="12:28" x14ac:dyDescent="0.25">
      <c r="L96" s="357"/>
      <c r="M96" s="357"/>
      <c r="N96" s="357"/>
      <c r="O96" s="357"/>
      <c r="P96" s="357"/>
      <c r="Q96" s="357"/>
      <c r="R96" s="357"/>
      <c r="S96" s="670"/>
      <c r="T96" s="670"/>
      <c r="U96" s="899"/>
      <c r="V96" s="899"/>
      <c r="W96" s="899"/>
      <c r="X96" s="899"/>
      <c r="Y96" s="899"/>
      <c r="Z96" s="899"/>
    </row>
    <row r="97" spans="12:26" x14ac:dyDescent="0.25">
      <c r="L97" s="357"/>
      <c r="M97" s="357"/>
      <c r="N97" s="357"/>
      <c r="O97" s="357"/>
      <c r="P97" s="357"/>
      <c r="Q97" s="357"/>
      <c r="R97" s="357"/>
      <c r="S97" s="670"/>
      <c r="T97" s="670"/>
      <c r="U97" s="899"/>
      <c r="V97" s="899"/>
      <c r="W97" s="899"/>
      <c r="X97" s="899"/>
      <c r="Y97" s="899"/>
      <c r="Z97" s="899"/>
    </row>
    <row r="98" spans="12:26" x14ac:dyDescent="0.25">
      <c r="L98" s="357"/>
      <c r="M98" s="357"/>
      <c r="N98" s="357"/>
      <c r="O98" s="357"/>
      <c r="P98" s="357"/>
      <c r="Q98" s="357"/>
      <c r="R98" s="357"/>
      <c r="S98" s="670"/>
      <c r="T98" s="670"/>
      <c r="U98" s="899"/>
      <c r="V98" s="899"/>
      <c r="W98" s="899"/>
      <c r="X98" s="899"/>
      <c r="Y98" s="899"/>
      <c r="Z98" s="899"/>
    </row>
    <row r="99" spans="12:26" x14ac:dyDescent="0.25">
      <c r="L99" s="357"/>
      <c r="M99" s="357"/>
      <c r="N99" s="357"/>
      <c r="O99" s="357"/>
      <c r="P99" s="357"/>
      <c r="Q99" s="357"/>
      <c r="R99" s="357"/>
      <c r="S99" s="670"/>
      <c r="T99" s="670"/>
      <c r="U99" s="899"/>
      <c r="V99" s="899"/>
      <c r="W99" s="899"/>
      <c r="X99" s="899"/>
      <c r="Y99" s="899"/>
      <c r="Z99" s="899"/>
    </row>
    <row r="100" spans="12:26" x14ac:dyDescent="0.25">
      <c r="L100" s="357"/>
      <c r="M100" s="357"/>
      <c r="N100" s="357"/>
      <c r="O100" s="357"/>
      <c r="P100" s="357"/>
      <c r="Q100" s="357"/>
      <c r="R100" s="357"/>
      <c r="S100" s="670"/>
      <c r="T100" s="670"/>
      <c r="U100" s="899"/>
      <c r="V100" s="899"/>
      <c r="W100" s="899"/>
      <c r="X100" s="899"/>
      <c r="Y100" s="899"/>
      <c r="Z100" s="899"/>
    </row>
    <row r="101" spans="12:26" x14ac:dyDescent="0.25">
      <c r="L101" s="357"/>
      <c r="M101" s="357"/>
      <c r="N101" s="357"/>
      <c r="O101" s="357"/>
      <c r="P101" s="357"/>
      <c r="Q101" s="357"/>
      <c r="R101" s="357"/>
      <c r="S101" s="670"/>
      <c r="T101" s="670"/>
      <c r="U101" s="899"/>
      <c r="V101" s="899"/>
      <c r="W101" s="899"/>
      <c r="X101" s="899"/>
      <c r="Y101" s="899"/>
      <c r="Z101" s="899"/>
    </row>
    <row r="102" spans="12:26" x14ac:dyDescent="0.25">
      <c r="L102" s="357"/>
      <c r="M102" s="357"/>
      <c r="N102" s="357"/>
      <c r="O102" s="357"/>
      <c r="P102" s="357"/>
      <c r="Q102" s="357"/>
      <c r="R102" s="357"/>
      <c r="S102" s="670"/>
      <c r="T102" s="670"/>
      <c r="U102" s="899"/>
      <c r="V102" s="899"/>
      <c r="W102" s="899"/>
      <c r="X102" s="899"/>
      <c r="Y102" s="899"/>
      <c r="Z102" s="899"/>
    </row>
    <row r="103" spans="12:26" x14ac:dyDescent="0.25">
      <c r="L103" s="357"/>
      <c r="M103" s="357"/>
      <c r="N103" s="357"/>
      <c r="O103" s="357"/>
      <c r="P103" s="357"/>
      <c r="Q103" s="357"/>
      <c r="R103" s="357"/>
      <c r="S103" s="670"/>
      <c r="T103" s="670"/>
      <c r="U103" s="899"/>
      <c r="V103" s="899"/>
      <c r="W103" s="899"/>
      <c r="X103" s="899"/>
      <c r="Y103" s="899"/>
      <c r="Z103" s="899"/>
    </row>
    <row r="104" spans="12:26" x14ac:dyDescent="0.25">
      <c r="L104" s="357"/>
      <c r="M104" s="357"/>
      <c r="N104" s="357"/>
      <c r="O104" s="357"/>
      <c r="P104" s="357"/>
      <c r="Q104" s="357"/>
      <c r="R104" s="357"/>
      <c r="S104" s="670"/>
      <c r="T104" s="670"/>
      <c r="U104" s="899"/>
      <c r="V104" s="899"/>
      <c r="W104" s="899"/>
      <c r="X104" s="899"/>
      <c r="Y104" s="899"/>
      <c r="Z104" s="899"/>
    </row>
    <row r="105" spans="12:26" x14ac:dyDescent="0.25">
      <c r="L105" s="357"/>
      <c r="M105" s="357"/>
      <c r="N105" s="357"/>
      <c r="O105" s="357"/>
      <c r="P105" s="357"/>
      <c r="Q105" s="357"/>
      <c r="R105" s="357"/>
      <c r="S105" s="670"/>
      <c r="T105" s="670"/>
      <c r="U105" s="899"/>
      <c r="V105" s="899"/>
      <c r="W105" s="899"/>
      <c r="X105" s="899"/>
      <c r="Y105" s="899"/>
      <c r="Z105" s="899"/>
    </row>
    <row r="106" spans="12:26" x14ac:dyDescent="0.25">
      <c r="L106" s="357"/>
      <c r="M106" s="357"/>
      <c r="N106" s="357"/>
      <c r="O106" s="357"/>
      <c r="P106" s="357"/>
      <c r="Q106" s="357"/>
      <c r="R106" s="357"/>
      <c r="S106" s="670"/>
      <c r="T106" s="670"/>
      <c r="U106" s="899"/>
      <c r="V106" s="899"/>
      <c r="W106" s="899"/>
      <c r="X106" s="899"/>
      <c r="Y106" s="899"/>
      <c r="Z106" s="899"/>
    </row>
    <row r="107" spans="12:26" x14ac:dyDescent="0.25">
      <c r="N107" s="357"/>
      <c r="O107" s="357"/>
      <c r="P107" s="357"/>
      <c r="Q107" s="357"/>
      <c r="R107" s="357"/>
      <c r="S107" s="670"/>
      <c r="T107" s="670"/>
      <c r="U107" s="899"/>
      <c r="V107" s="899"/>
      <c r="W107" s="899"/>
      <c r="X107" s="899"/>
      <c r="Y107" s="899"/>
      <c r="Z107" s="899"/>
    </row>
    <row r="108" spans="12:26" x14ac:dyDescent="0.25">
      <c r="N108" s="357"/>
      <c r="O108" s="357"/>
      <c r="P108" s="357"/>
      <c r="Q108" s="357"/>
      <c r="R108" s="357"/>
      <c r="S108" s="670"/>
      <c r="T108" s="670"/>
      <c r="U108" s="899"/>
      <c r="V108" s="899"/>
      <c r="W108" s="899"/>
      <c r="X108" s="899"/>
    </row>
    <row r="411" hidden="1" x14ac:dyDescent="0.25"/>
  </sheetData>
  <protectedRanges>
    <protectedRange sqref="B22 J21:K26 E21:E24" name="Range2"/>
    <protectedRange sqref="L1:AA1 AB17:XFD19 A1:K2 AB1:XFD2 A25:K407 L28:AA32 A18:K20 L33:Y33 L25:AA27 Z33:AA37 L66:O67 L34:O65 L68:O68 L70:L415 M69:O70 P69:Y70 AB24:XFD71 Z69:AA70 Z77:AA414 AC72:XFD406 N71:AA72 M71:M415 N73:AA73 Y74:AA76 Y77:Y416 N74:X417 AB72:AB412 Z38:AA68 P34:Y68" name="Range1"/>
    <protectedRange sqref="C11:C13 F5:F6 A14:A17" name="Range2_1"/>
    <protectedRange sqref="A5:B7 H11:H12 G5:I8 C5:D8 A3:K4 C10:E10 A8:A10 D11:E13 G11:G13 C9:K9 G10:K10 I11:K13 AB3:XFD16 K14:K17 B14:I17" name="Range1_1"/>
    <protectedRange sqref="Z24:AA24 Z2:AA8" name="Blank"/>
    <protectedRange sqref="N21 L21 T21 L23:AA23" name="Blank_1"/>
  </protectedRanges>
  <mergeCells count="68">
    <mergeCell ref="O74:AA75"/>
    <mergeCell ref="O77:AA79"/>
    <mergeCell ref="M69:N70"/>
    <mergeCell ref="O67:AA68"/>
    <mergeCell ref="M67:N68"/>
    <mergeCell ref="O69:AA70"/>
    <mergeCell ref="O72:AA73"/>
    <mergeCell ref="L55:AA56"/>
    <mergeCell ref="O61:AA65"/>
    <mergeCell ref="M61:N64"/>
    <mergeCell ref="M46:AA47"/>
    <mergeCell ref="L39:AA40"/>
    <mergeCell ref="L42:AA43"/>
    <mergeCell ref="M44:AA45"/>
    <mergeCell ref="L32:AA33"/>
    <mergeCell ref="L21:M22"/>
    <mergeCell ref="N21:S22"/>
    <mergeCell ref="T21:AA22"/>
    <mergeCell ref="L15:M16"/>
    <mergeCell ref="N15:S16"/>
    <mergeCell ref="T15:W16"/>
    <mergeCell ref="X15:AA16"/>
    <mergeCell ref="L17:M20"/>
    <mergeCell ref="N17:S20"/>
    <mergeCell ref="T17:W20"/>
    <mergeCell ref="X17:AA20"/>
    <mergeCell ref="L11:M12"/>
    <mergeCell ref="N11:S12"/>
    <mergeCell ref="T11:AA12"/>
    <mergeCell ref="L13:M14"/>
    <mergeCell ref="N13:S14"/>
    <mergeCell ref="T13:W14"/>
    <mergeCell ref="X13:AA14"/>
    <mergeCell ref="L2:AA2"/>
    <mergeCell ref="L3:AA4"/>
    <mergeCell ref="L6:AA7"/>
    <mergeCell ref="L9:M10"/>
    <mergeCell ref="N9:S10"/>
    <mergeCell ref="T9:AA10"/>
    <mergeCell ref="B2:J2"/>
    <mergeCell ref="B18:I18"/>
    <mergeCell ref="E19:F19"/>
    <mergeCell ref="G19:H19"/>
    <mergeCell ref="B22:D22"/>
    <mergeCell ref="B3:I3"/>
    <mergeCell ref="C5:D5"/>
    <mergeCell ref="C6:D6"/>
    <mergeCell ref="C7:D7"/>
    <mergeCell ref="C8:D8"/>
    <mergeCell ref="B25:D25"/>
    <mergeCell ref="B26:I26"/>
    <mergeCell ref="B27:I27"/>
    <mergeCell ref="B29:B30"/>
    <mergeCell ref="C29:C30"/>
    <mergeCell ref="D29:D30"/>
    <mergeCell ref="E29:E30"/>
    <mergeCell ref="F29:F30"/>
    <mergeCell ref="G29:G30"/>
    <mergeCell ref="H29:H30"/>
    <mergeCell ref="I29:I30"/>
    <mergeCell ref="B76:E76"/>
    <mergeCell ref="F76:G76"/>
    <mergeCell ref="J29:J30"/>
    <mergeCell ref="J31:J32"/>
    <mergeCell ref="G47:I47"/>
    <mergeCell ref="B74:E74"/>
    <mergeCell ref="F74:I75"/>
    <mergeCell ref="B75:E75"/>
  </mergeCells>
  <conditionalFormatting sqref="E23:E24">
    <cfRule type="containsBlanks" dxfId="36" priority="9">
      <formula>LEN(TRIM(E23))=0</formula>
    </cfRule>
  </conditionalFormatting>
  <conditionalFormatting sqref="G34:G41 G43:G45">
    <cfRule type="cellIs" dxfId="35" priority="6" operator="equal">
      <formula>0</formula>
    </cfRule>
  </conditionalFormatting>
  <conditionalFormatting sqref="G48:G72">
    <cfRule type="cellIs" dxfId="34" priority="7" operator="equal">
      <formula>0</formula>
    </cfRule>
  </conditionalFormatting>
  <conditionalFormatting sqref="L24">
    <cfRule type="expression" dxfId="33" priority="2">
      <formula>AND(OR(#REF!="Choose Y/N",#REF!="No"),OR(#REF!="Choose Y/N",#REF!="No"))</formula>
    </cfRule>
  </conditionalFormatting>
  <conditionalFormatting sqref="O24:S24">
    <cfRule type="expression" dxfId="32" priority="1">
      <formula>AND(OR(#REF!="Choose Y/N",#REF!="No"),OR(#REF!="Choose Y/N",#REF!="No"))</formula>
    </cfRule>
  </conditionalFormatting>
  <dataValidations count="4">
    <dataValidation allowBlank="1" showErrorMessage="1" sqref="B23:D32 E21:I32 B21:D21" xr:uid="{00000000-0002-0000-0500-000000000000}"/>
    <dataValidation type="list" allowBlank="1" showInputMessage="1" showErrorMessage="1" sqref="G8" xr:uid="{2D4BB599-2014-45A5-B138-CCDF1DDF6C42}">
      <formula1>"Choose one, Tier 1, Tier 2, Tier 3, Tier 4, other"</formula1>
    </dataValidation>
    <dataValidation type="list" allowBlank="1" showInputMessage="1" showErrorMessage="1" sqref="B16" xr:uid="{32C58D40-21B0-450A-8C4A-C98FF1E7CDBD}">
      <formula1>"Choose one, Yes - NSPS, Yes - NESHAP, No"</formula1>
    </dataValidation>
    <dataValidation type="list" allowBlank="1" showInputMessage="1" showErrorMessage="1" sqref="B11:B13" xr:uid="{24C06AA7-A1AE-48F0-B01A-474EA64297CD}">
      <formula1>"Choose one, Yes, No"</formula1>
    </dataValidation>
  </dataValidations>
  <hyperlinks>
    <hyperlink ref="I42" r:id="rId1" xr:uid="{00000000-0004-0000-0500-000000000000}"/>
    <hyperlink ref="F76:G76" r:id="rId2" display="Minn. R. 7007.1300, subp. 3(I)" xr:uid="{00000000-0004-0000-0500-000001000000}"/>
    <hyperlink ref="N15:S16" r:id="rId3" display="https://www.ecfr.gov/cgi-bin/text-idx?SID=4e15dfbee32ab71c4b44aecaaece2742&amp;mc=true&amp;node=sp40.15.63.zzzz&amp;rgn=div6" xr:uid="{F1AAF10D-988D-4002-8B6C-08EA5FFA0D87}"/>
    <hyperlink ref="T15:W16" r:id="rId4" display="https://www.ecfr.gov/cgi-bin/text-idx?node=sp40.7.60.iiii" xr:uid="{920DE3B3-27C1-4880-A886-B1F6F2310473}"/>
    <hyperlink ref="X15:AA16" r:id="rId5" display="https://www.ecfr.gov/cgi-bin/retrieveECFR?gp=&amp;SID=87f74a3ea24524bcc9d1bb68983d5d72&amp;mc=true&amp;r=SUBPART&amp;n=sp40.8.60.jjjj" xr:uid="{B87C8F2F-D32A-4F66-9421-B9AB225C38F8}"/>
    <hyperlink ref="N17" r:id="rId6" xr:uid="{294F8080-0DCF-4CF5-84FA-01B88D765EAF}"/>
    <hyperlink ref="O24" r:id="rId7" xr:uid="{77D95767-A1A0-4505-B2EB-E37AB00DB4E6}"/>
  </hyperlinks>
  <pageMargins left="0.25" right="0.25" top="0.5" bottom="0.5" header="0.3" footer="0.3"/>
  <pageSetup scale="83" orientation="landscape" r:id="rId8"/>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1" manualBreakCount="1">
    <brk id="46" min="1" max="10" man="1"/>
  </rowBreaks>
  <extLs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correct Entry" error="Please choose from the drop down list._x000a__x000a_----&gt; Press CANCEL" xr:uid="{00000000-0002-0000-0500-000003000000}">
          <x14:formula1>
            <xm:f>'Data Validation Generator'!$A$6:$A$13</xm:f>
          </x14:formula1>
          <xm:sqref>E19:F19</xm:sqref>
        </x14:dataValidation>
        <x14:dataValidation type="list" allowBlank="1" showErrorMessage="1" xr:uid="{00000000-0002-0000-0500-000001000000}">
          <x14:formula1>
            <xm:f>'Data Validation Generator'!$B$5:$B$7</xm:f>
          </x14:formula1>
          <xm:sqref>B22:D22</xm:sqref>
        </x14:dataValidation>
        <x14:dataValidation type="list" errorStyle="information" allowBlank="1" showInputMessage="1" showErrorMessage="1" errorTitle="Incorrect Entry" error="Please choose from the drop down list._x000a__x000a_----&gt; Press CANCEL" xr:uid="{00000000-0002-0000-0500-000002000000}">
          <x14:formula1>
            <xm:f>'Data Validation Generator'!$A$17:$A$19</xm:f>
          </x14:formula1>
          <xm:sqref>E20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D1EAFF"/>
    <pageSetUpPr fitToPage="1"/>
  </sheetPr>
  <dimension ref="A1:Q54"/>
  <sheetViews>
    <sheetView showGridLines="0" zoomScaleNormal="100" zoomScaleSheetLayoutView="100" zoomScalePageLayoutView="85" workbookViewId="0">
      <selection activeCell="G7" sqref="G7"/>
    </sheetView>
  </sheetViews>
  <sheetFormatPr defaultColWidth="9.42578125" defaultRowHeight="15" x14ac:dyDescent="0.25"/>
  <cols>
    <col min="1" max="1" width="5.42578125" style="2" customWidth="1"/>
    <col min="2" max="2" width="14.42578125" style="2" customWidth="1"/>
    <col min="3" max="3" width="9" style="2" customWidth="1"/>
    <col min="4" max="4" width="17.5703125" style="2" customWidth="1"/>
    <col min="5" max="6" width="19.5703125" style="2" customWidth="1"/>
    <col min="7" max="9" width="17.5703125" style="2" customWidth="1"/>
    <col min="10" max="10" width="15.5703125" style="2" customWidth="1"/>
    <col min="11" max="11" width="8.5703125"/>
    <col min="12" max="17" width="15" style="2" customWidth="1"/>
    <col min="18" max="16384" width="9.42578125" style="2"/>
  </cols>
  <sheetData>
    <row r="1" spans="2:17" x14ac:dyDescent="0.25">
      <c r="B1" s="670"/>
      <c r="C1" s="670"/>
      <c r="D1" s="670"/>
      <c r="E1" s="670"/>
      <c r="F1" s="670"/>
      <c r="G1" s="670"/>
      <c r="H1" s="670"/>
      <c r="I1" s="671" t="str">
        <f>Instructions!$H$2</f>
        <v>p-sbap5-20  •  7/28/2025</v>
      </c>
      <c r="J1" s="670"/>
    </row>
    <row r="2" spans="2:17" s="229" customFormat="1" ht="21" customHeight="1" thickBot="1" x14ac:dyDescent="0.35">
      <c r="B2" s="920" t="s">
        <v>168</v>
      </c>
      <c r="C2" s="920"/>
      <c r="D2" s="920"/>
      <c r="E2" s="920"/>
      <c r="F2" s="920"/>
      <c r="G2" s="920"/>
      <c r="H2" s="920"/>
      <c r="I2" s="920"/>
      <c r="J2" s="920"/>
      <c r="K2" s="230"/>
      <c r="L2" s="1103" t="s">
        <v>474</v>
      </c>
      <c r="M2" s="1103"/>
      <c r="N2" s="1103"/>
      <c r="O2" s="1103"/>
      <c r="P2" s="1103"/>
      <c r="Q2" s="1103"/>
    </row>
    <row r="3" spans="2:17" s="26" customFormat="1" ht="15" customHeight="1" x14ac:dyDescent="0.2">
      <c r="B3" s="1060" t="s">
        <v>105</v>
      </c>
      <c r="C3" s="1060"/>
      <c r="D3" s="1060"/>
      <c r="E3" s="1060"/>
      <c r="F3" s="1060"/>
      <c r="G3" s="1060"/>
      <c r="H3" s="1060"/>
      <c r="I3" s="1060"/>
      <c r="J3" s="13"/>
      <c r="K3" s="231"/>
      <c r="L3" s="1104" t="s">
        <v>475</v>
      </c>
      <c r="M3" s="1104"/>
      <c r="N3" s="1104" t="s">
        <v>485</v>
      </c>
      <c r="O3" s="1104"/>
      <c r="P3" s="1104" t="s">
        <v>486</v>
      </c>
      <c r="Q3" s="1104"/>
    </row>
    <row r="4" spans="2:17" s="26" customFormat="1" ht="15" customHeight="1" x14ac:dyDescent="0.2">
      <c r="B4" s="1060"/>
      <c r="C4" s="1060"/>
      <c r="D4" s="1060"/>
      <c r="E4" s="1060"/>
      <c r="F4" s="1060"/>
      <c r="G4" s="1060"/>
      <c r="H4" s="1060"/>
      <c r="I4" s="1060"/>
      <c r="J4" s="13"/>
      <c r="K4" s="231"/>
      <c r="L4" s="1105"/>
      <c r="M4" s="1105"/>
      <c r="N4" s="1105"/>
      <c r="O4" s="1105"/>
      <c r="P4" s="1105"/>
      <c r="Q4" s="1105"/>
    </row>
    <row r="5" spans="2:17" s="26" customFormat="1" ht="15" customHeight="1" x14ac:dyDescent="0.2">
      <c r="B5" s="1110" t="s">
        <v>473</v>
      </c>
      <c r="C5" s="1110"/>
      <c r="D5" s="1110"/>
      <c r="E5" s="1110"/>
      <c r="F5" s="1110"/>
      <c r="G5" s="1110"/>
      <c r="H5" s="1110"/>
      <c r="I5" s="1110"/>
      <c r="J5" s="13"/>
      <c r="K5" s="231"/>
      <c r="L5" s="1098" t="s">
        <v>476</v>
      </c>
      <c r="M5" s="1099"/>
      <c r="N5" s="1099" t="s">
        <v>477</v>
      </c>
      <c r="O5" s="1099"/>
      <c r="P5" s="1099" t="s">
        <v>478</v>
      </c>
      <c r="Q5" s="1100"/>
    </row>
    <row r="6" spans="2:17" s="26" customFormat="1" ht="11.25" customHeight="1" x14ac:dyDescent="0.2">
      <c r="B6" s="1109"/>
      <c r="C6" s="1109"/>
      <c r="D6" s="1109"/>
      <c r="E6" s="1109"/>
      <c r="F6" s="1109"/>
      <c r="G6" s="1109"/>
      <c r="H6" s="1109"/>
      <c r="I6" s="1109"/>
      <c r="K6" s="231"/>
      <c r="L6" s="1098"/>
      <c r="M6" s="1099"/>
      <c r="N6" s="1099"/>
      <c r="O6" s="1099"/>
      <c r="P6" s="1099"/>
      <c r="Q6" s="1100"/>
    </row>
    <row r="7" spans="2:17" s="26" customFormat="1" ht="14.25" customHeight="1" x14ac:dyDescent="0.2">
      <c r="B7" s="1108" t="s">
        <v>231</v>
      </c>
      <c r="C7" s="1108"/>
      <c r="D7" s="1108"/>
      <c r="E7" s="1108"/>
      <c r="F7" s="1108"/>
      <c r="G7" s="132">
        <v>0</v>
      </c>
      <c r="H7" s="18" t="s">
        <v>104</v>
      </c>
      <c r="I7" s="363" t="s">
        <v>63</v>
      </c>
      <c r="J7" s="13"/>
      <c r="K7" s="231"/>
      <c r="L7" s="1098" t="s">
        <v>479</v>
      </c>
      <c r="M7" s="1099"/>
      <c r="N7" s="1099" t="s">
        <v>480</v>
      </c>
      <c r="O7" s="1099"/>
      <c r="P7" s="1099" t="s">
        <v>481</v>
      </c>
      <c r="Q7" s="1100"/>
    </row>
    <row r="8" spans="2:17" s="26" customFormat="1" ht="15" customHeight="1" x14ac:dyDescent="0.2">
      <c r="B8" s="989" t="s">
        <v>292</v>
      </c>
      <c r="C8" s="989"/>
      <c r="D8" s="989"/>
      <c r="E8" s="1061" t="s">
        <v>103</v>
      </c>
      <c r="F8" s="1062"/>
      <c r="G8" s="132">
        <v>0</v>
      </c>
      <c r="H8" s="905" t="str">
        <f>IF(E8='Data Validation'!D6,"",IF(E8='Data Validation'!D7,"hours/year",IF(E8='Data Validation'!D8,"cu ft/year")))</f>
        <v/>
      </c>
      <c r="I8" s="905"/>
      <c r="J8" s="13"/>
      <c r="K8" s="231"/>
      <c r="L8" s="1098"/>
      <c r="M8" s="1099"/>
      <c r="N8" s="1099"/>
      <c r="O8" s="1099"/>
      <c r="P8" s="1099"/>
      <c r="Q8" s="1100"/>
    </row>
    <row r="9" spans="2:17" s="26" customFormat="1" ht="15" customHeight="1" x14ac:dyDescent="0.2">
      <c r="B9" s="140"/>
      <c r="C9" s="140"/>
      <c r="D9" s="140"/>
      <c r="E9" s="140"/>
      <c r="F9" s="140"/>
      <c r="G9" s="140"/>
      <c r="H9" s="140"/>
      <c r="I9" s="140"/>
      <c r="J9" s="13"/>
      <c r="K9" s="231"/>
      <c r="L9" s="1098" t="s">
        <v>482</v>
      </c>
      <c r="M9" s="1099"/>
      <c r="N9" s="1099" t="s">
        <v>483</v>
      </c>
      <c r="O9" s="1099"/>
      <c r="P9" s="1101" t="s">
        <v>484</v>
      </c>
      <c r="Q9" s="1102"/>
    </row>
    <row r="10" spans="2:17" s="26" customFormat="1" ht="15" customHeight="1" thickBot="1" x14ac:dyDescent="0.25">
      <c r="B10" s="1006" t="s">
        <v>405</v>
      </c>
      <c r="C10" s="1006"/>
      <c r="D10" s="1006"/>
      <c r="E10" s="1006"/>
      <c r="F10" s="1006"/>
      <c r="G10" s="1006"/>
      <c r="H10" s="1006"/>
      <c r="I10" s="1006"/>
      <c r="J10" s="13"/>
      <c r="K10" s="231"/>
      <c r="L10" s="1098"/>
      <c r="M10" s="1099"/>
      <c r="N10" s="1099"/>
      <c r="O10" s="1099"/>
      <c r="P10" s="1101"/>
      <c r="Q10" s="1102"/>
    </row>
    <row r="11" spans="2:17" s="26" customFormat="1" ht="14.25" x14ac:dyDescent="0.2">
      <c r="B11" s="54"/>
      <c r="C11" s="55" t="s">
        <v>17</v>
      </c>
      <c r="D11" s="56" t="s">
        <v>18</v>
      </c>
      <c r="E11" s="56" t="s">
        <v>19</v>
      </c>
      <c r="F11" s="55" t="s">
        <v>20</v>
      </c>
      <c r="G11" s="55" t="s">
        <v>21</v>
      </c>
      <c r="H11" s="57"/>
      <c r="I11" s="58"/>
      <c r="J11" s="404"/>
      <c r="K11" s="231"/>
      <c r="L11" s="1098"/>
      <c r="M11" s="1099"/>
      <c r="N11" s="1099"/>
      <c r="O11" s="1099"/>
      <c r="P11" s="1101"/>
      <c r="Q11" s="1102"/>
    </row>
    <row r="12" spans="2:17" s="26" customFormat="1" ht="26.45" customHeight="1" x14ac:dyDescent="0.2">
      <c r="B12" s="59" t="s">
        <v>23</v>
      </c>
      <c r="C12" s="60" t="s">
        <v>358</v>
      </c>
      <c r="D12" s="61" t="s">
        <v>491</v>
      </c>
      <c r="E12" s="61" t="s">
        <v>26</v>
      </c>
      <c r="F12" s="62" t="s">
        <v>24</v>
      </c>
      <c r="G12" s="62" t="s">
        <v>25</v>
      </c>
      <c r="H12" s="63" t="s">
        <v>27</v>
      </c>
      <c r="I12" s="64" t="s">
        <v>28</v>
      </c>
      <c r="J12" s="1050" t="s">
        <v>490</v>
      </c>
      <c r="K12" s="231"/>
      <c r="L12" s="13"/>
    </row>
    <row r="13" spans="2:17" s="26" customFormat="1" ht="14.25" x14ac:dyDescent="0.2">
      <c r="B13" s="65"/>
      <c r="C13" s="66"/>
      <c r="D13" s="67" t="s">
        <v>29</v>
      </c>
      <c r="E13" s="67" t="s">
        <v>32</v>
      </c>
      <c r="F13" s="68" t="s">
        <v>30</v>
      </c>
      <c r="G13" s="68" t="s">
        <v>31</v>
      </c>
      <c r="H13" s="69" t="s">
        <v>33</v>
      </c>
      <c r="I13" s="70" t="s">
        <v>34</v>
      </c>
      <c r="J13" s="1050" t="s">
        <v>34</v>
      </c>
      <c r="K13" s="46"/>
    </row>
    <row r="14" spans="2:17" s="46" customFormat="1" ht="12" customHeight="1" x14ac:dyDescent="0.2">
      <c r="B14" s="234"/>
      <c r="C14" s="235"/>
      <c r="D14" s="236" t="s">
        <v>516</v>
      </c>
      <c r="E14" s="237"/>
      <c r="F14" s="238" t="s">
        <v>35</v>
      </c>
      <c r="G14" s="238"/>
      <c r="H14" s="239" t="s">
        <v>96</v>
      </c>
      <c r="I14" s="240" t="s">
        <v>320</v>
      </c>
      <c r="J14" s="1051"/>
      <c r="K14" s="155"/>
    </row>
    <row r="15" spans="2:17" s="155" customFormat="1" ht="13.5" customHeight="1" thickBot="1" x14ac:dyDescent="0.25">
      <c r="B15" s="71"/>
      <c r="C15" s="72"/>
      <c r="D15" s="241">
        <f>G7/1050</f>
        <v>0</v>
      </c>
      <c r="E15" s="241">
        <f>IF(E8='Data Validation'!D6,0,IF($E$8='Data Validation'!D7,(D15*G8),IF($E$8='Data Validation'!D8,G8)))</f>
        <v>0</v>
      </c>
      <c r="F15" s="242">
        <v>8760</v>
      </c>
      <c r="G15" s="243" t="s">
        <v>59</v>
      </c>
      <c r="H15" s="170"/>
      <c r="I15" s="244"/>
      <c r="J15" s="1052"/>
      <c r="K15" s="231"/>
    </row>
    <row r="16" spans="2:17" s="26" customFormat="1" ht="15.75" x14ac:dyDescent="0.2">
      <c r="B16" s="245" t="s">
        <v>62</v>
      </c>
      <c r="C16" s="37"/>
      <c r="D16" s="218"/>
      <c r="E16" s="38"/>
      <c r="F16" s="225"/>
      <c r="G16" s="219"/>
      <c r="H16" s="220"/>
      <c r="I16" s="656" t="s">
        <v>70</v>
      </c>
      <c r="J16" s="408"/>
      <c r="K16" s="231"/>
    </row>
    <row r="17" spans="2:12" s="26" customFormat="1" ht="14.25" x14ac:dyDescent="0.2">
      <c r="B17" s="76" t="s">
        <v>36</v>
      </c>
      <c r="D17" s="77"/>
      <c r="E17" s="78"/>
      <c r="F17" s="79"/>
      <c r="G17" s="247">
        <v>7.6000000000000001E-6</v>
      </c>
      <c r="H17" s="81">
        <f t="shared" ref="H17:H24" si="0">$D$15*$F$15*$G17/2000</f>
        <v>0</v>
      </c>
      <c r="I17" s="82">
        <f>$E$15*$G17/2000</f>
        <v>0</v>
      </c>
      <c r="J17" s="409">
        <v>1</v>
      </c>
      <c r="K17" s="231"/>
    </row>
    <row r="18" spans="2:12" s="26" customFormat="1" ht="14.25" x14ac:dyDescent="0.2">
      <c r="B18" s="76" t="s">
        <v>37</v>
      </c>
      <c r="D18" s="77"/>
      <c r="E18" s="78"/>
      <c r="F18" s="79"/>
      <c r="G18" s="249">
        <f>G17</f>
        <v>7.6000000000000001E-6</v>
      </c>
      <c r="H18" s="83">
        <f t="shared" si="0"/>
        <v>0</v>
      </c>
      <c r="I18" s="82">
        <f t="shared" ref="I18:I24" si="1">$E$15*$G18/2000</f>
        <v>0</v>
      </c>
      <c r="J18" s="410">
        <v>1</v>
      </c>
      <c r="K18" s="231"/>
    </row>
    <row r="19" spans="2:12" s="26" customFormat="1" ht="14.25" x14ac:dyDescent="0.2">
      <c r="B19" s="76" t="s">
        <v>97</v>
      </c>
      <c r="D19" s="77"/>
      <c r="E19" s="78"/>
      <c r="F19" s="79"/>
      <c r="G19" s="249">
        <f>G18</f>
        <v>7.6000000000000001E-6</v>
      </c>
      <c r="H19" s="83">
        <f t="shared" si="0"/>
        <v>0</v>
      </c>
      <c r="I19" s="82">
        <f t="shared" si="1"/>
        <v>0</v>
      </c>
      <c r="J19" s="411"/>
      <c r="K19" s="231"/>
    </row>
    <row r="20" spans="2:12" s="26" customFormat="1" ht="14.25" x14ac:dyDescent="0.2">
      <c r="B20" s="76" t="s">
        <v>38</v>
      </c>
      <c r="D20" s="77"/>
      <c r="E20" s="78"/>
      <c r="F20" s="79"/>
      <c r="G20" s="249">
        <v>5.9999999999999997E-7</v>
      </c>
      <c r="H20" s="83">
        <f t="shared" si="0"/>
        <v>0</v>
      </c>
      <c r="I20" s="82">
        <f t="shared" si="1"/>
        <v>0</v>
      </c>
      <c r="J20" s="410">
        <v>1</v>
      </c>
      <c r="K20" s="231"/>
    </row>
    <row r="21" spans="2:12" s="26" customFormat="1" ht="14.25" x14ac:dyDescent="0.2">
      <c r="B21" s="76" t="s">
        <v>39</v>
      </c>
      <c r="D21" s="77"/>
      <c r="E21" s="78"/>
      <c r="F21" s="79"/>
      <c r="G21" s="249">
        <v>1E-4</v>
      </c>
      <c r="H21" s="83">
        <f t="shared" si="0"/>
        <v>0</v>
      </c>
      <c r="I21" s="82">
        <f t="shared" si="1"/>
        <v>0</v>
      </c>
      <c r="J21" s="410">
        <v>1</v>
      </c>
      <c r="K21" s="231"/>
    </row>
    <row r="22" spans="2:12" s="26" customFormat="1" ht="14.25" x14ac:dyDescent="0.2">
      <c r="B22" s="76" t="s">
        <v>40</v>
      </c>
      <c r="D22" s="77"/>
      <c r="E22" s="78"/>
      <c r="F22" s="79"/>
      <c r="G22" s="249">
        <v>5.4999999999999999E-6</v>
      </c>
      <c r="H22" s="83">
        <f t="shared" si="0"/>
        <v>0</v>
      </c>
      <c r="I22" s="82">
        <f t="shared" si="1"/>
        <v>0</v>
      </c>
      <c r="J22" s="410">
        <v>1</v>
      </c>
      <c r="K22" s="231"/>
    </row>
    <row r="23" spans="2:12" s="26" customFormat="1" ht="14.25" x14ac:dyDescent="0.2">
      <c r="B23" s="76" t="s">
        <v>41</v>
      </c>
      <c r="D23" s="77"/>
      <c r="E23" s="78"/>
      <c r="F23" s="79"/>
      <c r="G23" s="249">
        <v>8.3999999999999995E-5</v>
      </c>
      <c r="H23" s="83">
        <f t="shared" si="0"/>
        <v>0</v>
      </c>
      <c r="I23" s="82">
        <f t="shared" si="1"/>
        <v>0</v>
      </c>
      <c r="J23" s="410">
        <v>2</v>
      </c>
      <c r="K23" s="231"/>
    </row>
    <row r="24" spans="2:12" s="26" customFormat="1" thickBot="1" x14ac:dyDescent="0.25">
      <c r="B24" s="76" t="s">
        <v>42</v>
      </c>
      <c r="D24" s="77"/>
      <c r="E24" s="78"/>
      <c r="F24" s="79"/>
      <c r="G24" s="251">
        <v>5.0000000000000003E-10</v>
      </c>
      <c r="H24" s="95">
        <f t="shared" si="0"/>
        <v>0</v>
      </c>
      <c r="I24" s="82">
        <f t="shared" si="1"/>
        <v>0</v>
      </c>
      <c r="J24" s="412"/>
      <c r="K24" s="231"/>
    </row>
    <row r="25" spans="2:12" s="26" customFormat="1" x14ac:dyDescent="0.2">
      <c r="B25" s="1111" t="s">
        <v>61</v>
      </c>
      <c r="C25" s="1112"/>
      <c r="D25" s="1112"/>
      <c r="E25" s="1112"/>
      <c r="F25" s="1112"/>
      <c r="G25" s="219"/>
      <c r="H25" s="220"/>
      <c r="I25" s="656" t="s">
        <v>95</v>
      </c>
      <c r="J25" s="414"/>
      <c r="K25" s="231"/>
    </row>
    <row r="26" spans="2:12" s="26" customFormat="1" ht="15.75" x14ac:dyDescent="0.3">
      <c r="B26" s="89" t="s">
        <v>359</v>
      </c>
      <c r="C26" s="21">
        <v>1</v>
      </c>
      <c r="D26" s="90"/>
      <c r="E26" s="90"/>
      <c r="F26" s="90"/>
      <c r="G26" s="254">
        <f>53.06/1000000*1026/0.453592</f>
        <v>0.12001878340005998</v>
      </c>
      <c r="H26" s="81">
        <f>$D$15*$F$15*$G26/2000</f>
        <v>0</v>
      </c>
      <c r="I26" s="82">
        <f>$E$15*$G26/2000</f>
        <v>0</v>
      </c>
      <c r="J26" s="415"/>
      <c r="K26" s="231"/>
    </row>
    <row r="27" spans="2:12" s="26" customFormat="1" ht="15.75" x14ac:dyDescent="0.3">
      <c r="B27" s="89" t="s">
        <v>360</v>
      </c>
      <c r="C27" s="21">
        <v>25</v>
      </c>
      <c r="D27" s="90"/>
      <c r="E27" s="90"/>
      <c r="F27" s="90"/>
      <c r="G27" s="255">
        <f>(10^-3)/(10^6)*1026/0.453592</f>
        <v>2.2619446551085559E-6</v>
      </c>
      <c r="H27" s="83">
        <f>$D$15*$F$15*$G27/2000</f>
        <v>0</v>
      </c>
      <c r="I27" s="82">
        <f t="shared" ref="I27:I28" si="2">$E$15*$G27/2000</f>
        <v>0</v>
      </c>
      <c r="J27" s="415"/>
      <c r="K27" s="231"/>
    </row>
    <row r="28" spans="2:12" s="26" customFormat="1" ht="15.75" x14ac:dyDescent="0.3">
      <c r="B28" s="89" t="s">
        <v>361</v>
      </c>
      <c r="C28" s="21">
        <v>298</v>
      </c>
      <c r="D28" s="90"/>
      <c r="E28" s="90"/>
      <c r="F28" s="90"/>
      <c r="G28" s="255">
        <f>(10^-4)/(10^6)*1026/0.453592</f>
        <v>2.2619446551085559E-7</v>
      </c>
      <c r="H28" s="83">
        <f>$D$15*$F$15*$G28/2000</f>
        <v>0</v>
      </c>
      <c r="I28" s="82">
        <f t="shared" si="2"/>
        <v>0</v>
      </c>
      <c r="J28" s="416"/>
      <c r="K28" s="231"/>
    </row>
    <row r="29" spans="2:12" s="26" customFormat="1" ht="16.5" thickBot="1" x14ac:dyDescent="0.25">
      <c r="B29" s="102"/>
      <c r="C29" s="103"/>
      <c r="D29" s="103"/>
      <c r="E29" s="103"/>
      <c r="F29" s="104" t="s">
        <v>489</v>
      </c>
      <c r="G29" s="105"/>
      <c r="H29" s="136">
        <f>(C26*H26)+(C27*H27)+(C28*H28)</f>
        <v>0</v>
      </c>
      <c r="I29" s="137">
        <f>(C26*I26)+(C27*I27)+(C28*I28)</f>
        <v>0</v>
      </c>
      <c r="J29" s="417">
        <v>1000</v>
      </c>
      <c r="K29" s="231"/>
      <c r="L29" s="257"/>
    </row>
    <row r="30" spans="2:12" s="26" customFormat="1" ht="15" customHeight="1" x14ac:dyDescent="0.2">
      <c r="B30" s="1111" t="s">
        <v>60</v>
      </c>
      <c r="C30" s="1112"/>
      <c r="D30" s="1112"/>
      <c r="E30" s="1112"/>
      <c r="F30" s="1112"/>
      <c r="G30" s="219"/>
      <c r="H30" s="220"/>
      <c r="I30" s="656" t="s">
        <v>58</v>
      </c>
      <c r="J30" s="259"/>
      <c r="K30" s="231"/>
    </row>
    <row r="31" spans="2:12" s="26" customFormat="1" ht="14.25" x14ac:dyDescent="0.2">
      <c r="B31" s="76" t="s">
        <v>43</v>
      </c>
      <c r="G31" s="260">
        <f>0.0021/10^6</f>
        <v>2.0999999999999998E-9</v>
      </c>
      <c r="H31" s="261">
        <f t="shared" ref="H31:H44" si="3">$D$15*$F$15*$G31/2000</f>
        <v>0</v>
      </c>
      <c r="I31" s="101">
        <f t="shared" ref="I31:I44" si="4">$E$15*$G31/2000</f>
        <v>0</v>
      </c>
      <c r="J31" s="262"/>
      <c r="K31" s="231"/>
    </row>
    <row r="32" spans="2:12" s="26" customFormat="1" ht="15" customHeight="1" x14ac:dyDescent="0.2">
      <c r="B32" s="76" t="s">
        <v>44</v>
      </c>
      <c r="G32" s="263">
        <f>0.075/10^6</f>
        <v>7.4999999999999997E-8</v>
      </c>
      <c r="H32" s="91">
        <f t="shared" si="3"/>
        <v>0</v>
      </c>
      <c r="I32" s="101">
        <f t="shared" si="4"/>
        <v>0</v>
      </c>
      <c r="J32" s="262"/>
      <c r="K32" s="231"/>
    </row>
    <row r="33" spans="1:11" s="26" customFormat="1" ht="15" customHeight="1" x14ac:dyDescent="0.2">
      <c r="B33" s="76" t="s">
        <v>45</v>
      </c>
      <c r="G33" s="263">
        <f>1.8/1000000</f>
        <v>1.8000000000000001E-6</v>
      </c>
      <c r="H33" s="91">
        <f t="shared" si="3"/>
        <v>0</v>
      </c>
      <c r="I33" s="101">
        <f t="shared" si="4"/>
        <v>0</v>
      </c>
      <c r="J33" s="262"/>
      <c r="K33" s="231"/>
    </row>
    <row r="34" spans="1:11" s="26" customFormat="1" ht="14.25" x14ac:dyDescent="0.2">
      <c r="B34" s="76" t="s">
        <v>46</v>
      </c>
      <c r="G34" s="264">
        <v>6.0999999999999996E-10</v>
      </c>
      <c r="H34" s="91">
        <f t="shared" si="3"/>
        <v>0</v>
      </c>
      <c r="I34" s="101">
        <f t="shared" si="4"/>
        <v>0</v>
      </c>
      <c r="J34" s="262"/>
      <c r="K34" s="231"/>
    </row>
    <row r="35" spans="1:11" s="26" customFormat="1" ht="15.95" customHeight="1" x14ac:dyDescent="0.2">
      <c r="B35" s="265" t="s">
        <v>47</v>
      </c>
      <c r="C35" s="266"/>
      <c r="D35" s="266"/>
      <c r="E35" s="266"/>
      <c r="F35" s="266"/>
      <c r="G35" s="267">
        <v>3.3999999999999998E-9</v>
      </c>
      <c r="H35" s="91">
        <f t="shared" si="3"/>
        <v>0</v>
      </c>
      <c r="I35" s="101">
        <f t="shared" si="4"/>
        <v>0</v>
      </c>
      <c r="J35" s="262"/>
      <c r="K35" s="231"/>
    </row>
    <row r="36" spans="1:11" s="26" customFormat="1" ht="14.25" x14ac:dyDescent="0.2">
      <c r="B36" s="76" t="s">
        <v>48</v>
      </c>
      <c r="G36" s="268">
        <v>2.0000000000000001E-10</v>
      </c>
      <c r="H36" s="91">
        <f t="shared" si="3"/>
        <v>0</v>
      </c>
      <c r="I36" s="101">
        <f t="shared" si="4"/>
        <v>0</v>
      </c>
      <c r="J36" s="262"/>
      <c r="K36" s="231"/>
    </row>
    <row r="37" spans="1:11" s="26" customFormat="1" ht="14.25" x14ac:dyDescent="0.2">
      <c r="B37" s="76" t="s">
        <v>49</v>
      </c>
      <c r="G37" s="269">
        <v>1.2000000000000001E-11</v>
      </c>
      <c r="H37" s="91">
        <f t="shared" si="3"/>
        <v>0</v>
      </c>
      <c r="I37" s="101">
        <f t="shared" si="4"/>
        <v>0</v>
      </c>
      <c r="J37" s="262"/>
      <c r="K37" s="231"/>
    </row>
    <row r="38" spans="1:11" s="26" customFormat="1" ht="14.25" x14ac:dyDescent="0.2">
      <c r="B38" s="76" t="s">
        <v>50</v>
      </c>
      <c r="G38" s="270">
        <v>1.0999999999999999E-9</v>
      </c>
      <c r="H38" s="91">
        <f t="shared" si="3"/>
        <v>0</v>
      </c>
      <c r="I38" s="101">
        <f t="shared" si="4"/>
        <v>0</v>
      </c>
      <c r="J38" s="262"/>
      <c r="K38" s="231"/>
    </row>
    <row r="39" spans="1:11" s="26" customFormat="1" ht="15" customHeight="1" x14ac:dyDescent="0.2">
      <c r="B39" s="76" t="s">
        <v>51</v>
      </c>
      <c r="C39" s="271"/>
      <c r="D39" s="271"/>
      <c r="E39" s="271"/>
      <c r="F39" s="271"/>
      <c r="G39" s="270">
        <v>1.3999999999999999E-9</v>
      </c>
      <c r="H39" s="91">
        <f t="shared" si="3"/>
        <v>0</v>
      </c>
      <c r="I39" s="101">
        <f t="shared" si="4"/>
        <v>0</v>
      </c>
      <c r="J39" s="262"/>
      <c r="K39" s="231"/>
    </row>
    <row r="40" spans="1:11" s="26" customFormat="1" ht="14.25" x14ac:dyDescent="0.2">
      <c r="B40" s="76" t="s">
        <v>52</v>
      </c>
      <c r="G40" s="269">
        <v>8.3999999999999994E-11</v>
      </c>
      <c r="H40" s="91">
        <f t="shared" si="3"/>
        <v>0</v>
      </c>
      <c r="I40" s="101">
        <f t="shared" si="4"/>
        <v>0</v>
      </c>
      <c r="J40" s="262"/>
      <c r="K40" s="231"/>
    </row>
    <row r="41" spans="1:11" s="26" customFormat="1" ht="14.25" x14ac:dyDescent="0.2">
      <c r="B41" s="76" t="s">
        <v>53</v>
      </c>
      <c r="G41" s="264">
        <v>3.7999999999999998E-10</v>
      </c>
      <c r="H41" s="91">
        <f t="shared" si="3"/>
        <v>0</v>
      </c>
      <c r="I41" s="101">
        <f t="shared" si="4"/>
        <v>0</v>
      </c>
      <c r="J41" s="262"/>
      <c r="K41" s="231"/>
    </row>
    <row r="42" spans="1:11" s="26" customFormat="1" ht="14.25" x14ac:dyDescent="0.2">
      <c r="B42" s="76" t="s">
        <v>54</v>
      </c>
      <c r="G42" s="264">
        <v>2.5999999999999998E-10</v>
      </c>
      <c r="H42" s="91">
        <f t="shared" si="3"/>
        <v>0</v>
      </c>
      <c r="I42" s="101">
        <f t="shared" si="4"/>
        <v>0</v>
      </c>
      <c r="J42" s="262"/>
      <c r="K42" s="271"/>
    </row>
    <row r="43" spans="1:11" s="271" customFormat="1" ht="14.25" x14ac:dyDescent="0.2">
      <c r="B43" s="76" t="s">
        <v>55</v>
      </c>
      <c r="C43" s="26"/>
      <c r="D43" s="26"/>
      <c r="E43" s="26"/>
      <c r="F43" s="26"/>
      <c r="G43" s="270">
        <v>2.1000000000000002E-9</v>
      </c>
      <c r="H43" s="91">
        <f t="shared" si="3"/>
        <v>0</v>
      </c>
      <c r="I43" s="101">
        <f t="shared" si="4"/>
        <v>0</v>
      </c>
      <c r="J43" s="262"/>
      <c r="K43" s="231"/>
    </row>
    <row r="44" spans="1:11" s="26" customFormat="1" ht="14.25" x14ac:dyDescent="0.2">
      <c r="B44" s="272" t="s">
        <v>56</v>
      </c>
      <c r="C44" s="273"/>
      <c r="D44" s="273"/>
      <c r="E44" s="273"/>
      <c r="F44" s="273"/>
      <c r="G44" s="269">
        <v>2.4000000000000001E-11</v>
      </c>
      <c r="H44" s="91">
        <f t="shared" si="3"/>
        <v>0</v>
      </c>
      <c r="I44" s="101">
        <f t="shared" si="4"/>
        <v>0</v>
      </c>
      <c r="J44" s="262"/>
      <c r="K44" s="231"/>
    </row>
    <row r="45" spans="1:11" s="26" customFormat="1" thickBot="1" x14ac:dyDescent="0.25">
      <c r="B45" s="102"/>
      <c r="C45" s="103"/>
      <c r="D45" s="85"/>
      <c r="E45" s="85"/>
      <c r="F45" s="274" t="s">
        <v>57</v>
      </c>
      <c r="G45" s="275"/>
      <c r="H45" s="276">
        <f>SUM(H31:H44)</f>
        <v>0</v>
      </c>
      <c r="I45" s="277">
        <f>SUM(I31:I44)</f>
        <v>0</v>
      </c>
      <c r="J45" s="278"/>
      <c r="K45" s="231"/>
    </row>
    <row r="46" spans="1:11" s="26" customFormat="1" ht="14.25" x14ac:dyDescent="0.2">
      <c r="B46" s="1055" t="s">
        <v>362</v>
      </c>
      <c r="C46" s="1055"/>
      <c r="D46" s="1055"/>
      <c r="E46" s="1055"/>
      <c r="F46" s="1055"/>
      <c r="G46" s="1055"/>
      <c r="H46" s="1055"/>
      <c r="I46" s="1055"/>
      <c r="J46" s="474"/>
      <c r="K46" s="475"/>
    </row>
    <row r="47" spans="1:11" s="475" customFormat="1" ht="15" customHeight="1" x14ac:dyDescent="0.25">
      <c r="A47" s="140"/>
      <c r="B47" s="1106" t="s">
        <v>458</v>
      </c>
      <c r="C47" s="1106"/>
      <c r="D47" s="1106"/>
      <c r="E47" s="1106"/>
      <c r="F47" s="1106"/>
      <c r="G47" s="1106"/>
      <c r="H47" s="1106"/>
      <c r="I47" s="1106"/>
      <c r="J47" s="474"/>
      <c r="K47" s="421"/>
    </row>
    <row r="48" spans="1:11" s="475" customFormat="1" ht="15" customHeight="1" x14ac:dyDescent="0.2">
      <c r="A48" s="271"/>
      <c r="B48" s="1048" t="s">
        <v>487</v>
      </c>
      <c r="C48" s="1048"/>
      <c r="D48" s="1048"/>
      <c r="E48" s="1048"/>
      <c r="F48" s="1048"/>
      <c r="G48" s="1107" t="s">
        <v>460</v>
      </c>
      <c r="H48" s="1107"/>
      <c r="I48" s="233"/>
    </row>
    <row r="49" spans="1:11" s="475" customFormat="1" ht="15" customHeight="1" x14ac:dyDescent="0.2">
      <c r="A49" s="140"/>
      <c r="B49" s="279"/>
      <c r="C49" s="279"/>
      <c r="D49" s="279"/>
      <c r="E49" s="279"/>
      <c r="F49" s="140"/>
      <c r="G49" s="140"/>
      <c r="H49" s="140"/>
      <c r="I49" s="140"/>
      <c r="J49" s="140"/>
    </row>
    <row r="50" spans="1:11" s="475" customFormat="1" ht="15" customHeight="1" x14ac:dyDescent="0.25">
      <c r="A50" s="140"/>
      <c r="B50" s="1"/>
      <c r="C50" s="1"/>
      <c r="D50" s="1"/>
      <c r="E50" s="1"/>
      <c r="F50" s="1"/>
      <c r="G50" s="1"/>
      <c r="H50" s="1"/>
      <c r="I50" s="1"/>
      <c r="J50" s="2"/>
      <c r="K50"/>
    </row>
    <row r="51" spans="1:11" x14ac:dyDescent="0.25">
      <c r="B51" s="3"/>
      <c r="C51" s="3"/>
      <c r="D51" s="3"/>
      <c r="E51" s="3"/>
      <c r="F51" s="3"/>
      <c r="G51" s="3"/>
      <c r="H51" s="3"/>
      <c r="I51" s="3"/>
    </row>
    <row r="52" spans="1:11" x14ac:dyDescent="0.25">
      <c r="B52" s="3"/>
      <c r="C52" s="3"/>
      <c r="D52" s="3"/>
      <c r="E52" s="3"/>
      <c r="F52" s="3"/>
      <c r="G52" s="3"/>
      <c r="H52" s="3"/>
      <c r="I52" s="3"/>
    </row>
    <row r="53" spans="1:11" x14ac:dyDescent="0.25">
      <c r="B53" s="3"/>
      <c r="C53" s="3"/>
      <c r="D53" s="3"/>
      <c r="E53" s="3"/>
      <c r="F53" s="3"/>
      <c r="G53" s="3"/>
      <c r="H53" s="3"/>
      <c r="I53" s="3"/>
    </row>
    <row r="54" spans="1:11" x14ac:dyDescent="0.25">
      <c r="B54" s="3"/>
      <c r="C54" s="3"/>
      <c r="D54" s="3"/>
      <c r="E54" s="3"/>
      <c r="F54" s="3"/>
      <c r="G54" s="3"/>
      <c r="H54" s="3"/>
      <c r="I54" s="3"/>
    </row>
  </sheetData>
  <mergeCells count="30">
    <mergeCell ref="B47:I47"/>
    <mergeCell ref="B48:F48"/>
    <mergeCell ref="G48:H48"/>
    <mergeCell ref="B2:J2"/>
    <mergeCell ref="B7:F7"/>
    <mergeCell ref="B6:I6"/>
    <mergeCell ref="H8:I8"/>
    <mergeCell ref="B8:D8"/>
    <mergeCell ref="E8:F8"/>
    <mergeCell ref="B3:I4"/>
    <mergeCell ref="B5:I5"/>
    <mergeCell ref="J14:J15"/>
    <mergeCell ref="B25:F25"/>
    <mergeCell ref="B30:F30"/>
    <mergeCell ref="B10:I10"/>
    <mergeCell ref="B46:I46"/>
    <mergeCell ref="L2:Q2"/>
    <mergeCell ref="L3:M4"/>
    <mergeCell ref="N3:O4"/>
    <mergeCell ref="P3:Q4"/>
    <mergeCell ref="L5:M6"/>
    <mergeCell ref="N5:O6"/>
    <mergeCell ref="P5:Q6"/>
    <mergeCell ref="J12:J13"/>
    <mergeCell ref="L7:M8"/>
    <mergeCell ref="N7:O8"/>
    <mergeCell ref="P7:Q8"/>
    <mergeCell ref="L9:M11"/>
    <mergeCell ref="N9:O11"/>
    <mergeCell ref="P9:Q11"/>
  </mergeCells>
  <conditionalFormatting sqref="J3:J10 J30:J47 I48 J49:J1048576">
    <cfRule type="expression" priority="129">
      <formula>#REF!=8</formula>
    </cfRule>
  </conditionalFormatting>
  <dataValidations count="1">
    <dataValidation allowBlank="1" showInputMessage="1" showErrorMessage="1" promptTitle="Don't delete me!" prompt="This cell contains an equation." sqref="D15:E15" xr:uid="{00000000-0002-0000-0600-000000000000}"/>
  </dataValidations>
  <hyperlinks>
    <hyperlink ref="I30" r:id="rId1" xr:uid="{00000000-0004-0000-0600-000000000000}"/>
    <hyperlink ref="I25" r:id="rId2" xr:uid="{00000000-0004-0000-0600-000001000000}"/>
    <hyperlink ref="I16" r:id="rId3" xr:uid="{00000000-0004-0000-0600-000002000000}"/>
    <hyperlink ref="G48:H48" r:id="rId4" display="Minn. R. 7007.1300, subp. 3(I)" xr:uid="{00000000-0004-0000-0600-000003000000}"/>
  </hyperlinks>
  <pageMargins left="0.25" right="0.25" top="0.5" bottom="0.5" header="0.3" footer="0.3"/>
  <pageSetup scale="99" fitToHeight="0" orientation="landscape" r:id="rId5"/>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1" manualBreakCount="1">
    <brk id="29" min="1" max="8" man="1"/>
  </rowBreaks>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Incorrect Entry" error="Please choose from the drop down list." xr:uid="{00000000-0002-0000-0600-000001000000}">
          <x14:formula1>
            <xm:f>'Data Validation'!$D$6:$D$8</xm:f>
          </x14:formula1>
          <xm:sqref>E8:F8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D1EAFF"/>
    <pageSetUpPr fitToPage="1"/>
  </sheetPr>
  <dimension ref="A1:Q67"/>
  <sheetViews>
    <sheetView showGridLines="0" zoomScaleNormal="100" zoomScaleSheetLayoutView="100" zoomScalePageLayoutView="85" workbookViewId="0">
      <selection activeCell="G5" sqref="G5"/>
    </sheetView>
  </sheetViews>
  <sheetFormatPr defaultColWidth="9.42578125" defaultRowHeight="15" x14ac:dyDescent="0.25"/>
  <cols>
    <col min="1" max="1" width="5.42578125" style="2" customWidth="1"/>
    <col min="2" max="2" width="14.42578125" style="2" customWidth="1"/>
    <col min="3" max="3" width="9" style="2" customWidth="1"/>
    <col min="4" max="4" width="17.5703125" style="2" customWidth="1"/>
    <col min="5" max="6" width="19.5703125" style="2" customWidth="1"/>
    <col min="7" max="9" width="17.5703125" style="2" customWidth="1"/>
    <col min="10" max="10" width="15.5703125" style="2" customWidth="1"/>
    <col min="11" max="11" width="8.5703125"/>
    <col min="12" max="17" width="15" style="2" customWidth="1"/>
    <col min="18" max="16384" width="9.42578125" style="2"/>
  </cols>
  <sheetData>
    <row r="1" spans="2:17" x14ac:dyDescent="0.25">
      <c r="B1" s="670"/>
      <c r="C1" s="670"/>
      <c r="D1" s="670"/>
      <c r="E1" s="670"/>
      <c r="F1" s="670"/>
      <c r="G1" s="670"/>
      <c r="H1" s="670"/>
      <c r="I1" s="671" t="str">
        <f>Instructions!$H$2</f>
        <v>p-sbap5-20  •  7/28/2025</v>
      </c>
      <c r="J1" s="670"/>
    </row>
    <row r="2" spans="2:17" ht="19.7" customHeight="1" thickBot="1" x14ac:dyDescent="0.3">
      <c r="B2" s="920" t="s">
        <v>406</v>
      </c>
      <c r="C2" s="920"/>
      <c r="D2" s="920"/>
      <c r="E2" s="920"/>
      <c r="F2" s="920"/>
      <c r="G2" s="920"/>
      <c r="H2" s="920"/>
      <c r="I2" s="920"/>
      <c r="J2" s="920"/>
      <c r="L2" s="1103" t="s">
        <v>474</v>
      </c>
      <c r="M2" s="1103"/>
      <c r="N2" s="1103"/>
      <c r="O2" s="1103"/>
      <c r="P2" s="1103"/>
      <c r="Q2" s="1103"/>
    </row>
    <row r="3" spans="2:17" s="26" customFormat="1" ht="15.95" customHeight="1" x14ac:dyDescent="0.2">
      <c r="B3" s="1060" t="s">
        <v>106</v>
      </c>
      <c r="C3" s="1060"/>
      <c r="D3" s="1060"/>
      <c r="E3" s="1060"/>
      <c r="F3" s="1060"/>
      <c r="G3" s="1060"/>
      <c r="H3" s="1060"/>
      <c r="I3" s="1060"/>
      <c r="J3" s="13"/>
      <c r="K3" s="231"/>
      <c r="L3" s="1104" t="s">
        <v>475</v>
      </c>
      <c r="M3" s="1104"/>
      <c r="N3" s="1104" t="s">
        <v>485</v>
      </c>
      <c r="O3" s="1104"/>
      <c r="P3" s="1104" t="s">
        <v>486</v>
      </c>
      <c r="Q3" s="1104"/>
    </row>
    <row r="4" spans="2:17" s="26" customFormat="1" ht="15" customHeight="1" x14ac:dyDescent="0.2">
      <c r="B4" s="1060"/>
      <c r="C4" s="1060"/>
      <c r="D4" s="1060"/>
      <c r="E4" s="1060"/>
      <c r="F4" s="1060"/>
      <c r="G4" s="1060"/>
      <c r="H4" s="1060"/>
      <c r="I4" s="1060"/>
      <c r="J4" s="13"/>
      <c r="K4" s="231"/>
      <c r="L4" s="1105"/>
      <c r="M4" s="1105"/>
      <c r="N4" s="1105"/>
      <c r="O4" s="1105"/>
      <c r="P4" s="1105"/>
      <c r="Q4" s="1105"/>
    </row>
    <row r="5" spans="2:17" s="26" customFormat="1" ht="14.25" x14ac:dyDescent="0.2">
      <c r="B5" s="989" t="s">
        <v>169</v>
      </c>
      <c r="C5" s="989"/>
      <c r="D5" s="989"/>
      <c r="E5" s="989"/>
      <c r="F5" s="989"/>
      <c r="G5" s="132">
        <v>0</v>
      </c>
      <c r="H5" s="18" t="s">
        <v>104</v>
      </c>
      <c r="I5" s="363" t="s">
        <v>63</v>
      </c>
      <c r="J5" s="13"/>
      <c r="K5" s="231"/>
      <c r="L5" s="1098" t="s">
        <v>476</v>
      </c>
      <c r="M5" s="1099"/>
      <c r="N5" s="1099" t="s">
        <v>477</v>
      </c>
      <c r="O5" s="1099"/>
      <c r="P5" s="1099" t="s">
        <v>478</v>
      </c>
      <c r="Q5" s="1100"/>
    </row>
    <row r="6" spans="2:17" s="26" customFormat="1" ht="14.25" customHeight="1" x14ac:dyDescent="0.2">
      <c r="B6" s="989" t="s">
        <v>292</v>
      </c>
      <c r="C6" s="989"/>
      <c r="D6" s="989"/>
      <c r="E6" s="1116" t="s">
        <v>103</v>
      </c>
      <c r="F6" s="1116"/>
      <c r="G6" s="132">
        <v>0</v>
      </c>
      <c r="H6" s="18" t="str">
        <f>IF(E6='Data Validation'!D12," ",IF(E6='Data Validation'!D13,"hours/year",IF(E6='Data Validation'!D14,"gallons/year")))</f>
        <v xml:space="preserve"> </v>
      </c>
      <c r="I6" s="18"/>
      <c r="J6" s="13"/>
      <c r="K6" s="231"/>
      <c r="L6" s="1098"/>
      <c r="M6" s="1099"/>
      <c r="N6" s="1099"/>
      <c r="O6" s="1099"/>
      <c r="P6" s="1099"/>
      <c r="Q6" s="1100"/>
    </row>
    <row r="7" spans="2:17" s="26" customFormat="1" ht="15" customHeight="1" x14ac:dyDescent="0.2">
      <c r="B7" s="1115"/>
      <c r="C7" s="1115"/>
      <c r="D7" s="1115"/>
      <c r="E7" s="1115"/>
      <c r="F7" s="1115"/>
      <c r="G7" s="1115"/>
      <c r="H7" s="1115"/>
      <c r="I7" s="1115"/>
      <c r="J7" s="13"/>
      <c r="K7" s="231"/>
      <c r="L7" s="1098" t="s">
        <v>479</v>
      </c>
      <c r="M7" s="1099"/>
      <c r="N7" s="1099" t="s">
        <v>480</v>
      </c>
      <c r="O7" s="1099"/>
      <c r="P7" s="1099" t="s">
        <v>481</v>
      </c>
      <c r="Q7" s="1100"/>
    </row>
    <row r="8" spans="2:17" s="26" customFormat="1" ht="15" customHeight="1" x14ac:dyDescent="0.2">
      <c r="B8" s="1117" t="s">
        <v>492</v>
      </c>
      <c r="C8" s="1117"/>
      <c r="D8" s="1117"/>
      <c r="E8" s="1117"/>
      <c r="F8" s="1117"/>
      <c r="G8" s="280">
        <v>0.18</v>
      </c>
      <c r="H8" s="901" t="s">
        <v>107</v>
      </c>
      <c r="I8" s="901"/>
      <c r="J8" s="13"/>
      <c r="K8" s="231"/>
      <c r="L8" s="1098"/>
      <c r="M8" s="1099"/>
      <c r="N8" s="1099"/>
      <c r="O8" s="1099"/>
      <c r="P8" s="1099"/>
      <c r="Q8" s="1100"/>
    </row>
    <row r="9" spans="2:17" s="26" customFormat="1" ht="15" customHeight="1" x14ac:dyDescent="0.2">
      <c r="B9" s="140"/>
      <c r="C9" s="140"/>
      <c r="D9" s="140"/>
      <c r="E9" s="140"/>
      <c r="F9" s="140"/>
      <c r="G9" s="140"/>
      <c r="H9" s="140"/>
      <c r="I9" s="140"/>
      <c r="J9" s="13"/>
      <c r="K9" s="231"/>
      <c r="L9" s="1098" t="s">
        <v>482</v>
      </c>
      <c r="M9" s="1099"/>
      <c r="N9" s="1099" t="s">
        <v>483</v>
      </c>
      <c r="O9" s="1099"/>
      <c r="P9" s="1101" t="s">
        <v>484</v>
      </c>
      <c r="Q9" s="1102"/>
    </row>
    <row r="10" spans="2:17" s="26" customFormat="1" ht="15" customHeight="1" thickBot="1" x14ac:dyDescent="0.25">
      <c r="B10" s="1006" t="s">
        <v>407</v>
      </c>
      <c r="C10" s="1006"/>
      <c r="D10" s="1006"/>
      <c r="E10" s="1006"/>
      <c r="F10" s="1006"/>
      <c r="G10" s="1006"/>
      <c r="H10" s="1006"/>
      <c r="I10" s="1006"/>
      <c r="J10" s="13"/>
      <c r="K10" s="231"/>
      <c r="L10" s="1098"/>
      <c r="M10" s="1099"/>
      <c r="N10" s="1099"/>
      <c r="O10" s="1099"/>
      <c r="P10" s="1101"/>
      <c r="Q10" s="1102"/>
    </row>
    <row r="11" spans="2:17" s="26" customFormat="1" ht="14.25" x14ac:dyDescent="0.2">
      <c r="B11" s="54"/>
      <c r="C11" s="55" t="s">
        <v>17</v>
      </c>
      <c r="D11" s="55" t="s">
        <v>18</v>
      </c>
      <c r="E11" s="56" t="s">
        <v>19</v>
      </c>
      <c r="F11" s="281" t="s">
        <v>20</v>
      </c>
      <c r="G11" s="55" t="s">
        <v>21</v>
      </c>
      <c r="H11" s="57"/>
      <c r="I11" s="58"/>
      <c r="J11" s="232"/>
      <c r="K11" s="231"/>
      <c r="L11" s="1098"/>
      <c r="M11" s="1099"/>
      <c r="N11" s="1099"/>
      <c r="O11" s="1099"/>
      <c r="P11" s="1101"/>
      <c r="Q11" s="1102"/>
    </row>
    <row r="12" spans="2:17" s="26" customFormat="1" ht="27" x14ac:dyDescent="0.2">
      <c r="B12" s="59" t="s">
        <v>23</v>
      </c>
      <c r="C12" s="60" t="s">
        <v>358</v>
      </c>
      <c r="D12" s="62" t="s">
        <v>488</v>
      </c>
      <c r="E12" s="61" t="s">
        <v>64</v>
      </c>
      <c r="F12" s="62" t="s">
        <v>24</v>
      </c>
      <c r="G12" s="62" t="s">
        <v>25</v>
      </c>
      <c r="H12" s="63" t="s">
        <v>27</v>
      </c>
      <c r="I12" s="64" t="s">
        <v>28</v>
      </c>
      <c r="J12" s="134" t="s">
        <v>490</v>
      </c>
      <c r="K12" s="231"/>
    </row>
    <row r="13" spans="2:17" s="26" customFormat="1" ht="27.75" customHeight="1" x14ac:dyDescent="0.2">
      <c r="B13" s="314"/>
      <c r="C13" s="315"/>
      <c r="D13" s="308" t="s">
        <v>66</v>
      </c>
      <c r="E13" s="316" t="s">
        <v>67</v>
      </c>
      <c r="F13" s="308" t="s">
        <v>30</v>
      </c>
      <c r="G13" s="308" t="s">
        <v>65</v>
      </c>
      <c r="H13" s="317" t="s">
        <v>33</v>
      </c>
      <c r="I13" s="318" t="s">
        <v>34</v>
      </c>
      <c r="J13" s="319" t="s">
        <v>34</v>
      </c>
      <c r="K13" s="231"/>
    </row>
    <row r="14" spans="2:17" s="320" customFormat="1" ht="12" customHeight="1" x14ac:dyDescent="0.25">
      <c r="B14" s="309"/>
      <c r="C14" s="310"/>
      <c r="D14" s="282" t="s">
        <v>69</v>
      </c>
      <c r="E14" s="283"/>
      <c r="F14" s="284" t="s">
        <v>35</v>
      </c>
      <c r="G14" s="284"/>
      <c r="H14" s="311" t="s">
        <v>96</v>
      </c>
      <c r="I14" s="312" t="s">
        <v>321</v>
      </c>
      <c r="J14" s="1113"/>
    </row>
    <row r="15" spans="2:17" s="313" customFormat="1" ht="14.25" customHeight="1" thickBot="1" x14ac:dyDescent="0.25">
      <c r="B15" s="321"/>
      <c r="C15" s="322"/>
      <c r="D15" s="135">
        <f>G5/91500</f>
        <v>0</v>
      </c>
      <c r="E15" s="285">
        <f>IF(E6='Data Validation'!D12,0,IF(E6='Data Validation'!D13,('Propane (auxilary heat)'!D15*'Propane (auxilary heat)'!G6),IF(E6='Data Validation'!D14,'Propane (auxilary heat)'!G6)))</f>
        <v>0</v>
      </c>
      <c r="F15" s="242">
        <v>8760</v>
      </c>
      <c r="G15" s="306" t="s">
        <v>59</v>
      </c>
      <c r="H15" s="177"/>
      <c r="I15" s="307"/>
      <c r="J15" s="1114"/>
    </row>
    <row r="16" spans="2:17" s="21" customFormat="1" x14ac:dyDescent="0.2">
      <c r="B16" s="1111" t="s">
        <v>62</v>
      </c>
      <c r="C16" s="1112"/>
      <c r="D16" s="1112"/>
      <c r="E16" s="1112"/>
      <c r="F16" s="1112"/>
      <c r="G16" s="219"/>
      <c r="H16" s="220"/>
      <c r="I16" s="656" t="s">
        <v>70</v>
      </c>
      <c r="J16" s="246"/>
      <c r="K16" s="11"/>
    </row>
    <row r="17" spans="2:11" s="26" customFormat="1" ht="14.25" x14ac:dyDescent="0.2">
      <c r="B17" s="76" t="s">
        <v>36</v>
      </c>
      <c r="D17" s="77"/>
      <c r="E17" s="78"/>
      <c r="F17" s="79"/>
      <c r="G17" s="286">
        <f>0.7/1000</f>
        <v>6.9999999999999999E-4</v>
      </c>
      <c r="H17" s="184">
        <f t="shared" ref="H17:H23" si="0">$D$15*$F$15*$G17/2000</f>
        <v>0</v>
      </c>
      <c r="I17" s="287">
        <f>($E$15*$G17)/2000</f>
        <v>0</v>
      </c>
      <c r="J17" s="248">
        <v>1</v>
      </c>
      <c r="K17" s="231"/>
    </row>
    <row r="18" spans="2:11" s="26" customFormat="1" ht="14.25" x14ac:dyDescent="0.2">
      <c r="B18" s="76" t="s">
        <v>37</v>
      </c>
      <c r="D18" s="77"/>
      <c r="E18" s="78"/>
      <c r="F18" s="79"/>
      <c r="G18" s="286">
        <f>G17</f>
        <v>6.9999999999999999E-4</v>
      </c>
      <c r="H18" s="182">
        <f t="shared" si="0"/>
        <v>0</v>
      </c>
      <c r="I18" s="287">
        <f t="shared" ref="I18:I23" si="1">($E$15*$G18)/2000</f>
        <v>0</v>
      </c>
      <c r="J18" s="248">
        <v>1</v>
      </c>
      <c r="K18" s="231"/>
    </row>
    <row r="19" spans="2:11" s="26" customFormat="1" ht="14.25" x14ac:dyDescent="0.2">
      <c r="B19" s="76" t="s">
        <v>97</v>
      </c>
      <c r="D19" s="77"/>
      <c r="E19" s="78"/>
      <c r="F19" s="79"/>
      <c r="G19" s="286">
        <f>G18</f>
        <v>6.9999999999999999E-4</v>
      </c>
      <c r="H19" s="182">
        <f t="shared" si="0"/>
        <v>0</v>
      </c>
      <c r="I19" s="287">
        <f t="shared" si="1"/>
        <v>0</v>
      </c>
      <c r="J19" s="250"/>
      <c r="K19" s="231"/>
    </row>
    <row r="20" spans="2:11" s="26" customFormat="1" ht="14.25" x14ac:dyDescent="0.2">
      <c r="B20" s="76" t="s">
        <v>38</v>
      </c>
      <c r="D20" s="77"/>
      <c r="E20" s="78"/>
      <c r="F20" s="79"/>
      <c r="G20" s="288">
        <f>0.001*G8</f>
        <v>1.7999999999999998E-4</v>
      </c>
      <c r="H20" s="182">
        <f t="shared" si="0"/>
        <v>0</v>
      </c>
      <c r="I20" s="287">
        <f t="shared" si="1"/>
        <v>0</v>
      </c>
      <c r="J20" s="248">
        <v>1</v>
      </c>
      <c r="K20" s="231"/>
    </row>
    <row r="21" spans="2:11" s="26" customFormat="1" ht="14.25" x14ac:dyDescent="0.2">
      <c r="B21" s="76" t="s">
        <v>39</v>
      </c>
      <c r="D21" s="77"/>
      <c r="E21" s="78"/>
      <c r="F21" s="79"/>
      <c r="G21" s="286">
        <v>1.2999999999999999E-2</v>
      </c>
      <c r="H21" s="182">
        <f t="shared" si="0"/>
        <v>0</v>
      </c>
      <c r="I21" s="287">
        <f t="shared" si="1"/>
        <v>0</v>
      </c>
      <c r="J21" s="248">
        <v>1</v>
      </c>
      <c r="K21" s="231"/>
    </row>
    <row r="22" spans="2:11" s="26" customFormat="1" ht="14.25" x14ac:dyDescent="0.2">
      <c r="B22" s="76" t="s">
        <v>40</v>
      </c>
      <c r="D22" s="77"/>
      <c r="E22" s="78"/>
      <c r="F22" s="79"/>
      <c r="G22" s="286">
        <v>1E-3</v>
      </c>
      <c r="H22" s="182">
        <f t="shared" si="0"/>
        <v>0</v>
      </c>
      <c r="I22" s="287">
        <f t="shared" si="1"/>
        <v>0</v>
      </c>
      <c r="J22" s="248">
        <v>1</v>
      </c>
      <c r="K22" s="231"/>
    </row>
    <row r="23" spans="2:11" s="26" customFormat="1" ht="14.25" x14ac:dyDescent="0.2">
      <c r="B23" s="76" t="s">
        <v>41</v>
      </c>
      <c r="D23" s="77"/>
      <c r="E23" s="78"/>
      <c r="F23" s="79"/>
      <c r="G23" s="286">
        <v>7.4999999999999997E-3</v>
      </c>
      <c r="H23" s="182">
        <f t="shared" si="0"/>
        <v>0</v>
      </c>
      <c r="I23" s="287">
        <f t="shared" si="1"/>
        <v>0</v>
      </c>
      <c r="J23" s="248">
        <v>2</v>
      </c>
      <c r="K23" s="231"/>
    </row>
    <row r="24" spans="2:11" s="26" customFormat="1" thickBot="1" x14ac:dyDescent="0.25">
      <c r="B24" s="84" t="s">
        <v>42</v>
      </c>
      <c r="C24" s="85"/>
      <c r="D24" s="86"/>
      <c r="E24" s="87"/>
      <c r="F24" s="88"/>
      <c r="G24" s="289" t="s">
        <v>68</v>
      </c>
      <c r="H24" s="290"/>
      <c r="I24" s="291"/>
      <c r="J24" s="252"/>
      <c r="K24" s="231"/>
    </row>
    <row r="25" spans="2:11" s="26" customFormat="1" x14ac:dyDescent="0.2">
      <c r="B25" s="1111" t="s">
        <v>61</v>
      </c>
      <c r="C25" s="1112"/>
      <c r="D25" s="1112"/>
      <c r="E25" s="1112"/>
      <c r="F25" s="1112"/>
      <c r="G25" s="219"/>
      <c r="H25" s="220"/>
      <c r="I25" s="656" t="s">
        <v>95</v>
      </c>
      <c r="J25" s="253"/>
      <c r="K25" s="231"/>
    </row>
    <row r="26" spans="2:11" s="26" customFormat="1" ht="15.75" x14ac:dyDescent="0.3">
      <c r="B26" s="89" t="s">
        <v>352</v>
      </c>
      <c r="C26" s="140">
        <v>1</v>
      </c>
      <c r="D26" s="90"/>
      <c r="E26" s="90"/>
      <c r="F26" s="90"/>
      <c r="G26" s="292">
        <f>61.46/1000000*91500/0.453592</f>
        <v>12.39790384310129</v>
      </c>
      <c r="H26" s="184">
        <f>$D$15*$F$15*$G26/2000</f>
        <v>0</v>
      </c>
      <c r="I26" s="287">
        <f t="shared" ref="I26:I28" si="2">($E$15*$G26)/2000</f>
        <v>0</v>
      </c>
      <c r="J26" s="253"/>
      <c r="K26" s="231"/>
    </row>
    <row r="27" spans="2:11" s="26" customFormat="1" ht="15.75" x14ac:dyDescent="0.3">
      <c r="B27" s="89" t="s">
        <v>353</v>
      </c>
      <c r="C27" s="21">
        <v>25</v>
      </c>
      <c r="D27" s="90"/>
      <c r="E27" s="90"/>
      <c r="F27" s="90"/>
      <c r="G27" s="293">
        <f>(1*10^-3)/1000000*91500/0.453592</f>
        <v>2.0172313444681564E-4</v>
      </c>
      <c r="H27" s="294">
        <f>$D$15*$F$15*$G27/2000</f>
        <v>0</v>
      </c>
      <c r="I27" s="295">
        <f t="shared" si="2"/>
        <v>0</v>
      </c>
      <c r="J27" s="253"/>
      <c r="K27" s="231"/>
    </row>
    <row r="28" spans="2:11" s="26" customFormat="1" ht="15.75" x14ac:dyDescent="0.3">
      <c r="B28" s="89" t="s">
        <v>401</v>
      </c>
      <c r="C28" s="21">
        <v>298</v>
      </c>
      <c r="D28" s="90"/>
      <c r="E28" s="90"/>
      <c r="F28" s="90"/>
      <c r="G28" s="293">
        <f>(1*10^-4)/1000000*91500/0.453592</f>
        <v>2.0172313444681566E-5</v>
      </c>
      <c r="H28" s="294">
        <f>$D$15*$F$15*$G28/2000</f>
        <v>0</v>
      </c>
      <c r="I28" s="295">
        <f t="shared" si="2"/>
        <v>0</v>
      </c>
      <c r="J28" s="256"/>
      <c r="K28" s="231"/>
    </row>
    <row r="29" spans="2:11" s="26" customFormat="1" ht="16.5" thickBot="1" x14ac:dyDescent="0.25">
      <c r="B29" s="102"/>
      <c r="C29" s="103"/>
      <c r="D29" s="103"/>
      <c r="E29" s="103"/>
      <c r="F29" s="104" t="s">
        <v>489</v>
      </c>
      <c r="G29" s="296"/>
      <c r="H29" s="216">
        <f>(C26*H26)+(C27*H27)+(C28*H28)</f>
        <v>0</v>
      </c>
      <c r="I29" s="297">
        <f>(C26*I26)+(C27*I27)+(C28*I28)</f>
        <v>0</v>
      </c>
      <c r="J29" s="258">
        <v>1000</v>
      </c>
      <c r="K29" s="231"/>
    </row>
    <row r="30" spans="2:11" s="26" customFormat="1" ht="15" customHeight="1" x14ac:dyDescent="0.2">
      <c r="B30" s="1111" t="s">
        <v>60</v>
      </c>
      <c r="C30" s="1112"/>
      <c r="D30" s="1112"/>
      <c r="E30" s="1112"/>
      <c r="F30" s="1112"/>
      <c r="G30" s="219"/>
      <c r="H30" s="220"/>
      <c r="I30" s="656" t="s">
        <v>58</v>
      </c>
      <c r="K30" s="231"/>
    </row>
    <row r="31" spans="2:11" s="26" customFormat="1" ht="14.25" x14ac:dyDescent="0.2">
      <c r="B31" s="76" t="s">
        <v>43</v>
      </c>
      <c r="G31" s="298">
        <f>(0.0021/10^6)/2488*91500</f>
        <v>7.7230707395498392E-8</v>
      </c>
      <c r="H31" s="294">
        <f>$D$15*$F$15*$G31/2000</f>
        <v>0</v>
      </c>
      <c r="I31" s="295">
        <f t="shared" ref="I31:I44" si="3">($E$15*$G31)/2000</f>
        <v>0</v>
      </c>
      <c r="K31" s="231"/>
    </row>
    <row r="32" spans="2:11" s="26" customFormat="1" ht="15" customHeight="1" x14ac:dyDescent="0.2">
      <c r="B32" s="76" t="s">
        <v>44</v>
      </c>
      <c r="G32" s="299">
        <f>(0.075/10^6)/2488*91500</f>
        <v>2.7582395498392283E-6</v>
      </c>
      <c r="H32" s="294">
        <f t="shared" ref="H32:H44" si="4">$D$15*$F$15*$G32/2000</f>
        <v>0</v>
      </c>
      <c r="I32" s="295">
        <f t="shared" si="3"/>
        <v>0</v>
      </c>
      <c r="K32" s="231"/>
    </row>
    <row r="33" spans="1:11" s="26" customFormat="1" ht="15" customHeight="1" x14ac:dyDescent="0.2">
      <c r="B33" s="76" t="s">
        <v>45</v>
      </c>
      <c r="G33" s="299">
        <f>(1.8/1000000)/2488*91500</f>
        <v>6.6197749196141489E-5</v>
      </c>
      <c r="H33" s="294">
        <f t="shared" si="4"/>
        <v>0</v>
      </c>
      <c r="I33" s="295">
        <f t="shared" si="3"/>
        <v>0</v>
      </c>
      <c r="K33" s="231"/>
    </row>
    <row r="34" spans="1:11" s="26" customFormat="1" ht="14.25" x14ac:dyDescent="0.2">
      <c r="B34" s="76" t="s">
        <v>46</v>
      </c>
      <c r="G34" s="300">
        <f>0.00000000061/2488*91500</f>
        <v>2.2433681672025725E-8</v>
      </c>
      <c r="H34" s="294">
        <f t="shared" si="4"/>
        <v>0</v>
      </c>
      <c r="I34" s="295">
        <f t="shared" si="3"/>
        <v>0</v>
      </c>
      <c r="K34" s="231"/>
    </row>
    <row r="35" spans="1:11" s="26" customFormat="1" ht="15.95" customHeight="1" x14ac:dyDescent="0.2">
      <c r="B35" s="265" t="s">
        <v>47</v>
      </c>
      <c r="C35" s="266"/>
      <c r="D35" s="266"/>
      <c r="E35" s="266"/>
      <c r="F35" s="266"/>
      <c r="G35" s="267">
        <f>0.0000000034/2488*91500</f>
        <v>1.25040192926045E-7</v>
      </c>
      <c r="H35" s="294">
        <f t="shared" si="4"/>
        <v>0</v>
      </c>
      <c r="I35" s="295">
        <f t="shared" si="3"/>
        <v>0</v>
      </c>
      <c r="K35" s="231"/>
    </row>
    <row r="36" spans="1:11" s="26" customFormat="1" ht="14.25" x14ac:dyDescent="0.2">
      <c r="B36" s="76" t="s">
        <v>48</v>
      </c>
      <c r="G36" s="300">
        <f>0.0000000002/2488*91500</f>
        <v>7.3553054662379418E-9</v>
      </c>
      <c r="H36" s="294">
        <f t="shared" si="4"/>
        <v>0</v>
      </c>
      <c r="I36" s="295">
        <f t="shared" si="3"/>
        <v>0</v>
      </c>
      <c r="K36" s="231"/>
    </row>
    <row r="37" spans="1:11" s="26" customFormat="1" ht="14.25" x14ac:dyDescent="0.2">
      <c r="B37" s="76" t="s">
        <v>49</v>
      </c>
      <c r="G37" s="301">
        <f>0.000000000012/2488*91500</f>
        <v>4.4131832797427654E-10</v>
      </c>
      <c r="H37" s="294">
        <f t="shared" si="4"/>
        <v>0</v>
      </c>
      <c r="I37" s="295">
        <f t="shared" si="3"/>
        <v>0</v>
      </c>
      <c r="K37" s="231"/>
    </row>
    <row r="38" spans="1:11" s="26" customFormat="1" ht="14.25" x14ac:dyDescent="0.2">
      <c r="B38" s="76" t="s">
        <v>50</v>
      </c>
      <c r="G38" s="302">
        <f>0.0000000011/2488*91500</f>
        <v>4.0454180064308678E-8</v>
      </c>
      <c r="H38" s="294">
        <f t="shared" si="4"/>
        <v>0</v>
      </c>
      <c r="I38" s="295">
        <f t="shared" si="3"/>
        <v>0</v>
      </c>
      <c r="K38" s="231"/>
    </row>
    <row r="39" spans="1:11" s="26" customFormat="1" ht="15" customHeight="1" x14ac:dyDescent="0.2">
      <c r="B39" s="76" t="s">
        <v>51</v>
      </c>
      <c r="C39" s="271"/>
      <c r="D39" s="271"/>
      <c r="E39" s="271"/>
      <c r="F39" s="271"/>
      <c r="G39" s="302">
        <f>0.0000000014/2488*91500</f>
        <v>5.1487138263665588E-8</v>
      </c>
      <c r="H39" s="294">
        <f t="shared" si="4"/>
        <v>0</v>
      </c>
      <c r="I39" s="295">
        <f t="shared" si="3"/>
        <v>0</v>
      </c>
      <c r="K39" s="231"/>
    </row>
    <row r="40" spans="1:11" s="26" customFormat="1" ht="14.25" x14ac:dyDescent="0.2">
      <c r="B40" s="76" t="s">
        <v>52</v>
      </c>
      <c r="G40" s="301">
        <f>0.000000000084/2488*91500</f>
        <v>3.0892282958199354E-9</v>
      </c>
      <c r="H40" s="294">
        <f t="shared" si="4"/>
        <v>0</v>
      </c>
      <c r="I40" s="295">
        <f t="shared" si="3"/>
        <v>0</v>
      </c>
      <c r="K40" s="231"/>
    </row>
    <row r="41" spans="1:11" s="26" customFormat="1" ht="14.25" x14ac:dyDescent="0.2">
      <c r="B41" s="76" t="s">
        <v>53</v>
      </c>
      <c r="G41" s="300">
        <f>0.00000000038/2488*91500</f>
        <v>1.397508038585209E-8</v>
      </c>
      <c r="H41" s="294">
        <f t="shared" si="4"/>
        <v>0</v>
      </c>
      <c r="I41" s="295">
        <f t="shared" si="3"/>
        <v>0</v>
      </c>
      <c r="K41" s="231"/>
    </row>
    <row r="42" spans="1:11" s="26" customFormat="1" ht="14.25" x14ac:dyDescent="0.2">
      <c r="B42" s="76" t="s">
        <v>54</v>
      </c>
      <c r="G42" s="300">
        <f>0.00000000026/2488*91500</f>
        <v>9.5618971061093229E-9</v>
      </c>
      <c r="H42" s="294">
        <f t="shared" si="4"/>
        <v>0</v>
      </c>
      <c r="I42" s="295">
        <f t="shared" si="3"/>
        <v>0</v>
      </c>
      <c r="J42" s="271"/>
      <c r="K42" s="231"/>
    </row>
    <row r="43" spans="1:11" s="271" customFormat="1" ht="14.25" x14ac:dyDescent="0.2">
      <c r="B43" s="76" t="s">
        <v>55</v>
      </c>
      <c r="C43" s="26"/>
      <c r="D43" s="26"/>
      <c r="E43" s="26"/>
      <c r="F43" s="26"/>
      <c r="G43" s="302">
        <f>0.0000000021/2488*91500</f>
        <v>7.7230707395498392E-8</v>
      </c>
      <c r="H43" s="294">
        <f t="shared" si="4"/>
        <v>0</v>
      </c>
      <c r="I43" s="295">
        <f t="shared" si="3"/>
        <v>0</v>
      </c>
      <c r="J43" s="26"/>
    </row>
    <row r="44" spans="1:11" s="26" customFormat="1" ht="14.25" x14ac:dyDescent="0.2">
      <c r="B44" s="272" t="s">
        <v>56</v>
      </c>
      <c r="C44" s="273"/>
      <c r="D44" s="273"/>
      <c r="E44" s="273"/>
      <c r="F44" s="273"/>
      <c r="G44" s="301">
        <f>0.000000000024/2488*91500</f>
        <v>8.8263665594855309E-10</v>
      </c>
      <c r="H44" s="294">
        <f t="shared" si="4"/>
        <v>0</v>
      </c>
      <c r="I44" s="295">
        <f t="shared" si="3"/>
        <v>0</v>
      </c>
      <c r="K44" s="231"/>
    </row>
    <row r="45" spans="1:11" s="26" customFormat="1" thickBot="1" x14ac:dyDescent="0.25">
      <c r="B45" s="102"/>
      <c r="C45" s="103"/>
      <c r="D45" s="85"/>
      <c r="E45" s="85"/>
      <c r="F45" s="274" t="s">
        <v>57</v>
      </c>
      <c r="G45" s="303"/>
      <c r="H45" s="304">
        <f>SUM(H31:H44)</f>
        <v>0</v>
      </c>
      <c r="I45" s="305">
        <f>SUM(I31:I44)</f>
        <v>0</v>
      </c>
      <c r="K45" s="231"/>
    </row>
    <row r="46" spans="1:11" s="26" customFormat="1" ht="14.25" x14ac:dyDescent="0.2">
      <c r="B46" s="1055" t="s">
        <v>362</v>
      </c>
      <c r="C46" s="1055"/>
      <c r="D46" s="1055"/>
      <c r="E46" s="1055"/>
      <c r="F46" s="1055"/>
      <c r="G46" s="1055"/>
      <c r="H46" s="1055"/>
      <c r="I46" s="1055"/>
      <c r="J46" s="474"/>
      <c r="K46" s="231"/>
    </row>
    <row r="47" spans="1:11" s="475" customFormat="1" ht="15" customHeight="1" x14ac:dyDescent="0.25">
      <c r="A47" s="140"/>
      <c r="B47" s="1106" t="s">
        <v>458</v>
      </c>
      <c r="C47" s="1106"/>
      <c r="D47" s="1106"/>
      <c r="E47" s="1106"/>
      <c r="F47" s="1106"/>
      <c r="G47" s="1106"/>
      <c r="H47" s="1106"/>
      <c r="I47" s="1106"/>
      <c r="J47" s="474"/>
    </row>
    <row r="48" spans="1:11" s="475" customFormat="1" ht="15" customHeight="1" x14ac:dyDescent="0.2">
      <c r="A48" s="474"/>
      <c r="B48" s="1048" t="s">
        <v>487</v>
      </c>
      <c r="C48" s="1048"/>
      <c r="D48" s="1048"/>
      <c r="E48" s="1048"/>
      <c r="F48" s="1048"/>
      <c r="G48" s="1107" t="s">
        <v>460</v>
      </c>
      <c r="H48" s="1107"/>
      <c r="I48" s="233"/>
      <c r="J48" s="474"/>
    </row>
    <row r="49" spans="1:12" s="476" customFormat="1" ht="15" customHeight="1" x14ac:dyDescent="0.2">
      <c r="A49" s="474"/>
      <c r="B49" s="140"/>
      <c r="C49" s="140"/>
      <c r="D49" s="140"/>
      <c r="E49" s="140"/>
      <c r="F49" s="477"/>
      <c r="G49" s="477"/>
      <c r="H49" s="477"/>
      <c r="I49" s="477"/>
      <c r="J49" s="140"/>
    </row>
    <row r="50" spans="1:12" s="476" customFormat="1" ht="15" customHeight="1" x14ac:dyDescent="0.25">
      <c r="A50" s="474"/>
      <c r="B50" s="7"/>
      <c r="C50" s="2"/>
      <c r="D50" s="2"/>
      <c r="E50" s="2"/>
      <c r="F50" s="8"/>
      <c r="G50" s="8"/>
      <c r="H50" s="8"/>
      <c r="I50" s="8"/>
      <c r="J50" s="2"/>
    </row>
    <row r="51" spans="1:12" s="476" customFormat="1" ht="15" customHeight="1" x14ac:dyDescent="0.25">
      <c r="A51" s="140"/>
      <c r="B51" s="4"/>
      <c r="C51" s="4"/>
      <c r="D51" s="4"/>
      <c r="E51" s="4"/>
      <c r="F51" s="4"/>
      <c r="G51" s="4"/>
      <c r="H51" s="4"/>
      <c r="I51" s="4"/>
      <c r="J51" s="4"/>
    </row>
    <row r="52" spans="1:12" s="475" customFormat="1" ht="15" customHeight="1" x14ac:dyDescent="0.25">
      <c r="A52" s="2"/>
      <c r="B52" s="4"/>
      <c r="C52" s="4"/>
      <c r="D52" s="4"/>
      <c r="E52" s="4"/>
      <c r="F52" s="4"/>
      <c r="G52" s="4"/>
      <c r="H52" s="4"/>
      <c r="I52" s="4"/>
      <c r="J52" s="4"/>
    </row>
    <row r="53" spans="1:12" s="4" customFormat="1" ht="15" customHeight="1" x14ac:dyDescent="0.25">
      <c r="K53" s="475"/>
      <c r="L53" s="475"/>
    </row>
    <row r="54" spans="1:12" s="4" customFormat="1" ht="15" customHeight="1" x14ac:dyDescent="0.25">
      <c r="B54" s="2"/>
      <c r="C54" s="2"/>
      <c r="D54" s="2"/>
      <c r="E54"/>
      <c r="F54" s="2"/>
      <c r="G54" s="2"/>
      <c r="H54" s="2"/>
      <c r="I54" s="2"/>
      <c r="J54" s="2"/>
      <c r="K54" s="475"/>
      <c r="L54" s="475"/>
    </row>
    <row r="55" spans="1:12" x14ac:dyDescent="0.25">
      <c r="E55"/>
      <c r="K55" s="2"/>
    </row>
    <row r="56" spans="1:12" ht="29.25" customHeight="1" x14ac:dyDescent="0.25">
      <c r="E56"/>
      <c r="K56" s="2"/>
    </row>
    <row r="57" spans="1:12" x14ac:dyDescent="0.25">
      <c r="E57"/>
      <c r="K57" s="2"/>
    </row>
    <row r="58" spans="1:12" x14ac:dyDescent="0.25">
      <c r="E58"/>
      <c r="K58" s="2"/>
    </row>
    <row r="59" spans="1:12" x14ac:dyDescent="0.25">
      <c r="E59"/>
      <c r="K59" s="2"/>
    </row>
    <row r="60" spans="1:12" x14ac:dyDescent="0.25">
      <c r="F60" s="1"/>
      <c r="G60" s="1"/>
      <c r="H60" s="1"/>
      <c r="I60" s="1"/>
    </row>
    <row r="61" spans="1:12" x14ac:dyDescent="0.25">
      <c r="F61" s="3"/>
      <c r="G61" s="3"/>
      <c r="H61" s="3"/>
      <c r="I61" s="3"/>
    </row>
    <row r="62" spans="1:12" x14ac:dyDescent="0.25">
      <c r="B62" s="1"/>
      <c r="C62" s="1"/>
      <c r="D62" s="1"/>
      <c r="E62" s="1"/>
      <c r="F62" s="3"/>
      <c r="G62" s="3"/>
      <c r="H62" s="3"/>
      <c r="I62" s="3"/>
    </row>
    <row r="63" spans="1:12" ht="30" customHeight="1" x14ac:dyDescent="0.25">
      <c r="B63" s="3"/>
      <c r="C63" s="3"/>
      <c r="D63" s="3"/>
      <c r="E63" s="3"/>
      <c r="F63" s="3"/>
      <c r="G63" s="3"/>
      <c r="H63" s="3"/>
      <c r="I63" s="3"/>
    </row>
    <row r="64" spans="1:12" x14ac:dyDescent="0.25">
      <c r="B64" s="3"/>
      <c r="C64" s="3"/>
      <c r="D64" s="3"/>
      <c r="E64" s="3"/>
      <c r="F64" s="3"/>
      <c r="G64" s="3"/>
      <c r="H64" s="3"/>
      <c r="I64" s="3"/>
    </row>
    <row r="65" spans="2:9" x14ac:dyDescent="0.25">
      <c r="B65" s="3"/>
      <c r="C65" s="3"/>
      <c r="D65" s="3"/>
      <c r="E65" s="3"/>
      <c r="F65" s="3"/>
      <c r="G65" s="3"/>
      <c r="H65" s="3"/>
      <c r="I65" s="3"/>
    </row>
    <row r="66" spans="2:9" x14ac:dyDescent="0.25">
      <c r="B66" s="3"/>
      <c r="C66" s="3"/>
      <c r="D66" s="3"/>
      <c r="E66" s="3"/>
    </row>
    <row r="67" spans="2:9" x14ac:dyDescent="0.25">
      <c r="B67" s="3"/>
      <c r="C67" s="3"/>
      <c r="D67" s="3"/>
      <c r="E67" s="3"/>
    </row>
  </sheetData>
  <mergeCells count="30">
    <mergeCell ref="B48:F48"/>
    <mergeCell ref="G48:H48"/>
    <mergeCell ref="B7:I7"/>
    <mergeCell ref="B6:D6"/>
    <mergeCell ref="E6:F6"/>
    <mergeCell ref="B8:F8"/>
    <mergeCell ref="H8:I8"/>
    <mergeCell ref="B46:I46"/>
    <mergeCell ref="B47:I47"/>
    <mergeCell ref="B30:F30"/>
    <mergeCell ref="B10:I10"/>
    <mergeCell ref="B25:F25"/>
    <mergeCell ref="L2:Q2"/>
    <mergeCell ref="L3:M4"/>
    <mergeCell ref="N3:O4"/>
    <mergeCell ref="B5:F5"/>
    <mergeCell ref="B3:I4"/>
    <mergeCell ref="B2:J2"/>
    <mergeCell ref="P3:Q4"/>
    <mergeCell ref="L5:M6"/>
    <mergeCell ref="N5:O6"/>
    <mergeCell ref="P5:Q6"/>
    <mergeCell ref="J14:J15"/>
    <mergeCell ref="B16:F16"/>
    <mergeCell ref="L7:M8"/>
    <mergeCell ref="N7:O8"/>
    <mergeCell ref="P7:Q8"/>
    <mergeCell ref="L9:M11"/>
    <mergeCell ref="N9:O11"/>
    <mergeCell ref="P9:Q11"/>
  </mergeCells>
  <conditionalFormatting sqref="I48">
    <cfRule type="expression" priority="130">
      <formula>#REF!=8</formula>
    </cfRule>
  </conditionalFormatting>
  <hyperlinks>
    <hyperlink ref="I30" r:id="rId1" xr:uid="{00000000-0004-0000-0700-000000000000}"/>
    <hyperlink ref="I25" r:id="rId2" xr:uid="{00000000-0004-0000-0700-000001000000}"/>
    <hyperlink ref="I16" r:id="rId3" xr:uid="{00000000-0004-0000-0700-000002000000}"/>
    <hyperlink ref="G48:H48" r:id="rId4" display="Minn. R. 7007.1300, subp. 3(I)" xr:uid="{00000000-0004-0000-0700-000003000000}"/>
  </hyperlinks>
  <pageMargins left="0.25" right="0.25" top="0.5" bottom="0.5" header="0.3" footer="0.3"/>
  <pageSetup scale="99" fitToHeight="0" orientation="landscape" r:id="rId5"/>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Incorrect Entry" error="Please choose from the drop down list." xr:uid="{00000000-0002-0000-0700-000000000000}">
          <x14:formula1>
            <xm:f>'Data Validation'!$D$12:$D$14</xm:f>
          </x14:formula1>
          <xm:sqref>E6:F6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D1EAFF"/>
  </sheetPr>
  <dimension ref="A1:X93"/>
  <sheetViews>
    <sheetView showGridLines="0" zoomScaleNormal="100" zoomScaleSheetLayoutView="100" zoomScalePageLayoutView="85" workbookViewId="0">
      <selection activeCell="D25" sqref="D25"/>
    </sheetView>
  </sheetViews>
  <sheetFormatPr defaultColWidth="9.42578125" defaultRowHeight="15" x14ac:dyDescent="0.25"/>
  <cols>
    <col min="1" max="1" width="4.42578125" style="2" customWidth="1"/>
    <col min="2" max="9" width="16.42578125" style="2" customWidth="1"/>
    <col min="10" max="10" width="13.42578125" style="2" customWidth="1"/>
    <col min="11" max="11" width="33.42578125" style="2" customWidth="1"/>
    <col min="12" max="12" width="24.42578125" style="2" bestFit="1" customWidth="1"/>
    <col min="13" max="13" width="20.5703125" style="2" bestFit="1" customWidth="1"/>
    <col min="14" max="14" width="20.42578125" style="2" bestFit="1" customWidth="1"/>
    <col min="15" max="16" width="9.42578125" style="2"/>
    <col min="17" max="17" width="17.42578125" style="2" bestFit="1" customWidth="1"/>
    <col min="18" max="18" width="17.5703125" style="2" bestFit="1" customWidth="1"/>
    <col min="19" max="19" width="8.5703125" style="2" customWidth="1"/>
    <col min="20" max="21" width="20.5703125" style="2" customWidth="1"/>
    <col min="22" max="16384" width="9.42578125" style="2"/>
  </cols>
  <sheetData>
    <row r="1" spans="2:9" x14ac:dyDescent="0.25">
      <c r="B1" s="670"/>
      <c r="C1" s="670"/>
      <c r="D1" s="670"/>
      <c r="E1" s="670"/>
      <c r="F1" s="670"/>
      <c r="G1" s="670"/>
      <c r="H1" s="670"/>
      <c r="I1" s="671" t="str">
        <f>Instructions!$H$2</f>
        <v>p-sbap5-20  •  7/28/2025</v>
      </c>
    </row>
    <row r="2" spans="2:9" ht="19.5" thickBot="1" x14ac:dyDescent="0.3">
      <c r="B2" s="920" t="s">
        <v>403</v>
      </c>
      <c r="C2" s="920"/>
      <c r="D2" s="920"/>
      <c r="E2" s="920"/>
      <c r="F2" s="920"/>
      <c r="G2" s="920"/>
      <c r="H2" s="920"/>
      <c r="I2" s="920"/>
    </row>
    <row r="3" spans="2:9" ht="24" customHeight="1" x14ac:dyDescent="0.25">
      <c r="B3" s="1127" t="s">
        <v>363</v>
      </c>
      <c r="C3" s="1127"/>
      <c r="D3" s="1127"/>
      <c r="E3" s="1127"/>
      <c r="F3" s="1127"/>
      <c r="G3" s="1127"/>
      <c r="H3" s="1127"/>
      <c r="I3" s="1127"/>
    </row>
    <row r="4" spans="2:9" s="21" customFormat="1" ht="15" customHeight="1" x14ac:dyDescent="0.2">
      <c r="B4" s="952" t="s">
        <v>286</v>
      </c>
      <c r="C4" s="952"/>
      <c r="D4" s="952"/>
      <c r="E4" s="952"/>
      <c r="F4" s="952"/>
      <c r="G4" s="952"/>
      <c r="H4" s="952"/>
      <c r="I4" s="952"/>
    </row>
    <row r="5" spans="2:9" s="21" customFormat="1" ht="15" customHeight="1" x14ac:dyDescent="0.2">
      <c r="B5" s="1139" t="s">
        <v>506</v>
      </c>
      <c r="C5" s="1140"/>
      <c r="D5" s="1140"/>
      <c r="E5" s="1140"/>
      <c r="F5" s="1140"/>
      <c r="G5" s="1140"/>
      <c r="H5" s="1140"/>
      <c r="I5" s="1140"/>
    </row>
    <row r="6" spans="2:9" s="21" customFormat="1" ht="15" customHeight="1" x14ac:dyDescent="0.2">
      <c r="B6" s="1140"/>
      <c r="C6" s="1140"/>
      <c r="D6" s="1140"/>
      <c r="E6" s="1140"/>
      <c r="F6" s="1140"/>
      <c r="G6" s="1140"/>
      <c r="H6" s="1140"/>
      <c r="I6" s="1140"/>
    </row>
    <row r="7" spans="2:9" s="21" customFormat="1" ht="15" customHeight="1" x14ac:dyDescent="0.2">
      <c r="B7" s="493"/>
      <c r="C7" s="493"/>
      <c r="D7" s="493"/>
      <c r="E7" s="493"/>
      <c r="F7" s="493"/>
      <c r="G7" s="493"/>
      <c r="H7" s="493"/>
      <c r="I7" s="493"/>
    </row>
    <row r="8" spans="2:9" s="21" customFormat="1" ht="15" customHeight="1" x14ac:dyDescent="0.2">
      <c r="B8" s="154"/>
      <c r="C8" s="1141" t="s">
        <v>296</v>
      </c>
      <c r="D8" s="1141"/>
      <c r="E8" s="1142" t="s">
        <v>619</v>
      </c>
      <c r="F8" s="1142"/>
      <c r="G8" s="1142"/>
      <c r="H8" s="1142"/>
      <c r="I8" s="1142"/>
    </row>
    <row r="9" spans="2:9" s="21" customFormat="1" ht="15" customHeight="1" x14ac:dyDescent="0.2">
      <c r="B9" s="154"/>
      <c r="C9" s="152">
        <f>'Hot mix asphalt'!E7*'Hot mix asphalt'!F26</f>
        <v>0</v>
      </c>
      <c r="D9" s="141" t="s">
        <v>22</v>
      </c>
      <c r="E9" s="1142"/>
      <c r="F9" s="1142"/>
      <c r="G9" s="1142"/>
      <c r="H9" s="1142"/>
      <c r="I9" s="1142"/>
    </row>
    <row r="10" spans="2:9" s="21" customFormat="1" ht="15" customHeight="1" x14ac:dyDescent="0.2">
      <c r="B10" s="925"/>
      <c r="C10" s="925"/>
      <c r="D10" s="925"/>
      <c r="E10" s="925"/>
      <c r="F10" s="925"/>
      <c r="G10" s="925"/>
      <c r="H10" s="925"/>
      <c r="I10" s="925"/>
    </row>
    <row r="11" spans="2:9" s="21" customFormat="1" ht="15" customHeight="1" x14ac:dyDescent="0.2">
      <c r="B11" s="1145" t="s">
        <v>507</v>
      </c>
      <c r="C11" s="1145"/>
      <c r="D11" s="1145"/>
      <c r="E11" s="1145"/>
      <c r="F11" s="1145"/>
      <c r="G11" s="1145"/>
      <c r="H11" s="1145"/>
      <c r="I11" s="1145"/>
    </row>
    <row r="12" spans="2:9" s="21" customFormat="1" ht="15" customHeight="1" x14ac:dyDescent="0.2">
      <c r="B12" s="1146" t="s">
        <v>508</v>
      </c>
      <c r="C12" s="1146"/>
      <c r="D12" s="1146"/>
      <c r="E12" s="1146"/>
      <c r="F12" s="1146"/>
      <c r="G12" s="1146"/>
      <c r="H12" s="1146"/>
      <c r="I12" s="1146"/>
    </row>
    <row r="13" spans="2:9" s="21" customFormat="1" ht="15" customHeight="1" x14ac:dyDescent="0.2">
      <c r="B13" s="494" t="s">
        <v>509</v>
      </c>
      <c r="C13" s="1147" t="s">
        <v>510</v>
      </c>
      <c r="D13" s="1148"/>
      <c r="E13" s="495"/>
      <c r="F13" s="495"/>
      <c r="G13" s="495"/>
      <c r="H13" s="495"/>
      <c r="I13" s="496"/>
    </row>
    <row r="14" spans="2:9" s="21" customFormat="1" ht="15" customHeight="1" x14ac:dyDescent="0.2">
      <c r="B14" s="1079" t="s">
        <v>15</v>
      </c>
      <c r="C14" s="1077" t="s">
        <v>511</v>
      </c>
      <c r="D14" s="1079"/>
      <c r="E14" s="1077" t="s">
        <v>512</v>
      </c>
      <c r="F14" s="1078"/>
      <c r="G14" s="1078"/>
      <c r="H14" s="1078"/>
      <c r="I14" s="496"/>
    </row>
    <row r="15" spans="2:9" s="21" customFormat="1" ht="15" customHeight="1" x14ac:dyDescent="0.2">
      <c r="B15" s="1132"/>
      <c r="C15" s="1131"/>
      <c r="D15" s="1132"/>
      <c r="E15" s="1080"/>
      <c r="F15" s="1025"/>
      <c r="G15" s="1025"/>
      <c r="H15" s="1025"/>
      <c r="I15" s="491"/>
    </row>
    <row r="16" spans="2:9" s="21" customFormat="1" ht="15" customHeight="1" x14ac:dyDescent="0.2">
      <c r="B16" s="1079" t="s">
        <v>16</v>
      </c>
      <c r="C16" s="1077" t="s">
        <v>513</v>
      </c>
      <c r="D16" s="1079"/>
      <c r="E16" s="1080"/>
      <c r="F16" s="1025"/>
      <c r="G16" s="1025"/>
      <c r="H16" s="1025"/>
      <c r="I16" s="491"/>
    </row>
    <row r="17" spans="2:13" s="21" customFormat="1" ht="15" customHeight="1" x14ac:dyDescent="0.2">
      <c r="B17" s="1082"/>
      <c r="C17" s="1080"/>
      <c r="D17" s="1082"/>
      <c r="E17" s="1080"/>
      <c r="F17" s="1025"/>
      <c r="G17" s="1025"/>
      <c r="H17" s="1025"/>
      <c r="I17" s="491"/>
    </row>
    <row r="18" spans="2:13" s="21" customFormat="1" ht="15" customHeight="1" x14ac:dyDescent="0.2">
      <c r="B18" s="1144"/>
      <c r="C18" s="1144"/>
      <c r="D18" s="1144"/>
      <c r="E18" s="1144"/>
      <c r="F18" s="1144"/>
      <c r="G18" s="1144"/>
      <c r="H18" s="1144"/>
      <c r="I18" s="1144"/>
    </row>
    <row r="19" spans="2:13" s="21" customFormat="1" ht="15" customHeight="1" x14ac:dyDescent="0.2">
      <c r="B19" s="688"/>
      <c r="C19" s="1143" t="s">
        <v>297</v>
      </c>
      <c r="D19" s="1143"/>
      <c r="E19" s="1142" t="s">
        <v>620</v>
      </c>
      <c r="F19" s="1142"/>
      <c r="G19" s="1142"/>
      <c r="H19" s="1142"/>
      <c r="I19" s="1142"/>
    </row>
    <row r="20" spans="2:13" s="21" customFormat="1" ht="15" customHeight="1" x14ac:dyDescent="0.2">
      <c r="B20" s="688"/>
      <c r="C20" s="152">
        <f>'Hot mix asphalt'!$E$26</f>
        <v>0</v>
      </c>
      <c r="D20" s="141" t="s">
        <v>22</v>
      </c>
      <c r="E20" s="1142"/>
      <c r="F20" s="1142"/>
      <c r="G20" s="1142"/>
      <c r="H20" s="1142"/>
      <c r="I20" s="1142"/>
    </row>
    <row r="21" spans="2:13" s="21" customFormat="1" ht="15" customHeight="1" thickBot="1" x14ac:dyDescent="0.25">
      <c r="B21" s="709"/>
      <c r="C21" s="709"/>
      <c r="D21" s="709"/>
      <c r="E21" s="709"/>
      <c r="F21" s="709"/>
      <c r="G21" s="709"/>
      <c r="H21" s="709"/>
      <c r="I21" s="709"/>
      <c r="J21" s="710"/>
      <c r="K21" s="710"/>
      <c r="L21" s="710"/>
      <c r="M21" s="710"/>
    </row>
    <row r="22" spans="2:13" s="35" customFormat="1" ht="15" customHeight="1" x14ac:dyDescent="0.25">
      <c r="B22" s="1137" t="s">
        <v>374</v>
      </c>
      <c r="C22" s="1137"/>
      <c r="D22" s="1137"/>
      <c r="E22" s="1137"/>
      <c r="F22" s="1137"/>
      <c r="G22" s="1137"/>
      <c r="H22" s="1137"/>
      <c r="I22" s="1137"/>
    </row>
    <row r="23" spans="2:13" s="35" customFormat="1" ht="15" customHeight="1" x14ac:dyDescent="0.25">
      <c r="B23" s="1138" t="s">
        <v>298</v>
      </c>
      <c r="C23" s="1138"/>
      <c r="D23" s="1138"/>
      <c r="E23" s="1138"/>
      <c r="F23" s="1138"/>
      <c r="G23" s="1138"/>
      <c r="H23" s="1138"/>
      <c r="I23" s="1138"/>
      <c r="K23" s="747" t="s">
        <v>833</v>
      </c>
      <c r="L23" s="707"/>
      <c r="M23" s="707"/>
    </row>
    <row r="24" spans="2:13" s="156" customFormat="1" ht="15" customHeight="1" x14ac:dyDescent="0.2">
      <c r="B24" s="29"/>
      <c r="C24" s="29"/>
      <c r="D24" s="157" t="s">
        <v>85</v>
      </c>
      <c r="E24" s="157" t="s">
        <v>86</v>
      </c>
      <c r="F24" s="29"/>
      <c r="G24" s="29"/>
      <c r="H24" s="29"/>
      <c r="I24" s="29"/>
      <c r="K24" s="748" t="s">
        <v>779</v>
      </c>
      <c r="L24" s="11"/>
      <c r="M24" s="11"/>
    </row>
    <row r="25" spans="2:13" s="156" customFormat="1" ht="15" customHeight="1" x14ac:dyDescent="0.2">
      <c r="B25" s="1129" t="s">
        <v>299</v>
      </c>
      <c r="C25" s="1130"/>
      <c r="D25" s="158">
        <v>0</v>
      </c>
      <c r="E25" s="158">
        <v>0</v>
      </c>
      <c r="F25" s="1128" t="s">
        <v>87</v>
      </c>
      <c r="G25" s="1128"/>
      <c r="H25" s="1128"/>
      <c r="I25" s="159">
        <f>D25*((D26+D27)/2)+E25*((E26+E27)/2)</f>
        <v>0</v>
      </c>
      <c r="K25" s="639" t="s">
        <v>696</v>
      </c>
      <c r="L25" s="639" t="s">
        <v>780</v>
      </c>
      <c r="M25" s="708" t="s">
        <v>675</v>
      </c>
    </row>
    <row r="26" spans="2:13" s="156" customFormat="1" ht="15" customHeight="1" x14ac:dyDescent="0.25">
      <c r="B26" s="1129" t="s">
        <v>300</v>
      </c>
      <c r="C26" s="1130"/>
      <c r="D26" s="160"/>
      <c r="E26" s="160"/>
      <c r="F26" s="1128" t="s">
        <v>380</v>
      </c>
      <c r="G26" s="1128"/>
      <c r="H26" s="1128"/>
      <c r="I26" s="161">
        <f>IFERROR(IF(($C$9/((Fugitive!D25*(Fugitive!D27-Fugitive!D26))+(Fugitive!E25*(Fugitive!E27-Fugitive!E26))))=0,0,IF(($C$9/((Fugitive!D25*(Fugitive!D27-Fugitive!D26))+(Fugitive!E25*(Fugitive!E27-Fugitive!E26))))&gt;0,($C$9/((Fugitive!D25*(Fugitive!D27-Fugitive!D26))+(Fugitive!E25*(Fugitive!E27-Fugitive!E26)))))),0)</f>
        <v>0</v>
      </c>
      <c r="K26" s="749" t="s">
        <v>657</v>
      </c>
      <c r="L26" s="750" t="s">
        <v>671</v>
      </c>
      <c r="M26" s="751">
        <v>17</v>
      </c>
    </row>
    <row r="27" spans="2:13" s="156" customFormat="1" ht="15" customHeight="1" x14ac:dyDescent="0.25">
      <c r="B27" s="1129" t="s">
        <v>301</v>
      </c>
      <c r="C27" s="1130"/>
      <c r="D27" s="160"/>
      <c r="E27" s="160"/>
      <c r="F27" s="1128" t="s">
        <v>381</v>
      </c>
      <c r="G27" s="1128"/>
      <c r="H27" s="1128"/>
      <c r="I27" s="161">
        <f>IFERROR(IF(((C20)/((Fugitive!D25*(Fugitive!D27-Fugitive!D26))+(Fugitive!E25*(Fugitive!E27-Fugitive!E26))))=0,0,IF((C20)/((Fugitive!D25*(Fugitive!D27-Fugitive!D26))+(Fugitive!E25*(Fugitive!E27-Fugitive!E26)))&gt;0,((C20)/((Fugitive!D25*(Fugitive!D27-Fugitive!D26))+(Fugitive!E25*(Fugitive!E27-Fugitive!E26)))))),0)</f>
        <v>0</v>
      </c>
      <c r="K27" s="752" t="s">
        <v>658</v>
      </c>
      <c r="L27" s="753" t="s">
        <v>671</v>
      </c>
      <c r="M27" s="754">
        <v>6</v>
      </c>
    </row>
    <row r="28" spans="2:13" s="156" customFormat="1" ht="15" customHeight="1" x14ac:dyDescent="0.2">
      <c r="B28" s="1121" t="s">
        <v>302</v>
      </c>
      <c r="C28" s="1121"/>
      <c r="D28" s="160"/>
      <c r="E28" s="162"/>
      <c r="F28" s="29"/>
      <c r="G28" s="29"/>
      <c r="H28" s="29"/>
      <c r="I28" s="29"/>
      <c r="K28" s="720" t="s">
        <v>659</v>
      </c>
      <c r="L28" s="755" t="s">
        <v>671</v>
      </c>
      <c r="M28" s="751">
        <v>4.8</v>
      </c>
    </row>
    <row r="29" spans="2:13" s="156" customFormat="1" ht="15" customHeight="1" x14ac:dyDescent="0.25">
      <c r="B29" s="1121" t="s">
        <v>303</v>
      </c>
      <c r="C29" s="1133"/>
      <c r="D29" s="160"/>
      <c r="F29" s="937" t="s">
        <v>382</v>
      </c>
      <c r="G29" s="937"/>
      <c r="H29" s="1136"/>
      <c r="I29" s="163">
        <f>IF((I26*D29)&gt;0,(I26*D29),0)</f>
        <v>0</v>
      </c>
      <c r="K29" s="720"/>
      <c r="L29" s="755" t="s">
        <v>673</v>
      </c>
      <c r="M29" s="751">
        <v>7.1</v>
      </c>
    </row>
    <row r="30" spans="2:13" s="156" customFormat="1" ht="15" customHeight="1" x14ac:dyDescent="0.25">
      <c r="B30" s="1121" t="s">
        <v>304</v>
      </c>
      <c r="C30" s="1121"/>
      <c r="D30" s="719">
        <v>0.5</v>
      </c>
      <c r="E30" s="11" t="s">
        <v>783</v>
      </c>
      <c r="F30" s="937" t="s">
        <v>383</v>
      </c>
      <c r="G30" s="937"/>
      <c r="H30" s="1136"/>
      <c r="I30" s="163">
        <f>IF((I27*D29)&gt;0,(I27*D29),0)</f>
        <v>0</v>
      </c>
      <c r="K30" s="756" t="s">
        <v>660</v>
      </c>
      <c r="L30" s="757" t="s">
        <v>671</v>
      </c>
      <c r="M30" s="758">
        <v>10</v>
      </c>
    </row>
    <row r="31" spans="2:13" s="35" customFormat="1" ht="15" customHeight="1" x14ac:dyDescent="0.25">
      <c r="B31" s="1121" t="s">
        <v>84</v>
      </c>
      <c r="C31" s="1121"/>
      <c r="D31" s="719" t="s">
        <v>781</v>
      </c>
      <c r="E31" s="11" t="s">
        <v>782</v>
      </c>
      <c r="F31" s="29"/>
      <c r="G31" s="29"/>
      <c r="H31" s="29"/>
      <c r="I31" s="29"/>
      <c r="K31" s="759"/>
      <c r="L31" s="760" t="s">
        <v>672</v>
      </c>
      <c r="M31" s="761">
        <v>8.3000000000000007</v>
      </c>
    </row>
    <row r="32" spans="2:13" s="35" customFormat="1" ht="15" customHeight="1" x14ac:dyDescent="0.25">
      <c r="B32" s="1122" t="s">
        <v>89</v>
      </c>
      <c r="C32" s="1134"/>
      <c r="D32" s="164">
        <f>(133+121+115+109+108)/5</f>
        <v>117.2</v>
      </c>
      <c r="E32" s="165" t="s">
        <v>384</v>
      </c>
      <c r="F32" s="940" t="s">
        <v>385</v>
      </c>
      <c r="G32" s="940"/>
      <c r="H32" s="940"/>
      <c r="I32" s="940"/>
      <c r="K32" s="720" t="s">
        <v>661</v>
      </c>
      <c r="L32" s="755" t="s">
        <v>671</v>
      </c>
      <c r="M32" s="751">
        <v>4.3</v>
      </c>
    </row>
    <row r="33" spans="1:24" s="35" customFormat="1" ht="15" customHeight="1" x14ac:dyDescent="0.25">
      <c r="B33" s="1135" t="s">
        <v>83</v>
      </c>
      <c r="C33" s="1135"/>
      <c r="D33" s="164">
        <v>6</v>
      </c>
      <c r="E33" s="1128" t="s">
        <v>305</v>
      </c>
      <c r="F33" s="1128"/>
      <c r="G33" s="1128"/>
      <c r="H33" s="1128"/>
      <c r="I33" s="166">
        <f>IFERROR((((D33*((D31/12)^1)*((D28/30)^0.3)/((D30/0.5)^0.3))-0.00047)*((365-D32)/365)),0)</f>
        <v>0</v>
      </c>
      <c r="K33" s="720"/>
      <c r="L33" s="755" t="s">
        <v>672</v>
      </c>
      <c r="M33" s="751">
        <v>5.8</v>
      </c>
    </row>
    <row r="34" spans="1:24" s="35" customFormat="1" ht="15" customHeight="1" x14ac:dyDescent="0.25">
      <c r="B34" s="1122" t="s">
        <v>386</v>
      </c>
      <c r="C34" s="1122"/>
      <c r="D34" s="164">
        <v>1.8</v>
      </c>
      <c r="E34" s="1128" t="s">
        <v>387</v>
      </c>
      <c r="F34" s="1128"/>
      <c r="G34" s="1128"/>
      <c r="H34" s="1128"/>
      <c r="I34" s="166">
        <f>IFERROR((((D34*((D31/12)^1)*((D28/30)^0.5)/((D30/0.5)^0.2))-0.00047)*((365-D32)/365)),0)</f>
        <v>0</v>
      </c>
      <c r="K34" s="756" t="s">
        <v>662</v>
      </c>
      <c r="L34" s="757" t="s">
        <v>671</v>
      </c>
      <c r="M34" s="758">
        <v>5.0999999999999996</v>
      </c>
    </row>
    <row r="35" spans="1:24" s="35" customFormat="1" ht="15" customHeight="1" x14ac:dyDescent="0.25">
      <c r="B35" s="1122" t="s">
        <v>388</v>
      </c>
      <c r="C35" s="1122"/>
      <c r="D35" s="164">
        <v>0.18</v>
      </c>
      <c r="E35" s="165"/>
      <c r="F35" s="167"/>
      <c r="G35" s="1128" t="s">
        <v>389</v>
      </c>
      <c r="H35" s="1128"/>
      <c r="I35" s="166">
        <f>IFERROR((((D35*((D31/12)^1)*((D28/30)^0.5)/((D30/0.5)^0.2))-0.00036)*((365-D32)/365)),0)</f>
        <v>0</v>
      </c>
      <c r="K35" s="720"/>
      <c r="L35" s="755" t="s">
        <v>672</v>
      </c>
      <c r="M35" s="751">
        <v>8.4</v>
      </c>
    </row>
    <row r="36" spans="1:24" s="21" customFormat="1" ht="15" customHeight="1" x14ac:dyDescent="0.25">
      <c r="A36" s="35"/>
      <c r="B36" s="685"/>
      <c r="C36" s="685"/>
      <c r="D36" s="706"/>
      <c r="E36" s="165"/>
      <c r="F36" s="687"/>
      <c r="G36" s="686"/>
      <c r="H36" s="686"/>
      <c r="I36" s="705"/>
      <c r="J36" s="35"/>
      <c r="K36" s="720"/>
      <c r="L36" s="755" t="s">
        <v>670</v>
      </c>
      <c r="M36" s="751">
        <v>17</v>
      </c>
    </row>
    <row r="37" spans="1:24" s="35" customFormat="1" ht="17.850000000000001" customHeight="1" x14ac:dyDescent="0.25">
      <c r="B37" s="685"/>
      <c r="C37" s="685"/>
      <c r="D37" s="706"/>
      <c r="E37" s="165"/>
      <c r="F37" s="687"/>
      <c r="G37" s="686"/>
      <c r="H37" s="686"/>
      <c r="I37" s="705"/>
      <c r="K37" s="759"/>
      <c r="L37" s="760" t="s">
        <v>669</v>
      </c>
      <c r="M37" s="761">
        <v>24</v>
      </c>
    </row>
    <row r="38" spans="1:24" s="35" customFormat="1" ht="15" customHeight="1" x14ac:dyDescent="0.25">
      <c r="B38" s="685"/>
      <c r="C38" s="685"/>
      <c r="D38" s="706"/>
      <c r="E38" s="165"/>
      <c r="F38" s="687"/>
      <c r="G38" s="686"/>
      <c r="H38" s="686"/>
      <c r="I38" s="705"/>
      <c r="K38" s="720" t="s">
        <v>663</v>
      </c>
      <c r="L38" s="755" t="s">
        <v>668</v>
      </c>
      <c r="M38" s="751">
        <v>8.5</v>
      </c>
    </row>
    <row r="39" spans="1:24" s="35" customFormat="1" ht="15" customHeight="1" x14ac:dyDescent="0.25">
      <c r="B39" s="685"/>
      <c r="C39" s="685"/>
      <c r="D39" s="706"/>
      <c r="E39" s="165"/>
      <c r="F39" s="687"/>
      <c r="G39" s="686"/>
      <c r="H39" s="686"/>
      <c r="I39" s="705"/>
      <c r="K39" s="752" t="s">
        <v>664</v>
      </c>
      <c r="L39" s="753" t="s">
        <v>667</v>
      </c>
      <c r="M39" s="754">
        <v>8.4</v>
      </c>
    </row>
    <row r="40" spans="1:24" s="35" customFormat="1" ht="15" customHeight="1" x14ac:dyDescent="0.25">
      <c r="B40" s="693"/>
      <c r="C40" s="693"/>
      <c r="D40" s="706"/>
      <c r="E40" s="165"/>
      <c r="F40" s="697"/>
      <c r="G40" s="695"/>
      <c r="H40" s="695"/>
      <c r="I40" s="705"/>
      <c r="K40" s="46" t="s">
        <v>665</v>
      </c>
      <c r="L40" s="755" t="s">
        <v>666</v>
      </c>
      <c r="M40" s="742">
        <v>6.4</v>
      </c>
    </row>
    <row r="41" spans="1:24" s="35" customFormat="1" ht="15" customHeight="1" thickBot="1" x14ac:dyDescent="0.3">
      <c r="B41" s="711"/>
      <c r="C41" s="711"/>
      <c r="D41" s="712"/>
      <c r="E41" s="713"/>
      <c r="F41" s="714"/>
      <c r="G41" s="715"/>
      <c r="H41" s="715"/>
      <c r="I41" s="716"/>
      <c r="J41" s="717"/>
      <c r="K41" s="762"/>
      <c r="L41" s="762"/>
      <c r="M41" s="763"/>
      <c r="N41" s="718"/>
      <c r="O41" s="718"/>
      <c r="P41" s="718"/>
      <c r="Q41" s="718"/>
      <c r="R41" s="718"/>
      <c r="S41" s="718"/>
      <c r="T41" s="718"/>
      <c r="U41" s="718"/>
    </row>
    <row r="42" spans="1:24" s="35" customFormat="1" ht="15" customHeight="1" x14ac:dyDescent="0.25">
      <c r="B42" s="1137" t="s">
        <v>378</v>
      </c>
      <c r="C42" s="1137"/>
      <c r="D42" s="1137"/>
      <c r="E42" s="1137"/>
      <c r="F42" s="1137"/>
      <c r="G42" s="1137"/>
      <c r="H42" s="1137"/>
      <c r="I42" s="1137"/>
    </row>
    <row r="43" spans="1:24" s="21" customFormat="1" ht="15" customHeight="1" x14ac:dyDescent="0.25">
      <c r="A43" s="35"/>
      <c r="B43" s="1135" t="s">
        <v>83</v>
      </c>
      <c r="C43" s="1167"/>
      <c r="D43" s="164">
        <v>0.74</v>
      </c>
      <c r="E43" s="168"/>
      <c r="F43" s="32"/>
      <c r="G43" s="32"/>
      <c r="H43" s="32"/>
      <c r="I43" s="32"/>
      <c r="J43" s="35"/>
      <c r="K43" s="747" t="s">
        <v>834</v>
      </c>
      <c r="L43" s="707"/>
      <c r="M43" s="707"/>
      <c r="N43" s="707"/>
      <c r="O43" s="11"/>
      <c r="P43" s="747" t="s">
        <v>835</v>
      </c>
      <c r="Q43" s="707"/>
      <c r="R43" s="707"/>
      <c r="S43" s="707"/>
      <c r="T43" s="707"/>
      <c r="U43" s="707"/>
      <c r="V43" s="35"/>
      <c r="W43" s="35"/>
      <c r="X43" s="35"/>
    </row>
    <row r="44" spans="1:24" s="35" customFormat="1" ht="18.600000000000001" customHeight="1" x14ac:dyDescent="0.3">
      <c r="B44" s="1122" t="s">
        <v>364</v>
      </c>
      <c r="C44" s="1134"/>
      <c r="D44" s="164">
        <v>0.35</v>
      </c>
      <c r="E44" s="1168" t="s">
        <v>366</v>
      </c>
      <c r="F44" s="1128"/>
      <c r="G44" s="1128"/>
      <c r="H44" s="1128"/>
      <c r="I44" s="1128"/>
      <c r="K44" s="748" t="s">
        <v>788</v>
      </c>
      <c r="L44" s="722"/>
      <c r="M44" s="722"/>
      <c r="N44" s="722"/>
      <c r="O44" s="11"/>
      <c r="P44" s="769" t="s">
        <v>704</v>
      </c>
      <c r="Q44" s="770"/>
      <c r="R44" s="770"/>
      <c r="S44" s="770"/>
      <c r="T44" s="1165" t="s">
        <v>709</v>
      </c>
      <c r="U44" s="1165" t="s">
        <v>789</v>
      </c>
      <c r="V44" s="21"/>
      <c r="W44" s="21"/>
      <c r="X44" s="21"/>
    </row>
    <row r="45" spans="1:24" s="35" customFormat="1" ht="18" customHeight="1" x14ac:dyDescent="0.3">
      <c r="B45" s="1122" t="s">
        <v>365</v>
      </c>
      <c r="C45" s="1134"/>
      <c r="D45" s="164">
        <v>5.2999999999999999E-2</v>
      </c>
      <c r="F45" s="697"/>
      <c r="G45" s="697"/>
      <c r="H45" s="694" t="s">
        <v>306</v>
      </c>
      <c r="I45" s="169">
        <f>IFERROR((D43*0.0032*(((D47/5)^1.3)/((D46/2)^1.4))),0)</f>
        <v>0</v>
      </c>
      <c r="K45" s="639" t="s">
        <v>696</v>
      </c>
      <c r="L45" s="639" t="s">
        <v>697</v>
      </c>
      <c r="M45" s="764" t="s">
        <v>674</v>
      </c>
      <c r="N45" s="764" t="s">
        <v>698</v>
      </c>
      <c r="O45" s="11"/>
      <c r="P45" s="771" t="s">
        <v>705</v>
      </c>
      <c r="Q45" s="771" t="s">
        <v>706</v>
      </c>
      <c r="R45" s="771" t="s">
        <v>707</v>
      </c>
      <c r="S45" s="771" t="s">
        <v>708</v>
      </c>
      <c r="T45" s="1166"/>
      <c r="U45" s="1166"/>
    </row>
    <row r="46" spans="1:24" s="35" customFormat="1" ht="15" customHeight="1" x14ac:dyDescent="0.3">
      <c r="B46" s="1122" t="s">
        <v>276</v>
      </c>
      <c r="C46" s="1134"/>
      <c r="D46" s="719" t="s">
        <v>781</v>
      </c>
      <c r="E46" s="23" t="s">
        <v>786</v>
      </c>
      <c r="F46" s="697"/>
      <c r="G46" s="697"/>
      <c r="H46" s="694" t="s">
        <v>367</v>
      </c>
      <c r="I46" s="169">
        <f>IFERROR((D44*0.0032*(((D47/5)^1.3)/((D46/2)^1.4))),0)</f>
        <v>0</v>
      </c>
      <c r="K46" s="720" t="s">
        <v>676</v>
      </c>
      <c r="L46" s="750" t="s">
        <v>687</v>
      </c>
      <c r="M46" s="765">
        <v>4.3</v>
      </c>
      <c r="N46" s="765">
        <v>2.2000000000000002</v>
      </c>
      <c r="O46" s="11"/>
      <c r="P46" s="772" t="s">
        <v>714</v>
      </c>
      <c r="Q46" s="773" t="s">
        <v>715</v>
      </c>
      <c r="R46" s="773" t="s">
        <v>716</v>
      </c>
      <c r="S46" s="772" t="s">
        <v>717</v>
      </c>
      <c r="T46" s="774">
        <v>40.9</v>
      </c>
      <c r="U46" s="775">
        <v>11.258818520489619</v>
      </c>
    </row>
    <row r="47" spans="1:24" s="35" customFormat="1" ht="15" customHeight="1" x14ac:dyDescent="0.3">
      <c r="B47" s="1122" t="s">
        <v>275</v>
      </c>
      <c r="C47" s="1134"/>
      <c r="D47" s="719" t="s">
        <v>781</v>
      </c>
      <c r="E47" s="23" t="s">
        <v>785</v>
      </c>
      <c r="F47" s="697"/>
      <c r="G47" s="697"/>
      <c r="H47" s="694" t="s">
        <v>368</v>
      </c>
      <c r="I47" s="169">
        <f>IFERROR((D45*0.0032*(((D47/5)^1.3)/((D46/2)^1.4))),0)</f>
        <v>0</v>
      </c>
      <c r="K47" s="720"/>
      <c r="L47" s="755" t="s">
        <v>678</v>
      </c>
      <c r="M47" s="766">
        <v>9.5</v>
      </c>
      <c r="N47" s="766">
        <v>5.4</v>
      </c>
      <c r="O47" s="11"/>
      <c r="P47" s="772" t="s">
        <v>724</v>
      </c>
      <c r="Q47" s="773" t="s">
        <v>725</v>
      </c>
      <c r="R47" s="773" t="s">
        <v>726</v>
      </c>
      <c r="S47" s="772" t="s">
        <v>717</v>
      </c>
      <c r="T47" s="776">
        <v>39.200000000000003</v>
      </c>
      <c r="U47" s="775">
        <v>11.72421493902438</v>
      </c>
    </row>
    <row r="48" spans="1:24" s="35" customFormat="1" ht="15" customHeight="1" x14ac:dyDescent="0.25">
      <c r="A48" s="21"/>
      <c r="B48" s="1163"/>
      <c r="C48" s="1163"/>
      <c r="D48" s="1163"/>
      <c r="E48" s="1163"/>
      <c r="F48" s="1163"/>
      <c r="G48" s="1163"/>
      <c r="H48" s="1163"/>
      <c r="I48" s="1163"/>
      <c r="J48" s="21"/>
      <c r="K48" s="720"/>
      <c r="L48" s="755" t="s">
        <v>679</v>
      </c>
      <c r="M48" s="766">
        <v>4.5999999999999996</v>
      </c>
      <c r="N48" s="766">
        <v>4.8</v>
      </c>
      <c r="O48" s="11"/>
      <c r="P48" s="772" t="s">
        <v>729</v>
      </c>
      <c r="Q48" s="773" t="s">
        <v>730</v>
      </c>
      <c r="R48" s="773" t="s">
        <v>731</v>
      </c>
      <c r="S48" s="772" t="s">
        <v>717</v>
      </c>
      <c r="T48" s="776">
        <v>35.200000000000003</v>
      </c>
      <c r="U48" s="775">
        <v>10.126875334403408</v>
      </c>
    </row>
    <row r="49" spans="1:24" s="35" customFormat="1" ht="15" customHeight="1" x14ac:dyDescent="0.25">
      <c r="B49" s="696" t="s">
        <v>379</v>
      </c>
      <c r="C49" s="696"/>
      <c r="D49" s="696"/>
      <c r="E49" s="696"/>
      <c r="F49" s="696"/>
      <c r="G49" s="696"/>
      <c r="H49" s="696"/>
      <c r="I49" s="696"/>
      <c r="K49" s="720"/>
      <c r="L49" s="755" t="s">
        <v>680</v>
      </c>
      <c r="M49" s="766">
        <v>5.3</v>
      </c>
      <c r="N49" s="766">
        <v>0.92</v>
      </c>
      <c r="O49" s="11"/>
      <c r="P49" s="772" t="s">
        <v>736</v>
      </c>
      <c r="Q49" s="773" t="s">
        <v>737</v>
      </c>
      <c r="R49" s="773" t="s">
        <v>738</v>
      </c>
      <c r="S49" s="772" t="s">
        <v>717</v>
      </c>
      <c r="T49" s="776">
        <v>33.5</v>
      </c>
      <c r="U49" s="775">
        <v>9.86407978723404</v>
      </c>
    </row>
    <row r="50" spans="1:24" s="35" customFormat="1" ht="15" customHeight="1" x14ac:dyDescent="0.25">
      <c r="B50" s="1120" t="s">
        <v>647</v>
      </c>
      <c r="C50" s="1120"/>
      <c r="D50" s="160"/>
      <c r="E50" s="703"/>
      <c r="F50" s="689"/>
      <c r="G50" s="689"/>
      <c r="H50" s="689"/>
      <c r="I50" s="689"/>
      <c r="K50" s="720"/>
      <c r="L50" s="755" t="s">
        <v>681</v>
      </c>
      <c r="M50" s="766">
        <v>13</v>
      </c>
      <c r="N50" s="766">
        <v>7</v>
      </c>
      <c r="O50" s="11"/>
      <c r="P50" s="772" t="s">
        <v>739</v>
      </c>
      <c r="Q50" s="773" t="s">
        <v>740</v>
      </c>
      <c r="R50" s="773" t="s">
        <v>741</v>
      </c>
      <c r="S50" s="772" t="s">
        <v>717</v>
      </c>
      <c r="T50" s="776">
        <v>31.2</v>
      </c>
      <c r="U50" s="775">
        <v>10.291786292498655</v>
      </c>
    </row>
    <row r="51" spans="1:24" s="21" customFormat="1" ht="15" customHeight="1" x14ac:dyDescent="0.25">
      <c r="A51" s="35"/>
      <c r="B51" s="1120" t="s">
        <v>90</v>
      </c>
      <c r="C51" s="1120"/>
      <c r="D51" s="160"/>
      <c r="F51" s="702"/>
      <c r="G51" s="1164" t="s">
        <v>648</v>
      </c>
      <c r="H51" s="1164"/>
      <c r="I51" s="1164"/>
      <c r="J51" s="35"/>
      <c r="K51" s="720"/>
      <c r="L51" s="755" t="s">
        <v>682</v>
      </c>
      <c r="M51" s="766">
        <v>4.9000000000000004</v>
      </c>
      <c r="N51" s="766">
        <v>7.8</v>
      </c>
      <c r="O51" s="11"/>
      <c r="P51" s="772" t="s">
        <v>742</v>
      </c>
      <c r="Q51" s="773" t="s">
        <v>743</v>
      </c>
      <c r="R51" s="773" t="s">
        <v>744</v>
      </c>
      <c r="S51" s="772" t="s">
        <v>717</v>
      </c>
      <c r="T51" s="776">
        <v>31.2</v>
      </c>
      <c r="U51" s="777" t="s">
        <v>703</v>
      </c>
      <c r="V51" s="35"/>
      <c r="W51" s="35"/>
      <c r="X51" s="35"/>
    </row>
    <row r="52" spans="1:24" s="21" customFormat="1" ht="15" customHeight="1" x14ac:dyDescent="0.25">
      <c r="A52" s="35"/>
      <c r="B52" s="1126" t="s">
        <v>88</v>
      </c>
      <c r="C52" s="1126"/>
      <c r="D52" s="719" t="s">
        <v>781</v>
      </c>
      <c r="E52" s="721" t="s">
        <v>786</v>
      </c>
      <c r="F52" s="379"/>
      <c r="G52" s="379"/>
      <c r="H52" s="701" t="s">
        <v>307</v>
      </c>
      <c r="I52" s="166">
        <f>IFERROR((1.7*(D52/1.5)*((365-D54)/235)*(D53/15)),0)</f>
        <v>0</v>
      </c>
      <c r="J52" s="35"/>
      <c r="K52" s="720"/>
      <c r="L52" s="755" t="s">
        <v>683</v>
      </c>
      <c r="M52" s="766">
        <v>15</v>
      </c>
      <c r="N52" s="766">
        <v>6.6</v>
      </c>
      <c r="O52" s="11"/>
      <c r="P52" s="772" t="s">
        <v>745</v>
      </c>
      <c r="Q52" s="773" t="s">
        <v>746</v>
      </c>
      <c r="R52" s="773" t="s">
        <v>747</v>
      </c>
      <c r="S52" s="772" t="s">
        <v>717</v>
      </c>
      <c r="T52" s="776">
        <v>30.5</v>
      </c>
      <c r="U52" s="775">
        <v>9.6455301012253578</v>
      </c>
    </row>
    <row r="53" spans="1:24" s="21" customFormat="1" ht="15" customHeight="1" x14ac:dyDescent="0.3">
      <c r="A53" s="35"/>
      <c r="B53" s="1125" t="s">
        <v>308</v>
      </c>
      <c r="C53" s="1125"/>
      <c r="D53" s="719" t="s">
        <v>781</v>
      </c>
      <c r="E53" s="11" t="s">
        <v>787</v>
      </c>
      <c r="G53" s="165"/>
      <c r="H53" s="692" t="s">
        <v>645</v>
      </c>
      <c r="I53" s="166">
        <f>I52*0.5</f>
        <v>0</v>
      </c>
      <c r="J53" s="35"/>
      <c r="K53" s="720"/>
      <c r="L53" s="755" t="s">
        <v>684</v>
      </c>
      <c r="M53" s="766">
        <v>0.7</v>
      </c>
      <c r="N53" s="766" t="s">
        <v>703</v>
      </c>
      <c r="O53" s="11"/>
      <c r="P53" s="772" t="s">
        <v>748</v>
      </c>
      <c r="Q53" s="773" t="s">
        <v>749</v>
      </c>
      <c r="R53" s="773" t="s">
        <v>750</v>
      </c>
      <c r="S53" s="772" t="s">
        <v>717</v>
      </c>
      <c r="T53" s="776">
        <v>28.2</v>
      </c>
      <c r="U53" s="775">
        <v>9.0371755319148921</v>
      </c>
    </row>
    <row r="54" spans="1:24" s="21" customFormat="1" ht="15" customHeight="1" x14ac:dyDescent="0.3">
      <c r="A54" s="35"/>
      <c r="B54" s="1124" t="s">
        <v>89</v>
      </c>
      <c r="C54" s="1124"/>
      <c r="D54" s="164">
        <f>(133+121+115+109+108)/5</f>
        <v>117.2</v>
      </c>
      <c r="E54" s="165" t="s">
        <v>384</v>
      </c>
      <c r="F54" s="697"/>
      <c r="G54" s="697"/>
      <c r="H54" s="695" t="s">
        <v>778</v>
      </c>
      <c r="I54" s="166">
        <f>I52*0.075</f>
        <v>0</v>
      </c>
      <c r="J54" s="35"/>
      <c r="K54" s="720"/>
      <c r="L54" s="755" t="s">
        <v>685</v>
      </c>
      <c r="M54" s="766">
        <v>1</v>
      </c>
      <c r="N54" s="766">
        <v>0.2</v>
      </c>
      <c r="O54" s="11"/>
      <c r="P54" s="772" t="s">
        <v>751</v>
      </c>
      <c r="Q54" s="773" t="s">
        <v>752</v>
      </c>
      <c r="R54" s="773" t="s">
        <v>753</v>
      </c>
      <c r="S54" s="772" t="s">
        <v>717</v>
      </c>
      <c r="T54" s="776">
        <v>27.2</v>
      </c>
      <c r="U54" s="775">
        <v>8.6740843566470929</v>
      </c>
    </row>
    <row r="55" spans="1:24" s="21" customFormat="1" ht="15" customHeight="1" x14ac:dyDescent="0.25">
      <c r="A55" s="35"/>
      <c r="B55" s="697"/>
      <c r="C55" s="697"/>
      <c r="D55" s="706"/>
      <c r="E55" s="165"/>
      <c r="F55" s="697"/>
      <c r="G55" s="697"/>
      <c r="H55" s="695"/>
      <c r="I55" s="705"/>
      <c r="J55" s="35"/>
      <c r="K55" s="756" t="s">
        <v>660</v>
      </c>
      <c r="L55" s="757" t="s">
        <v>688</v>
      </c>
      <c r="M55" s="767">
        <v>1.6</v>
      </c>
      <c r="N55" s="767">
        <v>0.7</v>
      </c>
      <c r="O55" s="11"/>
      <c r="P55" s="772" t="s">
        <v>754</v>
      </c>
      <c r="Q55" s="773" t="s">
        <v>755</v>
      </c>
      <c r="R55" s="773" t="s">
        <v>756</v>
      </c>
      <c r="S55" s="772" t="s">
        <v>717</v>
      </c>
      <c r="T55" s="776">
        <v>24.9</v>
      </c>
      <c r="U55" s="775">
        <v>8.2573507462686528</v>
      </c>
    </row>
    <row r="56" spans="1:24" s="21" customFormat="1" ht="15" customHeight="1" thickBot="1" x14ac:dyDescent="0.25">
      <c r="B56" s="723"/>
      <c r="C56" s="723"/>
      <c r="D56" s="723"/>
      <c r="E56" s="723"/>
      <c r="F56" s="723"/>
      <c r="G56" s="723"/>
      <c r="H56" s="723"/>
      <c r="I56" s="723"/>
      <c r="K56" s="759"/>
      <c r="L56" s="760" t="s">
        <v>699</v>
      </c>
      <c r="M56" s="768">
        <v>3.9</v>
      </c>
      <c r="N56" s="768">
        <v>2.1</v>
      </c>
      <c r="O56" s="11"/>
      <c r="P56" s="772" t="s">
        <v>757</v>
      </c>
      <c r="Q56" s="773" t="s">
        <v>758</v>
      </c>
      <c r="R56" s="773" t="s">
        <v>759</v>
      </c>
      <c r="S56" s="772" t="s">
        <v>717</v>
      </c>
      <c r="T56" s="776">
        <v>24.8</v>
      </c>
      <c r="U56" s="775">
        <v>8.352129527991206</v>
      </c>
    </row>
    <row r="57" spans="1:24" s="21" customFormat="1" ht="15" customHeight="1" x14ac:dyDescent="0.2">
      <c r="B57" s="1127" t="s">
        <v>791</v>
      </c>
      <c r="C57" s="1127"/>
      <c r="D57" s="1127"/>
      <c r="E57" s="1127"/>
      <c r="F57" s="1127"/>
      <c r="G57" s="1127"/>
      <c r="H57" s="1127"/>
      <c r="I57" s="1127"/>
      <c r="K57" s="756" t="s">
        <v>661</v>
      </c>
      <c r="L57" s="757" t="s">
        <v>700</v>
      </c>
      <c r="M57" s="767">
        <v>3.4</v>
      </c>
      <c r="N57" s="767">
        <v>0.9</v>
      </c>
      <c r="O57" s="11"/>
      <c r="P57" s="772" t="s">
        <v>760</v>
      </c>
      <c r="Q57" s="773" t="s">
        <v>761</v>
      </c>
      <c r="R57" s="773" t="s">
        <v>750</v>
      </c>
      <c r="S57" s="772" t="s">
        <v>717</v>
      </c>
      <c r="T57" s="776">
        <v>23</v>
      </c>
      <c r="U57" s="775">
        <v>8.3436455561468801</v>
      </c>
    </row>
    <row r="58" spans="1:24" s="21" customFormat="1" ht="15" customHeight="1" x14ac:dyDescent="0.2">
      <c r="B58" s="1151" t="s">
        <v>376</v>
      </c>
      <c r="C58" s="1119" t="s">
        <v>390</v>
      </c>
      <c r="D58" s="1119"/>
      <c r="E58" s="1119" t="s">
        <v>391</v>
      </c>
      <c r="F58" s="1119"/>
      <c r="G58" s="1119" t="s">
        <v>392</v>
      </c>
      <c r="H58" s="1119"/>
      <c r="K58" s="759"/>
      <c r="L58" s="760" t="s">
        <v>686</v>
      </c>
      <c r="M58" s="768">
        <v>11</v>
      </c>
      <c r="N58" s="768">
        <v>0.4</v>
      </c>
      <c r="O58" s="11"/>
      <c r="P58" s="772" t="s">
        <v>762</v>
      </c>
      <c r="Q58" s="773" t="s">
        <v>763</v>
      </c>
      <c r="R58" s="773" t="s">
        <v>764</v>
      </c>
      <c r="S58" s="772" t="s">
        <v>717</v>
      </c>
      <c r="T58" s="776">
        <v>22.7</v>
      </c>
      <c r="U58" s="775">
        <v>7.9483076104310761</v>
      </c>
    </row>
    <row r="59" spans="1:24" s="21" customFormat="1" ht="15" customHeight="1" x14ac:dyDescent="0.2">
      <c r="B59" s="1151"/>
      <c r="C59" s="1123" t="s">
        <v>393</v>
      </c>
      <c r="D59" s="1123"/>
      <c r="E59" s="1123" t="s">
        <v>33</v>
      </c>
      <c r="F59" s="1123"/>
      <c r="G59" s="1123" t="s">
        <v>394</v>
      </c>
      <c r="H59" s="1123"/>
      <c r="I59" s="731"/>
      <c r="K59" s="720" t="s">
        <v>662</v>
      </c>
      <c r="L59" s="755" t="s">
        <v>679</v>
      </c>
      <c r="M59" s="766">
        <v>6.2</v>
      </c>
      <c r="N59" s="766">
        <v>6.9</v>
      </c>
      <c r="O59" s="11"/>
      <c r="P59" s="772" t="s">
        <v>768</v>
      </c>
      <c r="Q59" s="773" t="s">
        <v>769</v>
      </c>
      <c r="R59" s="773" t="s">
        <v>750</v>
      </c>
      <c r="S59" s="772" t="s">
        <v>717</v>
      </c>
      <c r="T59" s="776">
        <v>21.7</v>
      </c>
      <c r="U59" s="775">
        <v>7.8432844733984828</v>
      </c>
    </row>
    <row r="60" spans="1:24" s="21" customFormat="1" ht="15" customHeight="1" x14ac:dyDescent="0.2">
      <c r="B60" s="1151"/>
      <c r="C60" s="1118">
        <f>I29</f>
        <v>0</v>
      </c>
      <c r="D60" s="1118"/>
      <c r="E60" s="1118">
        <f>C9</f>
        <v>0</v>
      </c>
      <c r="F60" s="1118"/>
      <c r="G60" s="1118">
        <f>IF(C9&gt;0,(D51*365),0)</f>
        <v>0</v>
      </c>
      <c r="H60" s="1118"/>
      <c r="I60" s="1154" t="s">
        <v>794</v>
      </c>
      <c r="K60" s="720"/>
      <c r="L60" s="755" t="s">
        <v>689</v>
      </c>
      <c r="M60" s="766">
        <v>7.5</v>
      </c>
      <c r="N60" s="766" t="s">
        <v>703</v>
      </c>
      <c r="O60" s="11"/>
      <c r="P60" s="772" t="s">
        <v>770</v>
      </c>
      <c r="Q60" s="773" t="s">
        <v>771</v>
      </c>
      <c r="R60" s="773" t="s">
        <v>772</v>
      </c>
      <c r="S60" s="772" t="s">
        <v>717</v>
      </c>
      <c r="T60" s="776">
        <v>20.9</v>
      </c>
      <c r="U60" s="775">
        <v>7.6857051623203763</v>
      </c>
    </row>
    <row r="61" spans="1:24" s="21" customFormat="1" ht="15" customHeight="1" x14ac:dyDescent="0.2">
      <c r="B61" s="1152"/>
      <c r="C61" s="724" t="s">
        <v>395</v>
      </c>
      <c r="D61" s="726" t="s">
        <v>396</v>
      </c>
      <c r="E61" s="725" t="s">
        <v>395</v>
      </c>
      <c r="F61" s="726" t="s">
        <v>396</v>
      </c>
      <c r="G61" s="725" t="s">
        <v>395</v>
      </c>
      <c r="H61" s="725" t="s">
        <v>396</v>
      </c>
      <c r="I61" s="1155"/>
      <c r="K61" s="720"/>
      <c r="L61" s="755" t="s">
        <v>693</v>
      </c>
      <c r="M61" s="766">
        <v>15</v>
      </c>
      <c r="N61" s="766">
        <v>3.4</v>
      </c>
      <c r="O61" s="11"/>
      <c r="P61" s="772" t="s">
        <v>773</v>
      </c>
      <c r="Q61" s="773" t="s">
        <v>774</v>
      </c>
      <c r="R61" s="773" t="s">
        <v>738</v>
      </c>
      <c r="S61" s="772" t="s">
        <v>717</v>
      </c>
      <c r="T61" s="776">
        <v>15.8</v>
      </c>
      <c r="U61" s="775">
        <v>6.5819925412892983</v>
      </c>
    </row>
    <row r="62" spans="1:24" s="21" customFormat="1" ht="15" customHeight="1" x14ac:dyDescent="0.2">
      <c r="B62" s="1153"/>
      <c r="C62" s="727" t="s">
        <v>397</v>
      </c>
      <c r="D62" s="730" t="s">
        <v>33</v>
      </c>
      <c r="E62" s="729" t="s">
        <v>398</v>
      </c>
      <c r="F62" s="730" t="s">
        <v>33</v>
      </c>
      <c r="G62" s="729" t="s">
        <v>399</v>
      </c>
      <c r="H62" s="728" t="s">
        <v>33</v>
      </c>
      <c r="I62" s="732" t="s">
        <v>793</v>
      </c>
      <c r="K62" s="756" t="s">
        <v>677</v>
      </c>
      <c r="L62" s="757" t="s">
        <v>694</v>
      </c>
      <c r="M62" s="767">
        <v>2.2000000000000002</v>
      </c>
      <c r="N62" s="767">
        <v>4.5</v>
      </c>
      <c r="O62" s="11"/>
      <c r="P62" s="772" t="s">
        <v>775</v>
      </c>
      <c r="Q62" s="773" t="s">
        <v>776</v>
      </c>
      <c r="R62" s="773" t="s">
        <v>777</v>
      </c>
      <c r="S62" s="772" t="s">
        <v>717</v>
      </c>
      <c r="T62" s="776">
        <v>13.5</v>
      </c>
      <c r="U62" s="775">
        <v>6.8040784524449176</v>
      </c>
    </row>
    <row r="63" spans="1:24" s="21" customFormat="1" ht="15" customHeight="1" x14ac:dyDescent="0.2">
      <c r="B63" s="143" t="s">
        <v>36</v>
      </c>
      <c r="C63" s="144">
        <f>I33</f>
        <v>0</v>
      </c>
      <c r="D63" s="145">
        <f>C$60*C63/2000</f>
        <v>0</v>
      </c>
      <c r="E63" s="142">
        <f>I45</f>
        <v>0</v>
      </c>
      <c r="F63" s="145">
        <f>E$60*E63/2000</f>
        <v>0</v>
      </c>
      <c r="G63" s="145">
        <f>I52</f>
        <v>0</v>
      </c>
      <c r="H63" s="145">
        <f>G63*$G$60/2000</f>
        <v>0</v>
      </c>
      <c r="I63" s="153">
        <f>D63+F63+H63</f>
        <v>0</v>
      </c>
      <c r="K63" s="756" t="s">
        <v>665</v>
      </c>
      <c r="L63" s="757" t="s">
        <v>695</v>
      </c>
      <c r="M63" s="767">
        <v>2.6</v>
      </c>
      <c r="N63" s="767">
        <v>7.4</v>
      </c>
      <c r="O63" s="11"/>
      <c r="P63" s="772" t="s">
        <v>710</v>
      </c>
      <c r="Q63" s="773" t="s">
        <v>711</v>
      </c>
      <c r="R63" s="773" t="s">
        <v>712</v>
      </c>
      <c r="S63" s="772" t="s">
        <v>713</v>
      </c>
      <c r="T63" s="776">
        <v>43.1</v>
      </c>
      <c r="U63" s="775">
        <v>11.666423629590208</v>
      </c>
    </row>
    <row r="64" spans="1:24" s="21" customFormat="1" ht="15" customHeight="1" x14ac:dyDescent="0.2">
      <c r="B64" s="143" t="s">
        <v>37</v>
      </c>
      <c r="C64" s="144">
        <f>I34</f>
        <v>0</v>
      </c>
      <c r="D64" s="145">
        <f>C$60*C64/2000</f>
        <v>0</v>
      </c>
      <c r="E64" s="142">
        <f>I46</f>
        <v>0</v>
      </c>
      <c r="F64" s="145">
        <f>E$60*E64/2000</f>
        <v>0</v>
      </c>
      <c r="G64" s="145">
        <f>I53</f>
        <v>0</v>
      </c>
      <c r="H64" s="145">
        <f t="shared" ref="H64:H65" si="0">G64*$G$60/2000</f>
        <v>0</v>
      </c>
      <c r="I64" s="153">
        <f>D64+F64+H64</f>
        <v>0</v>
      </c>
      <c r="K64" s="720"/>
      <c r="L64" s="755" t="s">
        <v>680</v>
      </c>
      <c r="M64" s="766">
        <v>3.8</v>
      </c>
      <c r="N64" s="766">
        <v>3.6</v>
      </c>
      <c r="O64" s="11"/>
      <c r="P64" s="772" t="s">
        <v>718</v>
      </c>
      <c r="Q64" s="773" t="s">
        <v>719</v>
      </c>
      <c r="R64" s="773" t="s">
        <v>720</v>
      </c>
      <c r="S64" s="772" t="s">
        <v>713</v>
      </c>
      <c r="T64" s="776">
        <v>40.5</v>
      </c>
      <c r="U64" s="775">
        <v>10.964177754124531</v>
      </c>
    </row>
    <row r="65" spans="1:21" s="21" customFormat="1" ht="15" customHeight="1" x14ac:dyDescent="0.2">
      <c r="B65" s="143" t="s">
        <v>97</v>
      </c>
      <c r="C65" s="144">
        <f>I35</f>
        <v>0</v>
      </c>
      <c r="D65" s="145">
        <f>C$60*C65/2000</f>
        <v>0</v>
      </c>
      <c r="E65" s="142">
        <f>I47</f>
        <v>0</v>
      </c>
      <c r="F65" s="145">
        <f>E$60*E65/2000</f>
        <v>0</v>
      </c>
      <c r="G65" s="145">
        <f>I54</f>
        <v>0</v>
      </c>
      <c r="H65" s="145">
        <f t="shared" si="0"/>
        <v>0</v>
      </c>
      <c r="I65" s="153">
        <f>D65+F65+H65</f>
        <v>0</v>
      </c>
      <c r="K65" s="720"/>
      <c r="L65" s="755" t="s">
        <v>690</v>
      </c>
      <c r="M65" s="766">
        <v>9</v>
      </c>
      <c r="N65" s="766">
        <v>12</v>
      </c>
      <c r="O65" s="11"/>
      <c r="P65" s="772" t="s">
        <v>721</v>
      </c>
      <c r="Q65" s="773" t="s">
        <v>722</v>
      </c>
      <c r="R65" s="773" t="s">
        <v>723</v>
      </c>
      <c r="S65" s="772" t="s">
        <v>556</v>
      </c>
      <c r="T65" s="776">
        <v>40.299999999999997</v>
      </c>
      <c r="U65" s="775">
        <v>10.930995210218205</v>
      </c>
    </row>
    <row r="66" spans="1:21" s="21" customFormat="1" ht="15" customHeight="1" x14ac:dyDescent="0.2">
      <c r="B66" s="704"/>
      <c r="C66" s="704"/>
      <c r="D66" s="704"/>
      <c r="E66" s="704"/>
      <c r="F66" s="704"/>
      <c r="G66" s="704"/>
      <c r="H66" s="704"/>
      <c r="I66" s="704"/>
      <c r="K66" s="720"/>
      <c r="L66" s="755" t="s">
        <v>702</v>
      </c>
      <c r="M66" s="766">
        <v>9.1999999999999993</v>
      </c>
      <c r="N66" s="766">
        <v>14</v>
      </c>
      <c r="O66" s="11"/>
      <c r="P66" s="772" t="s">
        <v>727</v>
      </c>
      <c r="Q66" s="773" t="s">
        <v>728</v>
      </c>
      <c r="R66" s="773" t="s">
        <v>728</v>
      </c>
      <c r="S66" s="772" t="s">
        <v>556</v>
      </c>
      <c r="T66" s="776">
        <v>38.1</v>
      </c>
      <c r="U66" s="775">
        <v>10.73090957446807</v>
      </c>
    </row>
    <row r="67" spans="1:21" s="21" customFormat="1" ht="15" customHeight="1" x14ac:dyDescent="0.2">
      <c r="B67" s="1150" t="s">
        <v>377</v>
      </c>
      <c r="C67" s="1119" t="s">
        <v>390</v>
      </c>
      <c r="D67" s="1119"/>
      <c r="E67" s="1119" t="s">
        <v>391</v>
      </c>
      <c r="F67" s="1119"/>
      <c r="G67" s="1119" t="s">
        <v>392</v>
      </c>
      <c r="H67" s="1119"/>
      <c r="I67" s="731"/>
      <c r="K67" s="720"/>
      <c r="L67" s="755" t="s">
        <v>701</v>
      </c>
      <c r="M67" s="766">
        <v>6</v>
      </c>
      <c r="N67" s="766">
        <v>10</v>
      </c>
      <c r="O67" s="11"/>
      <c r="P67" s="772" t="s">
        <v>732</v>
      </c>
      <c r="Q67" s="773" t="s">
        <v>733</v>
      </c>
      <c r="R67" s="773" t="s">
        <v>734</v>
      </c>
      <c r="S67" s="772" t="s">
        <v>735</v>
      </c>
      <c r="T67" s="776">
        <v>35.200000000000003</v>
      </c>
      <c r="U67" s="775">
        <v>9.8604202127659377</v>
      </c>
    </row>
    <row r="68" spans="1:21" s="21" customFormat="1" ht="15" customHeight="1" x14ac:dyDescent="0.2">
      <c r="B68" s="1150"/>
      <c r="C68" s="1123" t="s">
        <v>393</v>
      </c>
      <c r="D68" s="1123"/>
      <c r="E68" s="1123" t="s">
        <v>33</v>
      </c>
      <c r="F68" s="1123"/>
      <c r="G68" s="1123" t="s">
        <v>514</v>
      </c>
      <c r="H68" s="1123"/>
      <c r="I68" s="731"/>
      <c r="K68" s="720"/>
      <c r="L68" s="755" t="s">
        <v>691</v>
      </c>
      <c r="M68" s="766">
        <v>80</v>
      </c>
      <c r="N68" s="766">
        <v>27</v>
      </c>
      <c r="O68" s="11"/>
      <c r="P68" s="772" t="s">
        <v>765</v>
      </c>
      <c r="Q68" s="773" t="s">
        <v>766</v>
      </c>
      <c r="R68" s="773" t="s">
        <v>766</v>
      </c>
      <c r="S68" s="772" t="s">
        <v>767</v>
      </c>
      <c r="T68" s="776">
        <v>22</v>
      </c>
      <c r="U68" s="775">
        <v>8.1261096327833755</v>
      </c>
    </row>
    <row r="69" spans="1:21" s="21" customFormat="1" ht="15" customHeight="1" x14ac:dyDescent="0.25">
      <c r="B69" s="1150"/>
      <c r="C69" s="1118">
        <f>I30</f>
        <v>0</v>
      </c>
      <c r="D69" s="1118"/>
      <c r="E69" s="1118">
        <f>C20</f>
        <v>0</v>
      </c>
      <c r="F69" s="1118"/>
      <c r="G69" s="1118">
        <f>D50*D51</f>
        <v>0</v>
      </c>
      <c r="H69" s="1118"/>
      <c r="I69" s="1156" t="s">
        <v>795</v>
      </c>
      <c r="K69" s="720"/>
      <c r="L69" s="755" t="s">
        <v>692</v>
      </c>
      <c r="M69" s="766">
        <v>12</v>
      </c>
      <c r="N69" s="766">
        <v>11</v>
      </c>
      <c r="O69" s="11"/>
      <c r="P69" s="11"/>
      <c r="Q69" s="11"/>
      <c r="R69" s="11"/>
      <c r="S69" s="11"/>
      <c r="T69" s="11"/>
      <c r="U69" s="23"/>
    </row>
    <row r="70" spans="1:21" s="21" customFormat="1" ht="15" customHeight="1" x14ac:dyDescent="0.2">
      <c r="B70" s="1150"/>
      <c r="C70" s="724" t="s">
        <v>395</v>
      </c>
      <c r="D70" s="726" t="s">
        <v>792</v>
      </c>
      <c r="E70" s="725" t="s">
        <v>395</v>
      </c>
      <c r="F70" s="726" t="s">
        <v>792</v>
      </c>
      <c r="G70" s="725" t="s">
        <v>395</v>
      </c>
      <c r="H70" s="726" t="s">
        <v>792</v>
      </c>
      <c r="I70" s="1156"/>
    </row>
    <row r="71" spans="1:21" s="21" customFormat="1" ht="15" customHeight="1" x14ac:dyDescent="0.2">
      <c r="B71" s="1150"/>
      <c r="C71" s="727" t="s">
        <v>397</v>
      </c>
      <c r="D71" s="730" t="s">
        <v>33</v>
      </c>
      <c r="E71" s="729" t="s">
        <v>398</v>
      </c>
      <c r="F71" s="730" t="s">
        <v>33</v>
      </c>
      <c r="G71" s="729" t="s">
        <v>399</v>
      </c>
      <c r="H71" s="730" t="s">
        <v>33</v>
      </c>
      <c r="I71" s="1156"/>
    </row>
    <row r="72" spans="1:21" s="21" customFormat="1" ht="15" customHeight="1" x14ac:dyDescent="0.2">
      <c r="B72" s="143" t="s">
        <v>36</v>
      </c>
      <c r="C72" s="144">
        <f>I33</f>
        <v>0</v>
      </c>
      <c r="D72" s="145">
        <f>C$69*C72/2000</f>
        <v>0</v>
      </c>
      <c r="E72" s="142">
        <f>E63</f>
        <v>0</v>
      </c>
      <c r="F72" s="145">
        <f>E$69*E72/2000</f>
        <v>0</v>
      </c>
      <c r="G72" s="145">
        <f>I52</f>
        <v>0</v>
      </c>
      <c r="H72" s="145">
        <f>$G$69*G72/2000</f>
        <v>0</v>
      </c>
      <c r="I72" s="153">
        <f>D72+F72+H72</f>
        <v>0</v>
      </c>
    </row>
    <row r="73" spans="1:21" s="21" customFormat="1" ht="15" customHeight="1" x14ac:dyDescent="0.2">
      <c r="B73" s="143" t="s">
        <v>37</v>
      </c>
      <c r="C73" s="144">
        <f>I34</f>
        <v>0</v>
      </c>
      <c r="D73" s="145">
        <f>C$69*C73/2000</f>
        <v>0</v>
      </c>
      <c r="E73" s="142">
        <f>E64</f>
        <v>0</v>
      </c>
      <c r="F73" s="145">
        <f>E$69*E73/2000</f>
        <v>0</v>
      </c>
      <c r="G73" s="145">
        <f>I53</f>
        <v>0</v>
      </c>
      <c r="H73" s="145">
        <f t="shared" ref="H73:H74" si="1">$G$69*G73/2000</f>
        <v>0</v>
      </c>
      <c r="I73" s="153">
        <f>D73+F73+H73</f>
        <v>0</v>
      </c>
    </row>
    <row r="74" spans="1:21" s="21" customFormat="1" ht="15" customHeight="1" x14ac:dyDescent="0.2">
      <c r="B74" s="143" t="s">
        <v>97</v>
      </c>
      <c r="C74" s="144">
        <f>I35</f>
        <v>0</v>
      </c>
      <c r="D74" s="145">
        <f>C$69*C74/2000</f>
        <v>0</v>
      </c>
      <c r="E74" s="142">
        <f>E65</f>
        <v>0</v>
      </c>
      <c r="F74" s="145">
        <f>E$69*E74/2000</f>
        <v>0</v>
      </c>
      <c r="G74" s="145">
        <f>I54</f>
        <v>0</v>
      </c>
      <c r="H74" s="145">
        <f t="shared" si="1"/>
        <v>0</v>
      </c>
      <c r="I74" s="153">
        <f>D74+F74+H74</f>
        <v>0</v>
      </c>
    </row>
    <row r="75" spans="1:21" s="21" customFormat="1" ht="15" customHeight="1" x14ac:dyDescent="0.2">
      <c r="B75" s="146"/>
      <c r="C75" s="146"/>
      <c r="D75" s="146"/>
      <c r="E75" s="146"/>
      <c r="F75" s="146"/>
      <c r="G75" s="146"/>
    </row>
    <row r="76" spans="1:21" s="11" customFormat="1" ht="15" customHeight="1" thickBot="1" x14ac:dyDescent="0.3">
      <c r="A76" s="4"/>
      <c r="B76" s="710"/>
      <c r="C76" s="710"/>
      <c r="D76" s="710"/>
      <c r="E76" s="710"/>
      <c r="F76" s="710"/>
      <c r="G76" s="710"/>
      <c r="H76" s="710"/>
      <c r="I76" s="710"/>
    </row>
    <row r="77" spans="1:21" s="11" customFormat="1" ht="15" customHeight="1" x14ac:dyDescent="0.25">
      <c r="A77" s="4"/>
      <c r="B77" s="690" t="s">
        <v>790</v>
      </c>
      <c r="C77" s="690"/>
      <c r="D77" s="690"/>
      <c r="E77" s="690"/>
      <c r="F77" s="690"/>
      <c r="G77" s="690"/>
      <c r="H77" s="690"/>
      <c r="I77" s="690"/>
    </row>
    <row r="78" spans="1:21" s="21" customFormat="1" ht="15" customHeight="1" x14ac:dyDescent="0.2">
      <c r="B78" s="147" t="s">
        <v>369</v>
      </c>
      <c r="C78" s="1149" t="s">
        <v>91</v>
      </c>
      <c r="D78" s="1149"/>
      <c r="E78" s="497" t="s">
        <v>92</v>
      </c>
      <c r="F78" s="401"/>
      <c r="G78" s="1149" t="s">
        <v>93</v>
      </c>
      <c r="H78" s="1149"/>
      <c r="I78" s="46"/>
      <c r="J78" s="46"/>
    </row>
    <row r="79" spans="1:21" s="21" customFormat="1" ht="15" customHeight="1" x14ac:dyDescent="0.2">
      <c r="B79" s="148" t="s">
        <v>370</v>
      </c>
      <c r="C79" s="46"/>
      <c r="D79" s="46"/>
      <c r="E79" s="699" t="s">
        <v>82</v>
      </c>
      <c r="F79" s="699"/>
      <c r="G79" s="699"/>
      <c r="H79" s="699"/>
      <c r="I79" s="699"/>
      <c r="J79" s="46"/>
    </row>
    <row r="80" spans="1:21" s="21" customFormat="1" ht="15" customHeight="1" x14ac:dyDescent="0.2">
      <c r="B80" s="149" t="s">
        <v>371</v>
      </c>
      <c r="C80" s="149"/>
      <c r="D80" s="149"/>
      <c r="E80" s="149"/>
      <c r="F80" s="1159" t="s">
        <v>309</v>
      </c>
      <c r="G80" s="1159"/>
      <c r="H80" s="1159"/>
      <c r="I80" s="1159"/>
    </row>
    <row r="81" spans="1:24" s="21" customFormat="1" ht="15" customHeight="1" x14ac:dyDescent="0.2">
      <c r="B81" s="150" t="s">
        <v>310</v>
      </c>
      <c r="C81" s="150"/>
      <c r="D81" s="150"/>
      <c r="E81" s="150"/>
      <c r="F81" s="1159" t="s">
        <v>311</v>
      </c>
      <c r="G81" s="1159"/>
      <c r="H81" s="1159"/>
      <c r="I81" s="1159"/>
    </row>
    <row r="82" spans="1:24" s="21" customFormat="1" ht="15" customHeight="1" x14ac:dyDescent="0.2">
      <c r="B82" s="698" t="s">
        <v>515</v>
      </c>
      <c r="C82" s="698"/>
      <c r="D82" s="698"/>
      <c r="E82" s="698"/>
      <c r="F82" s="698"/>
      <c r="G82" s="151"/>
      <c r="H82" s="1157"/>
      <c r="I82" s="1157"/>
    </row>
    <row r="83" spans="1:24" s="21" customFormat="1" ht="15" customHeight="1" x14ac:dyDescent="0.2">
      <c r="B83" s="1158" t="s">
        <v>372</v>
      </c>
      <c r="C83" s="1158"/>
      <c r="D83" s="699" t="s">
        <v>274</v>
      </c>
      <c r="E83" s="699"/>
      <c r="F83" s="699"/>
      <c r="G83" s="699"/>
      <c r="H83" s="1157"/>
      <c r="I83" s="1157"/>
    </row>
    <row r="84" spans="1:24" s="21" customFormat="1" ht="15" customHeight="1" x14ac:dyDescent="0.2">
      <c r="B84" s="691" t="s">
        <v>373</v>
      </c>
      <c r="C84" s="691"/>
      <c r="D84" s="691"/>
      <c r="E84" s="691"/>
      <c r="F84" s="691"/>
      <c r="G84" s="691"/>
      <c r="H84" s="1157"/>
      <c r="I84" s="1157"/>
    </row>
    <row r="85" spans="1:24" s="21" customFormat="1" ht="15" customHeight="1" x14ac:dyDescent="0.2">
      <c r="B85" s="1160" t="s">
        <v>650</v>
      </c>
      <c r="C85" s="1160"/>
      <c r="D85" s="1160"/>
      <c r="H85" s="1157"/>
      <c r="I85" s="1157"/>
    </row>
    <row r="86" spans="1:24" s="21" customFormat="1" ht="15" customHeight="1" x14ac:dyDescent="0.2">
      <c r="B86" s="1162" t="s">
        <v>646</v>
      </c>
      <c r="C86" s="1162"/>
      <c r="D86" s="1162"/>
      <c r="E86" s="1162"/>
      <c r="F86" s="850"/>
      <c r="G86" s="684"/>
      <c r="H86" s="1157"/>
      <c r="I86" s="1157"/>
    </row>
    <row r="87" spans="1:24" s="21" customFormat="1" ht="13.5" x14ac:dyDescent="0.2">
      <c r="B87" s="700" t="s">
        <v>375</v>
      </c>
      <c r="C87" s="700"/>
      <c r="D87" s="700"/>
      <c r="E87" s="700"/>
      <c r="F87" s="700"/>
      <c r="G87" s="700"/>
      <c r="H87" s="1157"/>
      <c r="I87" s="1157"/>
    </row>
    <row r="88" spans="1:24" s="21" customFormat="1" ht="13.5" x14ac:dyDescent="0.2">
      <c r="B88" s="1161" t="s">
        <v>651</v>
      </c>
      <c r="C88" s="1161"/>
      <c r="D88" s="1161"/>
      <c r="H88" s="1157"/>
      <c r="I88" s="1157"/>
    </row>
    <row r="89" spans="1:24" x14ac:dyDescent="0.25">
      <c r="A89" s="21"/>
      <c r="B89" s="1162" t="s">
        <v>649</v>
      </c>
      <c r="C89" s="1162"/>
      <c r="D89" s="1162"/>
      <c r="E89" s="1162"/>
      <c r="F89" s="46"/>
      <c r="G89" s="46"/>
      <c r="H89" s="1157"/>
      <c r="I89" s="1157"/>
      <c r="J89" s="21"/>
      <c r="K89" s="21"/>
      <c r="N89" s="21"/>
      <c r="O89" s="21"/>
      <c r="P89" s="21"/>
      <c r="Q89" s="21"/>
      <c r="R89" s="21"/>
      <c r="S89" s="21"/>
      <c r="T89" s="21"/>
      <c r="U89" s="21"/>
      <c r="V89" s="21"/>
      <c r="W89" s="21"/>
      <c r="X89" s="21"/>
    </row>
    <row r="90" spans="1:24" x14ac:dyDescent="0.25">
      <c r="A90" s="21"/>
      <c r="B90" s="720" t="s">
        <v>784</v>
      </c>
      <c r="C90" s="21"/>
      <c r="D90" s="21"/>
      <c r="E90" s="21"/>
      <c r="F90" s="21"/>
      <c r="G90" s="21"/>
      <c r="H90" s="21"/>
      <c r="I90" s="21"/>
      <c r="J90" s="21"/>
      <c r="K90" s="21"/>
    </row>
    <row r="91" spans="1:24" x14ac:dyDescent="0.25">
      <c r="A91" s="21"/>
      <c r="B91" s="21"/>
      <c r="C91" s="21"/>
      <c r="D91" s="21"/>
      <c r="E91" s="21"/>
      <c r="F91" s="21"/>
      <c r="G91" s="21"/>
      <c r="H91" s="21"/>
      <c r="I91" s="21"/>
      <c r="J91" s="21"/>
      <c r="K91" s="21"/>
    </row>
    <row r="92" spans="1:24" x14ac:dyDescent="0.25">
      <c r="A92" s="21"/>
      <c r="B92" s="21"/>
      <c r="C92" s="21"/>
      <c r="D92" s="21"/>
      <c r="E92" s="21"/>
      <c r="F92" s="21"/>
      <c r="G92" s="21"/>
      <c r="H92" s="21"/>
      <c r="I92" s="21"/>
      <c r="J92" s="21"/>
      <c r="K92" s="21"/>
    </row>
    <row r="93" spans="1:24" x14ac:dyDescent="0.25">
      <c r="A93" s="21"/>
      <c r="B93" s="21"/>
      <c r="C93" s="21"/>
      <c r="D93" s="21"/>
      <c r="E93" s="21"/>
      <c r="F93" s="21"/>
      <c r="G93" s="21"/>
      <c r="H93" s="21"/>
      <c r="I93" s="21"/>
      <c r="J93" s="21"/>
      <c r="K93" s="21"/>
    </row>
  </sheetData>
  <protectedRanges>
    <protectedRange sqref="E48:E50 B89 B86:D86 B87:C88 D87 B91:D297 C89:D90 A22:D29 E22:F28 E42:E44 A42:D45 A30:C31 B48:D53 G53:H55 I52:I55 I50 E86:G87 E89:G297 A46:A75 B46:C47 G69:H71 F50:H52 G22:I49 A32:E41 F29:F49 B78:C85 A78:A297 H78:I297 D78:G84 G67:I68 C67:F71 B58:H66 I59:I60 I62:I66 B72:I75 B54:F55" name="Range3"/>
    <protectedRange sqref="I11:I14" name="Range1"/>
    <protectedRange sqref="N24:AS40 N1:AZ23 K1:M22 K70:X75 V43:X69 Y42:AZ75 K42:X42 V41:AS41 J1:J75 J78:AZ1048576" name="Range2"/>
    <protectedRange sqref="D46:D47" name="Fugitive"/>
    <protectedRange sqref="U46:U50 U52:U69" name="WriteSpace"/>
  </protectedRanges>
  <mergeCells count="89">
    <mergeCell ref="B48:I48"/>
    <mergeCell ref="G51:I51"/>
    <mergeCell ref="T44:T45"/>
    <mergeCell ref="U44:U45"/>
    <mergeCell ref="B42:I42"/>
    <mergeCell ref="B46:C46"/>
    <mergeCell ref="B47:C47"/>
    <mergeCell ref="B43:C43"/>
    <mergeCell ref="B44:C44"/>
    <mergeCell ref="E44:I44"/>
    <mergeCell ref="B45:C45"/>
    <mergeCell ref="H82:I89"/>
    <mergeCell ref="B83:C83"/>
    <mergeCell ref="F80:I80"/>
    <mergeCell ref="F81:I81"/>
    <mergeCell ref="B85:D85"/>
    <mergeCell ref="B88:D88"/>
    <mergeCell ref="B89:E89"/>
    <mergeCell ref="B86:E86"/>
    <mergeCell ref="C78:D78"/>
    <mergeCell ref="G78:H78"/>
    <mergeCell ref="B57:I57"/>
    <mergeCell ref="C68:D68"/>
    <mergeCell ref="E69:F69"/>
    <mergeCell ref="G68:H68"/>
    <mergeCell ref="E68:F68"/>
    <mergeCell ref="G67:H67"/>
    <mergeCell ref="E58:F58"/>
    <mergeCell ref="E67:F67"/>
    <mergeCell ref="B67:B71"/>
    <mergeCell ref="B58:B62"/>
    <mergeCell ref="I60:I61"/>
    <mergeCell ref="I69:I71"/>
    <mergeCell ref="C69:D69"/>
    <mergeCell ref="C67:D67"/>
    <mergeCell ref="B2:I2"/>
    <mergeCell ref="B22:I22"/>
    <mergeCell ref="B23:I23"/>
    <mergeCell ref="F25:H25"/>
    <mergeCell ref="B4:I4"/>
    <mergeCell ref="B5:I6"/>
    <mergeCell ref="C8:D8"/>
    <mergeCell ref="E8:I9"/>
    <mergeCell ref="C19:D19"/>
    <mergeCell ref="E19:I20"/>
    <mergeCell ref="B18:I18"/>
    <mergeCell ref="B10:I10"/>
    <mergeCell ref="B11:I11"/>
    <mergeCell ref="B12:I12"/>
    <mergeCell ref="C13:D13"/>
    <mergeCell ref="B14:B15"/>
    <mergeCell ref="B29:C29"/>
    <mergeCell ref="B32:C32"/>
    <mergeCell ref="G35:H35"/>
    <mergeCell ref="F32:I32"/>
    <mergeCell ref="E33:H33"/>
    <mergeCell ref="B34:C34"/>
    <mergeCell ref="E34:H34"/>
    <mergeCell ref="B33:C33"/>
    <mergeCell ref="B31:C31"/>
    <mergeCell ref="F29:H29"/>
    <mergeCell ref="F30:H30"/>
    <mergeCell ref="B3:I3"/>
    <mergeCell ref="F27:H27"/>
    <mergeCell ref="F26:H26"/>
    <mergeCell ref="B27:C27"/>
    <mergeCell ref="B28:C28"/>
    <mergeCell ref="B25:C25"/>
    <mergeCell ref="B26:C26"/>
    <mergeCell ref="C14:D15"/>
    <mergeCell ref="E14:H17"/>
    <mergeCell ref="B16:B17"/>
    <mergeCell ref="C16:D17"/>
    <mergeCell ref="G69:H69"/>
    <mergeCell ref="C58:D58"/>
    <mergeCell ref="B50:C50"/>
    <mergeCell ref="B30:C30"/>
    <mergeCell ref="B35:C35"/>
    <mergeCell ref="E59:F59"/>
    <mergeCell ref="G58:H58"/>
    <mergeCell ref="C59:D59"/>
    <mergeCell ref="E60:F60"/>
    <mergeCell ref="C60:D60"/>
    <mergeCell ref="G60:H60"/>
    <mergeCell ref="G59:H59"/>
    <mergeCell ref="B54:C54"/>
    <mergeCell ref="B53:C53"/>
    <mergeCell ref="B52:C52"/>
    <mergeCell ref="B51:C51"/>
  </mergeCells>
  <conditionalFormatting sqref="E58 G58 E60 G60:H60 E62 G62">
    <cfRule type="expression" dxfId="31" priority="6">
      <formula>OR(#REF!="Option B",OR(#REF!="Option X",#REF!="Option Y"))</formula>
    </cfRule>
  </conditionalFormatting>
  <conditionalFormatting sqref="E67 G67 E69 G69:H69">
    <cfRule type="expression" dxfId="30" priority="1">
      <formula>OR(#REF!="Option B",OR(#REF!="Option X",#REF!="Option Y"))</formula>
    </cfRule>
  </conditionalFormatting>
  <conditionalFormatting sqref="E71 G71">
    <cfRule type="expression" dxfId="29" priority="2">
      <formula>OR(#REF!="Option B",OR(#REF!="Option X",#REF!="Option Y"))</formula>
    </cfRule>
  </conditionalFormatting>
  <conditionalFormatting sqref="I26">
    <cfRule type="expression" dxfId="28" priority="7">
      <formula>IF(AND(SUM(D25:E27)&lt;0,I26=ERROR.TYPE),(#REF!/((D$25*(D$27-D$26))+(E$25*(E$27-E$26)))),0)</formula>
    </cfRule>
  </conditionalFormatting>
  <conditionalFormatting sqref="I27">
    <cfRule type="expression" dxfId="27" priority="8">
      <formula>IF(AND(SUM(F29:G30)&lt;0,I27=ERROR.TYPE),(#REF!/((D$25*(D$27-D$26))+(E$25*(E$27-E$26)))),0)</formula>
    </cfRule>
  </conditionalFormatting>
  <dataValidations xWindow="260" yWindow="462" count="1">
    <dataValidation allowBlank="1" showInputMessage="1" showErrorMessage="1" promptTitle="Don't delete me!" prompt="This cell contains an equation." sqref="C9 C20 I29:I30 I25:I27 I45:I47 I33:I41 I52:I55" xr:uid="{00000000-0002-0000-0800-000000000000}"/>
  </dataValidations>
  <hyperlinks>
    <hyperlink ref="D83" r:id="rId1" display="Source: Based on AP-42 9.9 (03/2003)" xr:uid="{00000000-0004-0000-0800-000000000000}"/>
    <hyperlink ref="C78" r:id="rId2" display="Minn Rule 7007.0200 Subpart 2. B." xr:uid="{00000000-0004-0000-0800-000001000000}"/>
    <hyperlink ref="E78" r:id="rId3" display="Minn Rule 7007.1130 Subpart 4. " xr:uid="{00000000-0004-0000-0800-000002000000}"/>
    <hyperlink ref="G78" r:id="rId4" display="Minn Rule 7007.1300 Subpart 3. J." xr:uid="{00000000-0004-0000-0800-000003000000}"/>
    <hyperlink ref="E79" r:id="rId5" xr:uid="{00000000-0004-0000-0800-000004000000}"/>
    <hyperlink ref="B82:F82" r:id="rId6" display="4 Average across MN precipitation data in Comparative Climatic Data (CCD-2015) tables, page 42." xr:uid="{00000000-0004-0000-0800-000005000000}"/>
    <hyperlink ref="B89" r:id="rId7" xr:uid="{00000000-0004-0000-0800-000006000000}"/>
    <hyperlink ref="K24" r:id="rId8" xr:uid="{23231D51-E495-4780-A3E9-6969385D8B96}"/>
    <hyperlink ref="K44" r:id="rId9" display="AP-42 13.2.4-1" xr:uid="{37769AAB-1604-47FE-9902-F6F34786EE6B}"/>
    <hyperlink ref="B86:F86" r:id="rId10" display="EPA Control of open fugitive dust sources, Sept. 1988, Equation 4-9" xr:uid="{65A1AFED-5B96-40C1-B5F5-001DCC72631F}"/>
  </hyperlinks>
  <pageMargins left="0.25" right="0.25" top="0.5" bottom="0.5" header="0.3" footer="0.3"/>
  <pageSetup orientation="landscape" r:id="rId11"/>
  <headerFooter>
    <oddFooter>&amp;L&amp;"Arial,Italic"&amp;8p-sbap5-20&amp;C&amp;"Arial,Italic"&amp;8https://www.pca.state.mn.us  •  Available in alternative formats  •  Use your preferred relay service&amp;R&amp;"Arial,Italic"&amp;8Page &amp;P of &amp;N</oddFooter>
    <firstFooter>&amp;L&amp;10Hot mix asphalt calculator - Instructions&amp;R&amp;10&amp;P</firstFooter>
  </headerFooter>
  <rowBreaks count="2" manualBreakCount="2">
    <brk id="21" min="1" max="8" man="1"/>
    <brk id="56" min="1" max="8" man="1"/>
  </rowBreaks>
  <colBreaks count="1" manualBreakCount="1">
    <brk id="15" min="41" max="68" man="1"/>
  </colBreaks>
  <drawing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49</vt:i4>
      </vt:variant>
    </vt:vector>
  </HeadingPairs>
  <TitlesOfParts>
    <vt:vector size="65" baseType="lpstr">
      <vt:lpstr>Instructions</vt:lpstr>
      <vt:lpstr>Federal standards</vt:lpstr>
      <vt:lpstr>State rules</vt:lpstr>
      <vt:lpstr>Hot mix asphalt</vt:lpstr>
      <vt:lpstr>Load out and silos</vt:lpstr>
      <vt:lpstr>Generator</vt:lpstr>
      <vt:lpstr>Natural gas (auxilary heat)</vt:lpstr>
      <vt:lpstr>Propane (auxilary heat)</vt:lpstr>
      <vt:lpstr>Fugitive</vt:lpstr>
      <vt:lpstr>Potential emissions</vt:lpstr>
      <vt:lpstr>Actual emissions</vt:lpstr>
      <vt:lpstr>Permits &amp; requirements</vt:lpstr>
      <vt:lpstr>Hot mix emission factors</vt:lpstr>
      <vt:lpstr>Engine Emission Factors</vt:lpstr>
      <vt:lpstr>Data Validation</vt:lpstr>
      <vt:lpstr>Data Validation Generator</vt:lpstr>
      <vt:lpstr>Ba</vt:lpstr>
      <vt:lpstr>Batch</vt:lpstr>
      <vt:lpstr>D</vt:lpstr>
      <vt:lpstr>Dr</vt:lpstr>
      <vt:lpstr>Drum</vt:lpstr>
      <vt:lpstr>Emer</vt:lpstr>
      <vt:lpstr>FC</vt:lpstr>
      <vt:lpstr>FT</vt:lpstr>
      <vt:lpstr>FU</vt:lpstr>
      <vt:lpstr>NG</vt:lpstr>
      <vt:lpstr>ng2l</vt:lpstr>
      <vt:lpstr>ngl</vt:lpstr>
      <vt:lpstr>ngr</vt:lpstr>
      <vt:lpstr>No</vt:lpstr>
      <vt:lpstr>NtrlGas</vt:lpstr>
      <vt:lpstr>O</vt:lpstr>
      <vt:lpstr>'Actual emissions'!Print_Area</vt:lpstr>
      <vt:lpstr>'Data Validation'!Print_Area</vt:lpstr>
      <vt:lpstr>'Federal standards'!Print_Area</vt:lpstr>
      <vt:lpstr>Fugitive!Print_Area</vt:lpstr>
      <vt:lpstr>Generator!Print_Area</vt:lpstr>
      <vt:lpstr>'Hot mix asphalt'!Print_Area</vt:lpstr>
      <vt:lpstr>'Hot mix emission factors'!Print_Area</vt:lpstr>
      <vt:lpstr>Instructions!Print_Area</vt:lpstr>
      <vt:lpstr>'Load out and silos'!Print_Area</vt:lpstr>
      <vt:lpstr>'Natural gas (auxilary heat)'!Print_Area</vt:lpstr>
      <vt:lpstr>'Permits &amp; requirements'!Print_Area</vt:lpstr>
      <vt:lpstr>'Potential emissions'!Print_Area</vt:lpstr>
      <vt:lpstr>'Propane (auxilary heat)'!Print_Area</vt:lpstr>
      <vt:lpstr>'State rules'!Print_Area</vt:lpstr>
      <vt:lpstr>'Actual emissions'!Print_Titles</vt:lpstr>
      <vt:lpstr>'Engine Emission Factors'!Print_Titles</vt:lpstr>
      <vt:lpstr>'Federal standards'!Print_Titles</vt:lpstr>
      <vt:lpstr>Generator!Print_Titles</vt:lpstr>
      <vt:lpstr>'Hot mix asphalt'!Print_Titles</vt:lpstr>
      <vt:lpstr>'Load out and silos'!Print_Titles</vt:lpstr>
      <vt:lpstr>'Natural gas (auxilary heat)'!Print_Titles</vt:lpstr>
      <vt:lpstr>'Permits &amp; requirements'!Print_Titles</vt:lpstr>
      <vt:lpstr>'Potential emissions'!Print_Titles</vt:lpstr>
      <vt:lpstr>pro</vt:lpstr>
      <vt:lpstr>rd</vt:lpstr>
      <vt:lpstr>rg</vt:lpstr>
      <vt:lpstr>routine</vt:lpstr>
      <vt:lpstr>SC</vt:lpstr>
      <vt:lpstr>select</vt:lpstr>
      <vt:lpstr>so</vt:lpstr>
      <vt:lpstr>ST</vt:lpstr>
      <vt:lpstr>SU</vt:lpstr>
      <vt:lpstr>tng</vt:lpstr>
    </vt:vector>
  </TitlesOfParts>
  <Manager>Sandra Simbeck</Manager>
  <Company>PCA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Hot mix asphalt air emissions calculator</dc:title>
  <dc:subject>SBEAP has developed a series of forms to help small businesses determine if they need an air emissions permit.</dc:subject>
  <dc:creator>Minnesota Pollution Control Agency - Emily Ohde (Sandra Simbeck)</dc:creator>
  <cp:keywords>Minnesota Pollution Control Agency,p-sbap5-20,MPCA,planning,small business environmental assistance program,emission summary,hot mix asphalt,air emissions calculator,actual,potential,pte</cp:keywords>
  <dc:description/>
  <cp:lastModifiedBy>Simbeck, Sandra (MPCA)</cp:lastModifiedBy>
  <cp:lastPrinted>2023-06-05T19:28:53Z</cp:lastPrinted>
  <dcterms:created xsi:type="dcterms:W3CDTF">2018-08-09T13:21:05Z</dcterms:created>
  <dcterms:modified xsi:type="dcterms:W3CDTF">2025-07-28T17:43:03Z</dcterms:modified>
  <cp:category>planning, small business assistance program</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88809413-1a3a-48f2-ba53-5345b84abfa8</vt:lpwstr>
  </property>
</Properties>
</file>