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T:\Klucas_Christopher.CK\Gail's T Drive\FORMS\Planning\p-sbap5 - SmallBusinessAsstProgram\Forms Updates - Ohde_Simbeck June 2023\"/>
    </mc:Choice>
  </mc:AlternateContent>
  <xr:revisionPtr revIDLastSave="0" documentId="13_ncr:1_{8F6B9B90-2D82-4DC4-81B3-36507F390FDC}" xr6:coauthVersionLast="47" xr6:coauthVersionMax="47" xr10:uidLastSave="{00000000-0000-0000-0000-000000000000}"/>
  <bookViews>
    <workbookView xWindow="-23148" yWindow="-108" windowWidth="23256" windowHeight="12576" tabRatio="894" xr2:uid="{00000000-000D-0000-FFFF-FFFF00000000}"/>
  </bookViews>
  <sheets>
    <sheet name="Instructions" sheetId="37" r:id="rId1"/>
    <sheet name="Dust control" sheetId="40" r:id="rId2"/>
    <sheet name="Standards" sheetId="38" r:id="rId3"/>
    <sheet name="Mechanical Finishing" sheetId="44" r:id="rId4"/>
    <sheet name="Abrasive Blasting" sheetId="42" r:id="rId5"/>
    <sheet name="Blasting charts" sheetId="41" r:id="rId6"/>
    <sheet name="Data Validation" sheetId="46" state="hidden" r:id="rId7"/>
  </sheets>
  <definedNames>
    <definedName name="_acl3">#REF!</definedName>
    <definedName name="alarp">#REF!</definedName>
    <definedName name="aliso">#REF!</definedName>
    <definedName name="alphno3">#REF!</definedName>
    <definedName name="alshno3">#REF!</definedName>
    <definedName name="blac">#REF!</definedName>
    <definedName name="blem">#REF!</definedName>
    <definedName name="blpc">#REF!</definedName>
    <definedName name="blpis">#REF!</definedName>
    <definedName name="blwa">#REF!</definedName>
    <definedName name="chrome">#REF!</definedName>
    <definedName name="clad">#REF!</definedName>
    <definedName name="clcc">#REF!</definedName>
    <definedName name="clpcc">#REF!</definedName>
    <definedName name="coeng">#REF!</definedName>
    <definedName name="elnlhcl">#REF!</definedName>
    <definedName name="elnlnicl">#REF!</definedName>
    <definedName name="elnlp">#REF!</definedName>
    <definedName name="elnlrp1">#REF!</definedName>
    <definedName name="elnlrp2">#REF!</definedName>
    <definedName name="enlnc">#REF!</definedName>
    <definedName name="enlns">#REF!</definedName>
    <definedName name="moisturecontent">#REF!</definedName>
    <definedName name="noxeng">#REF!</definedName>
    <definedName name="nrlac">#REF!</definedName>
    <definedName name="nrlem">#REF!</definedName>
    <definedName name="nrlpc">#REF!</definedName>
    <definedName name="nrlpis">#REF!</definedName>
    <definedName name="nrlwa">#REF!</definedName>
    <definedName name="palarp">#REF!</definedName>
    <definedName name="paliso">#REF!</definedName>
    <definedName name="palphno3">#REF!</definedName>
    <definedName name="palshno3">#REF!</definedName>
    <definedName name="pblac">#REF!</definedName>
    <definedName name="pblem">#REF!</definedName>
    <definedName name="pblpc">#REF!</definedName>
    <definedName name="pblpis">#REF!</definedName>
    <definedName name="pblwa">#REF!</definedName>
    <definedName name="pclad">#REF!</definedName>
    <definedName name="pclcc">#REF!</definedName>
    <definedName name="pclpcc">#REF!</definedName>
    <definedName name="pelnlhcl">#REF!</definedName>
    <definedName name="pelnlnicl">#REF!</definedName>
    <definedName name="pelnlp">#REF!</definedName>
    <definedName name="pelnlrp1">#REF!</definedName>
    <definedName name="pelnlrp2">#REF!</definedName>
    <definedName name="penlnc">#REF!</definedName>
    <definedName name="penlns">#REF!</definedName>
    <definedName name="pilekpm">#REF!</definedName>
    <definedName name="pilekpm10">#REF!</definedName>
    <definedName name="pilethroughput">#REF!</definedName>
    <definedName name="piletotalpm">#REF!</definedName>
    <definedName name="piletotalpm10">#REF!</definedName>
    <definedName name="pm10eng">#REF!</definedName>
    <definedName name="pmeng">#REF!</definedName>
    <definedName name="pmhandle">#REF!</definedName>
    <definedName name="pnrlac">#REF!</definedName>
    <definedName name="pnrlem">#REF!</definedName>
    <definedName name="pnrlpc">#REF!</definedName>
    <definedName name="pnrlpis">#REF!</definedName>
    <definedName name="pnrlwa">#REF!</definedName>
    <definedName name="_xlnm.Print_Area" localSheetId="4">'Abrasive Blasting'!$B$1:$S$53</definedName>
    <definedName name="_xlnm.Print_Area" localSheetId="5">'Blasting charts'!$B$1:$T$58</definedName>
    <definedName name="_xlnm.Print_Area" localSheetId="6">'Data Validation'!$B$1:$F$44</definedName>
    <definedName name="_xlnm.Print_Area" localSheetId="1">'Dust control'!$B$1:$O$28</definedName>
    <definedName name="_xlnm.Print_Area" localSheetId="0">Instructions!$B$1:$O$30</definedName>
    <definedName name="_xlnm.Print_Area" localSheetId="3">'Mechanical Finishing'!$B$1:$J$68</definedName>
    <definedName name="_xlnm.Print_Area" localSheetId="2">Standards!$B$1:$O$65</definedName>
    <definedName name="prlac">#REF!</definedName>
    <definedName name="prlem">#REF!</definedName>
    <definedName name="prlpc">#REF!</definedName>
    <definedName name="prlpis">#REF!</definedName>
    <definedName name="prlwa">#REF!</definedName>
    <definedName name="pstlac">#REF!</definedName>
    <definedName name="pstlem">#REF!</definedName>
    <definedName name="pstlpc">#REF!</definedName>
    <definedName name="pstlpis">#REF!</definedName>
    <definedName name="pstlwa">#REF!</definedName>
    <definedName name="ptepm10han">#REF!</definedName>
    <definedName name="ptepm10pile">#REF!</definedName>
    <definedName name="ptepmhan">#REF!</definedName>
    <definedName name="ptepmpile">#REF!</definedName>
    <definedName name="rlac">#REF!</definedName>
    <definedName name="rlem">#REF!</definedName>
    <definedName name="rlpc">#REF!</definedName>
    <definedName name="rlpis">#REF!</definedName>
    <definedName name="rlwa">#REF!</definedName>
    <definedName name="soxeng">#REF!</definedName>
    <definedName name="stlac">#REF!</definedName>
    <definedName name="stlem">#REF!</definedName>
    <definedName name="stlpc">#REF!</definedName>
    <definedName name="stlpis">#REF!</definedName>
    <definedName name="stlwa">#REF!</definedName>
    <definedName name="throughput">#REF!</definedName>
    <definedName name="voceng">#REF!</definedName>
    <definedName name="windspe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40" l="1"/>
  <c r="M27" i="42" l="1"/>
  <c r="F39" i="42" l="1"/>
  <c r="J31" i="41" l="1"/>
  <c r="K44" i="41" s="1"/>
  <c r="I31" i="41"/>
  <c r="J41" i="42"/>
  <c r="T7" i="41"/>
  <c r="K42" i="41" l="1"/>
  <c r="K40" i="41"/>
  <c r="L35" i="41"/>
  <c r="K36" i="41"/>
  <c r="L41" i="41"/>
  <c r="K32" i="41"/>
  <c r="L37" i="41"/>
  <c r="L43" i="41"/>
  <c r="L33" i="41"/>
  <c r="L39" i="41"/>
  <c r="K34" i="41"/>
  <c r="K38" i="41"/>
  <c r="L31" i="41" l="1"/>
  <c r="N42" i="42" s="1"/>
  <c r="K31" i="41"/>
  <c r="N41" i="42" s="1"/>
  <c r="R20" i="41" l="1"/>
  <c r="R19" i="41"/>
  <c r="R17" i="41"/>
  <c r="R16" i="41"/>
  <c r="R15" i="41"/>
  <c r="R14" i="41"/>
  <c r="R13" i="41"/>
  <c r="R12" i="41"/>
  <c r="R11" i="41"/>
  <c r="R10" i="41"/>
  <c r="R9" i="41"/>
  <c r="R8" i="41"/>
  <c r="Q17" i="41"/>
  <c r="Q16" i="41"/>
  <c r="Q15" i="41"/>
  <c r="Q14" i="41"/>
  <c r="Q13" i="41"/>
  <c r="Q12" i="41"/>
  <c r="Q11" i="41"/>
  <c r="Q10" i="41"/>
  <c r="Q9" i="41"/>
  <c r="Q8" i="41"/>
  <c r="B43" i="46"/>
  <c r="E43" i="46" s="1"/>
  <c r="R7" i="41" l="1"/>
  <c r="Q7" i="41"/>
  <c r="B1" i="46"/>
  <c r="P17" i="41"/>
  <c r="P16" i="41"/>
  <c r="P15" i="41"/>
  <c r="P14" i="41"/>
  <c r="P13" i="41"/>
  <c r="P12" i="41"/>
  <c r="P11" i="41"/>
  <c r="P10" i="41"/>
  <c r="P9" i="41"/>
  <c r="P8" i="41"/>
  <c r="L8" i="41"/>
  <c r="N8" i="41" s="1"/>
  <c r="K8" i="41"/>
  <c r="M8" i="41" s="1"/>
  <c r="S15" i="41" l="1"/>
  <c r="S11" i="41"/>
  <c r="S14" i="41"/>
  <c r="S10" i="41"/>
  <c r="S17" i="41"/>
  <c r="S13" i="41"/>
  <c r="S9" i="41"/>
  <c r="S16" i="41"/>
  <c r="S12" i="41"/>
  <c r="S8" i="41"/>
  <c r="O9" i="41"/>
  <c r="K9" i="41" s="1"/>
  <c r="L9" i="41" s="1"/>
  <c r="M9" i="41" s="1"/>
  <c r="N9" i="41" s="1"/>
  <c r="O10" i="41"/>
  <c r="K10" i="41" s="1"/>
  <c r="L10" i="41" s="1"/>
  <c r="M10" i="41" s="1"/>
  <c r="N10" i="41" s="1"/>
  <c r="B1" i="44"/>
  <c r="S7" i="41" l="1"/>
  <c r="E4" i="41" s="1"/>
  <c r="O11" i="41"/>
  <c r="K11" i="41" s="1"/>
  <c r="L11" i="41" s="1"/>
  <c r="M11" i="41" s="1"/>
  <c r="N11" i="41" s="1"/>
  <c r="D39" i="42" l="1"/>
  <c r="L41" i="42" s="1"/>
  <c r="O12" i="41"/>
  <c r="K12" i="41" s="1"/>
  <c r="L12" i="41" s="1"/>
  <c r="M12" i="41" s="1"/>
  <c r="N12" i="41" s="1"/>
  <c r="J46" i="42"/>
  <c r="P46" i="42" s="1"/>
  <c r="J47" i="42"/>
  <c r="P47" i="42" s="1"/>
  <c r="D25" i="41"/>
  <c r="D24" i="41"/>
  <c r="D23" i="41"/>
  <c r="J42" i="42" s="1"/>
  <c r="J43" i="42" s="1"/>
  <c r="J48" i="42"/>
  <c r="P48" i="42" s="1"/>
  <c r="J49" i="42"/>
  <c r="P49" i="42" s="1"/>
  <c r="J50" i="42"/>
  <c r="P50" i="42" s="1"/>
  <c r="J45" i="42"/>
  <c r="P45" i="42" s="1"/>
  <c r="O13" i="41" l="1"/>
  <c r="K13" i="41" s="1"/>
  <c r="L13" i="41" s="1"/>
  <c r="M13" i="41" s="1"/>
  <c r="N13" i="41" s="1"/>
  <c r="L46" i="42"/>
  <c r="L47" i="42"/>
  <c r="M47" i="42"/>
  <c r="M46" i="42"/>
  <c r="P41" i="42"/>
  <c r="P42" i="42"/>
  <c r="P43" i="42"/>
  <c r="E31" i="44"/>
  <c r="E23" i="44"/>
  <c r="E25" i="44" s="1"/>
  <c r="E33" i="44" l="1"/>
  <c r="E37" i="44" s="1"/>
  <c r="O14" i="41"/>
  <c r="K14" i="41" s="1"/>
  <c r="L14" i="41" s="1"/>
  <c r="M14" i="41" s="1"/>
  <c r="N14" i="41" s="1"/>
  <c r="O15" i="41" l="1"/>
  <c r="K15" i="41" s="1"/>
  <c r="L15" i="41" s="1"/>
  <c r="M15" i="41" s="1"/>
  <c r="N15" i="41" s="1"/>
  <c r="M48" i="42"/>
  <c r="M50" i="42"/>
  <c r="L49" i="42"/>
  <c r="L45" i="42"/>
  <c r="M49" i="42"/>
  <c r="L48" i="42"/>
  <c r="L50" i="42"/>
  <c r="M45" i="42"/>
  <c r="L42" i="42"/>
  <c r="M42" i="42"/>
  <c r="M43" i="42"/>
  <c r="L43" i="42"/>
  <c r="B1" i="42"/>
  <c r="O16" i="41" l="1"/>
  <c r="K16" i="41" s="1"/>
  <c r="L16" i="41" s="1"/>
  <c r="M16" i="41" s="1"/>
  <c r="N16" i="41" s="1"/>
  <c r="M41" i="42"/>
  <c r="O17" i="41" l="1"/>
  <c r="K17" i="41" s="1"/>
  <c r="L17" i="41" s="1"/>
  <c r="M17" i="41" s="1"/>
  <c r="N17" i="41" s="1"/>
  <c r="B1" i="41"/>
  <c r="B1" i="38" l="1"/>
</calcChain>
</file>

<file path=xl/sharedStrings.xml><?xml version="1.0" encoding="utf-8"?>
<sst xmlns="http://schemas.openxmlformats.org/spreadsheetml/2006/main" count="433" uniqueCount="333">
  <si>
    <t>Pollutant</t>
  </si>
  <si>
    <t>psig</t>
  </si>
  <si>
    <t>Sand</t>
  </si>
  <si>
    <t>Grit</t>
  </si>
  <si>
    <t>Other</t>
  </si>
  <si>
    <t>PM (lb PM/lb abrasive)</t>
  </si>
  <si>
    <t>Emission Factors for Abrasives*</t>
  </si>
  <si>
    <t>PM10 (lb PM10/lb of Abrasive)**</t>
  </si>
  <si>
    <t xml:space="preserve">PM10 emissions derived from STAPPA/ALAPCO PM10 factors which were based on the amount of PM generated:  </t>
  </si>
  <si>
    <t>sand = 0.7 lbs PM10 per lb of PM; grit= 0.7 lb PM10 per lb of PM; Steel shot = 0.86 lb PM10 per lb of PM</t>
  </si>
  <si>
    <t>Blue</t>
  </si>
  <si>
    <t>Orange</t>
  </si>
  <si>
    <t>White</t>
  </si>
  <si>
    <t>Green</t>
  </si>
  <si>
    <t>Yellow</t>
  </si>
  <si>
    <t>For "Other", assume PM10=PM</t>
  </si>
  <si>
    <t>Instructions</t>
  </si>
  <si>
    <t>Enter information for your facility in the blue boxes.</t>
  </si>
  <si>
    <t>Orange boxes are filled with standard values. You can change them if you have test results that provide data specific to your site.</t>
  </si>
  <si>
    <t xml:space="preserve">Do not change the values or formulas in white boxes. White boxes contain intermediate calculations for determining emissions.  </t>
  </si>
  <si>
    <t>Your emission totals are in green boxes. These are automatically calculated based on information entered in blue boxes.</t>
  </si>
  <si>
    <t>Permit and insignificant activity thresholds</t>
  </si>
  <si>
    <t>Call:</t>
  </si>
  <si>
    <t>Email:</t>
  </si>
  <si>
    <t>smallbizhelp.pca@state.mn.us</t>
  </si>
  <si>
    <t>1)</t>
  </si>
  <si>
    <t>Implementing dust control measures</t>
  </si>
  <si>
    <t>Constantly monitor the effectiveness of your dust control measures. If dust is released into the air even with the measures you have implemented, you must take additional measures. If environmental conditions (such as high winds) prevent complete capture of particulate matter, you must stop blasting until conditions improve or you apply enough additional control measures to prevent a release.</t>
  </si>
  <si>
    <t>Such measures may include:</t>
  </si>
  <si>
    <t xml:space="preserve">Permanent enclosures or temporary tenting over equipment being blasted or over the entire area </t>
  </si>
  <si>
    <t>Modified-wet blasting (adding only enough water to the air-based blasting stream to capture dust without causing the wetted dust to adhere to the surface being blasted)</t>
  </si>
  <si>
    <t xml:space="preserve">Vacuum blasting (air-based blasting using a nozzle attachment and negative air pressure to capture dust) </t>
  </si>
  <si>
    <t>Other dust-control techniques</t>
  </si>
  <si>
    <t>blasting a structure that may bear lead paint</t>
  </si>
  <si>
    <t>blasting a residence, school, or any building built before 1978 in which children are cared for</t>
  </si>
  <si>
    <t>blasting steel structures such as bridges, water towers, aboveground storage tanks, grain bins, truss towers, railroad cars, barges, and commercial vehicles/trucks</t>
  </si>
  <si>
    <t>the management and disposal of blasting debris</t>
  </si>
  <si>
    <t>https://www.pca.state.mn.us/sites/default/files/w-hw4-39a.pdf</t>
  </si>
  <si>
    <t xml:space="preserve">▪ </t>
  </si>
  <si>
    <r>
      <rPr>
        <u/>
        <vertAlign val="superscript"/>
        <sz val="9"/>
        <color theme="10"/>
        <rFont val="Arial"/>
        <family val="2"/>
      </rPr>
      <t>1</t>
    </r>
    <r>
      <rPr>
        <u/>
        <sz val="9"/>
        <color theme="10"/>
        <rFont val="Arial"/>
        <family val="2"/>
      </rPr>
      <t>Minn. R. 7011.0150</t>
    </r>
  </si>
  <si>
    <t>Air emissions from abrasive blasting</t>
  </si>
  <si>
    <r>
      <t>Flow Rate at the nozzle</t>
    </r>
    <r>
      <rPr>
        <sz val="11"/>
        <rFont val="Arial"/>
        <family val="2"/>
      </rPr>
      <t xml:space="preserve"> </t>
    </r>
    <r>
      <rPr>
        <sz val="9"/>
        <rFont val="Arial"/>
        <family val="2"/>
      </rPr>
      <t>(lb abrasive/hr)*</t>
    </r>
  </si>
  <si>
    <r>
      <t xml:space="preserve">Internal Nozzle Diameter
</t>
    </r>
    <r>
      <rPr>
        <sz val="9"/>
        <rFont val="Arial"/>
        <family val="2"/>
      </rPr>
      <t>(inches)</t>
    </r>
  </si>
  <si>
    <r>
      <t xml:space="preserve">Nozzle Pressure
</t>
    </r>
    <r>
      <rPr>
        <sz val="9"/>
        <rFont val="Arial"/>
        <family val="2"/>
      </rPr>
      <t>(psig)</t>
    </r>
  </si>
  <si>
    <t>Blast media</t>
  </si>
  <si>
    <t>PM</t>
  </si>
  <si>
    <t>PM10</t>
  </si>
  <si>
    <t>PM2.5</t>
  </si>
  <si>
    <t>lb/hour</t>
  </si>
  <si>
    <t>a</t>
  </si>
  <si>
    <t>b</t>
  </si>
  <si>
    <t>c</t>
  </si>
  <si>
    <t>d</t>
  </si>
  <si>
    <t>Maximum hourly usage</t>
  </si>
  <si>
    <t>(hr/yr)</t>
  </si>
  <si>
    <t>(ton/yr)</t>
  </si>
  <si>
    <t>(tons/yr)</t>
  </si>
  <si>
    <t>24 hr/day * 365 day/yr</t>
  </si>
  <si>
    <t>by pollutant</t>
  </si>
  <si>
    <t>(lb/hr)</t>
  </si>
  <si>
    <t>Actual annual throughput</t>
  </si>
  <si>
    <t>(lb/yr)</t>
  </si>
  <si>
    <t>(a * c * d) / 2000</t>
  </si>
  <si>
    <t>( b * d ) / 2000</t>
  </si>
  <si>
    <t>Manufacturer rated capacity</t>
  </si>
  <si>
    <t>Choose one</t>
  </si>
  <si>
    <t>Description</t>
  </si>
  <si>
    <t>Nozzle parameters</t>
  </si>
  <si>
    <t>The diameter and pressure at the nozzle identified on manufacturer specifications.</t>
  </si>
  <si>
    <t xml:space="preserve">Maximum amount of abrasive/blast media that the equipment is capable of passing through the gun. </t>
  </si>
  <si>
    <t>Abrasive/blast media characteristics</t>
  </si>
  <si>
    <t>Equipment and manufacturer specifications</t>
  </si>
  <si>
    <t>Which abrasive is being used?</t>
  </si>
  <si>
    <t>Abrasive</t>
  </si>
  <si>
    <t>Shot</t>
  </si>
  <si>
    <t>There are two manufacturer specifications that may be used for determining the maximum capacity of the abrasive blasting operation.</t>
  </si>
  <si>
    <t>Specification</t>
  </si>
  <si>
    <t>Examples of media</t>
  </si>
  <si>
    <t>Which manufacturer specification will you use to calculate maximum capacity?</t>
  </si>
  <si>
    <r>
      <t xml:space="preserve">The </t>
    </r>
    <r>
      <rPr>
        <b/>
        <sz val="10"/>
        <color theme="1"/>
        <rFont val="Arial"/>
        <family val="2"/>
      </rPr>
      <t>rate</t>
    </r>
    <r>
      <rPr>
        <sz val="10"/>
        <color theme="1"/>
        <rFont val="Arial"/>
        <family val="2"/>
      </rPr>
      <t xml:space="preserve"> or </t>
    </r>
    <r>
      <rPr>
        <b/>
        <sz val="10"/>
        <color theme="1"/>
        <rFont val="Arial"/>
        <family val="2"/>
      </rPr>
      <t>parameters</t>
    </r>
    <r>
      <rPr>
        <sz val="10"/>
        <color theme="1"/>
        <rFont val="Arial"/>
        <family val="2"/>
      </rPr>
      <t xml:space="preserve"> used must be identified by the manufacturer of the blasting equipment.</t>
    </r>
  </si>
  <si>
    <t>Nozzle diameter</t>
  </si>
  <si>
    <t>Nozzle pressure</t>
  </si>
  <si>
    <r>
      <t>lb/ft</t>
    </r>
    <r>
      <rPr>
        <vertAlign val="superscript"/>
        <sz val="10"/>
        <rFont val="Arial"/>
        <family val="2"/>
      </rPr>
      <t>3</t>
    </r>
  </si>
  <si>
    <r>
      <t>Density (lb/ft</t>
    </r>
    <r>
      <rPr>
        <b/>
        <vertAlign val="superscript"/>
        <sz val="10"/>
        <rFont val="Arial"/>
        <family val="2"/>
      </rPr>
      <t>3</t>
    </r>
    <r>
      <rPr>
        <b/>
        <sz val="10"/>
        <rFont val="Arial"/>
        <family val="2"/>
      </rPr>
      <t>)</t>
    </r>
  </si>
  <si>
    <t>Required</t>
  </si>
  <si>
    <t xml:space="preserve">Grit </t>
  </si>
  <si>
    <t xml:space="preserve"> </t>
  </si>
  <si>
    <t>Regulations and requirements</t>
  </si>
  <si>
    <r>
      <rPr>
        <b/>
        <sz val="8"/>
        <rFont val="Arial"/>
        <family val="2"/>
      </rPr>
      <t>NAICS Description</t>
    </r>
  </si>
  <si>
    <r>
      <rPr>
        <b/>
        <sz val="8"/>
        <rFont val="Arial"/>
        <family val="2"/>
      </rPr>
      <t>EPA Source Category</t>
    </r>
  </si>
  <si>
    <r>
      <rPr>
        <b/>
        <sz val="8"/>
        <rFont val="Arial"/>
        <family val="2"/>
      </rPr>
      <t>SIC Code Description</t>
    </r>
  </si>
  <si>
    <r>
      <rPr>
        <sz val="8"/>
        <rFont val="Arial"/>
        <family val="2"/>
      </rPr>
      <t>Iron and Steel Forging</t>
    </r>
  </si>
  <si>
    <r>
      <rPr>
        <sz val="8"/>
        <rFont val="Arial"/>
        <family val="2"/>
      </rPr>
      <t>Powder Metallurgy Part Manufacturing</t>
    </r>
  </si>
  <si>
    <r>
      <rPr>
        <sz val="8"/>
        <rFont val="Arial"/>
        <family val="2"/>
      </rPr>
      <t>Fabricated Metal Products, NEC</t>
    </r>
  </si>
  <si>
    <r>
      <rPr>
        <sz val="8"/>
        <rFont val="Arial"/>
        <family val="2"/>
      </rPr>
      <t>Fabricated Structural Metal Manufacturing</t>
    </r>
  </si>
  <si>
    <r>
      <rPr>
        <sz val="8"/>
        <rFont val="Arial"/>
        <family val="2"/>
      </rPr>
      <t>Fabricated Structural Metal Fabrication</t>
    </r>
  </si>
  <si>
    <r>
      <rPr>
        <sz val="8"/>
        <rFont val="Arial"/>
        <family val="2"/>
      </rPr>
      <t>Plate Work Manufacturing</t>
    </r>
  </si>
  <si>
    <r>
      <rPr>
        <sz val="8"/>
        <rFont val="Arial"/>
        <family val="2"/>
      </rPr>
      <t>Fabricated Plate Work (Boiler Shops)</t>
    </r>
  </si>
  <si>
    <r>
      <rPr>
        <sz val="8"/>
        <rFont val="Arial"/>
        <family val="2"/>
      </rPr>
      <t>Fabricated Plate Work and Boiler Shops</t>
    </r>
  </si>
  <si>
    <r>
      <rPr>
        <sz val="8"/>
        <rFont val="Arial"/>
        <family val="2"/>
      </rPr>
      <t>Power Boiler and Heat Exchanger Manufacturing</t>
    </r>
  </si>
  <si>
    <r>
      <rPr>
        <sz val="8"/>
        <rFont val="Arial"/>
        <family val="2"/>
      </rPr>
      <t>Metal Tank (Heavy Gauge) Manufacturing</t>
    </r>
  </si>
  <si>
    <r>
      <rPr>
        <sz val="8"/>
        <rFont val="Arial"/>
        <family val="2"/>
      </rPr>
      <t>Other Fabricated Wire Product Manufacturing</t>
    </r>
  </si>
  <si>
    <r>
      <rPr>
        <sz val="8"/>
        <rFont val="Arial"/>
        <family val="2"/>
      </rPr>
      <t>Primary Metals Products Manufacturing</t>
    </r>
  </si>
  <si>
    <r>
      <rPr>
        <sz val="8"/>
        <rFont val="Arial"/>
        <family val="2"/>
      </rPr>
      <t>Other Metal Valve and Pipe Fitting Manufacturing</t>
    </r>
  </si>
  <si>
    <r>
      <rPr>
        <sz val="8"/>
        <rFont val="Arial"/>
        <family val="2"/>
      </rPr>
      <t>Valves and Pipe Fittings, NEC</t>
    </r>
  </si>
  <si>
    <r>
      <rPr>
        <sz val="8"/>
        <rFont val="Arial"/>
        <family val="2"/>
      </rPr>
      <t>Construction Machinery Manufacturing</t>
    </r>
  </si>
  <si>
    <r>
      <rPr>
        <sz val="8"/>
        <rFont val="Arial"/>
        <family val="2"/>
      </rPr>
      <t>Industrial Machinery &amp; Equipment: Finishing Ops</t>
    </r>
  </si>
  <si>
    <r>
      <rPr>
        <sz val="8"/>
        <rFont val="Arial"/>
        <family val="2"/>
      </rPr>
      <t>Oil and Gas Field Machinery Equipment Manufacturing</t>
    </r>
  </si>
  <si>
    <r>
      <rPr>
        <sz val="8"/>
        <rFont val="Arial"/>
        <family val="2"/>
      </rPr>
      <t>Heating Equipment, except electric</t>
    </r>
  </si>
  <si>
    <r>
      <rPr>
        <sz val="8"/>
        <rFont val="Arial"/>
        <family val="2"/>
      </rPr>
      <t>Pump and Pumping Equipment Manufacturing</t>
    </r>
  </si>
  <si>
    <r>
      <rPr>
        <sz val="8"/>
        <rFont val="Arial"/>
        <family val="2"/>
      </rPr>
      <t>Pumps and Pumping Equipment Manufacturing</t>
    </r>
  </si>
  <si>
    <r>
      <rPr>
        <sz val="8"/>
        <rFont val="Arial"/>
        <family val="2"/>
      </rPr>
      <t>Motor and Generator Manufacturing</t>
    </r>
  </si>
  <si>
    <r>
      <rPr>
        <sz val="8"/>
        <rFont val="Arial"/>
        <family val="2"/>
      </rPr>
      <t>Electrical &amp; Electronic Equipment Finishing Ops</t>
    </r>
  </si>
  <si>
    <r>
      <rPr>
        <sz val="8"/>
        <rFont val="Arial"/>
        <family val="2"/>
      </rPr>
      <t>Motors and Generators Manufacturing</t>
    </r>
  </si>
  <si>
    <r>
      <rPr>
        <sz val="8"/>
        <rFont val="Arial"/>
        <family val="2"/>
      </rPr>
      <t>Electrical Machinery, Equipment, and Supplies, NEC</t>
    </r>
  </si>
  <si>
    <t>NAICS</t>
  </si>
  <si>
    <t>SIC</t>
  </si>
  <si>
    <t>NEC = not elsewhere classified</t>
  </si>
  <si>
    <t>Minn. R. 7007.1300, subp. 2</t>
  </si>
  <si>
    <t>Full Text:</t>
  </si>
  <si>
    <t>2)</t>
  </si>
  <si>
    <t>EPA Rule information</t>
  </si>
  <si>
    <t>U.S. Environmental Protection Agency (EPA) standards</t>
  </si>
  <si>
    <t>This standard applies to dry abrasive blasting if</t>
  </si>
  <si>
    <t xml:space="preserve">your abrasive blast media contains more than </t>
  </si>
  <si>
    <t>1.0% manganese</t>
  </si>
  <si>
    <t>40 CFR 63, subp. XXXXXX</t>
  </si>
  <si>
    <t xml:space="preserve">Flow chart: </t>
  </si>
  <si>
    <t>Applicability and requirements</t>
  </si>
  <si>
    <t>Resource:</t>
  </si>
  <si>
    <t>0.1% cadmium, chromium, nickel, or lead</t>
  </si>
  <si>
    <t>MPCA standards</t>
  </si>
  <si>
    <r>
      <t>Regardless of the air emission calculation results and whether an air permit is required, you must take all reasonable measures to control dust and prevent the release of particulate matter from air-based blasting operations.</t>
    </r>
    <r>
      <rPr>
        <b/>
        <vertAlign val="superscript"/>
        <sz val="10"/>
        <rFont val="Arial"/>
        <family val="2"/>
      </rPr>
      <t>1</t>
    </r>
  </si>
  <si>
    <t>Minn. R. 7008.4110</t>
  </si>
  <si>
    <t>Abrasive blasting is part of routine housekeeping or facility maintenance and not associated with your primary manufacturing or processes.</t>
  </si>
  <si>
    <t>Abrasives are suspended in water or sponge media.</t>
  </si>
  <si>
    <r>
      <t xml:space="preserve">The </t>
    </r>
    <r>
      <rPr>
        <b/>
        <sz val="10"/>
        <rFont val="Arial"/>
        <family val="2"/>
      </rPr>
      <t>potential</t>
    </r>
    <r>
      <rPr>
        <sz val="10"/>
        <rFont val="Arial"/>
        <family val="2"/>
      </rPr>
      <t xml:space="preserve"> amount of particulate matter air emissions is 1 ton or less. </t>
    </r>
  </si>
  <si>
    <r>
      <t xml:space="preserve">Conditionally insignificant activity </t>
    </r>
    <r>
      <rPr>
        <sz val="10"/>
        <color theme="1"/>
        <rFont val="Arial"/>
        <family val="2"/>
      </rPr>
      <t xml:space="preserve">must meet </t>
    </r>
    <r>
      <rPr>
        <u/>
        <sz val="10"/>
        <color theme="1"/>
        <rFont val="Arial"/>
        <family val="2"/>
      </rPr>
      <t>all</t>
    </r>
    <r>
      <rPr>
        <sz val="10"/>
        <color theme="1"/>
        <rFont val="Arial"/>
        <family val="2"/>
      </rPr>
      <t xml:space="preserve"> of the following:</t>
    </r>
  </si>
  <si>
    <r>
      <t xml:space="preserve">The </t>
    </r>
    <r>
      <rPr>
        <b/>
        <sz val="10"/>
        <rFont val="Arial"/>
        <family val="2"/>
      </rPr>
      <t>actual</t>
    </r>
    <r>
      <rPr>
        <sz val="10"/>
        <rFont val="Arial"/>
        <family val="2"/>
      </rPr>
      <t xml:space="preserve"> amount of particulate matter emissions is 5 tons or less from all mechanical finishing at the business </t>
    </r>
  </si>
  <si>
    <t>Calculate potential emissions using the Abrasive Blasting tab.</t>
  </si>
  <si>
    <t>National emission standards for hazardous air pollutants (NESHAP) for metal fabrication and finishing</t>
  </si>
  <si>
    <t>Table: source categories affected by NESHAP 6X</t>
  </si>
  <si>
    <r>
      <rPr>
        <i/>
        <sz val="9"/>
        <rFont val="Arial"/>
        <family val="2"/>
      </rPr>
      <t xml:space="preserve">Hint: </t>
    </r>
    <r>
      <rPr>
        <sz val="9"/>
        <rFont val="Arial"/>
        <family val="2"/>
      </rPr>
      <t xml:space="preserve">If you are unsure, tax forms and worker's compensation documents often identify your NAICS or SIC code. </t>
    </r>
  </si>
  <si>
    <t>Minn. R. 7007.1300, subp. 3</t>
  </si>
  <si>
    <t>Must calculate actual emissions using Mechanical Finishing tab.</t>
  </si>
  <si>
    <t>Enter information for your business in the blue cells.</t>
  </si>
  <si>
    <t>Step 1</t>
  </si>
  <si>
    <t>Enter total hours the control equipment was operated last year</t>
  </si>
  <si>
    <t>hours</t>
  </si>
  <si>
    <t>Enter the design concentration of PM from your control equipment</t>
  </si>
  <si>
    <t>grain/cubic foot</t>
  </si>
  <si>
    <t>This information is often listed on the control equipment nameplate, or enter 0.07 if you have cyclones or 0.03 if you have fabric filters.</t>
  </si>
  <si>
    <t xml:space="preserve">Designed airflow rate from the control equipment </t>
  </si>
  <si>
    <t>CFM</t>
  </si>
  <si>
    <t>This information is often listed on the equipment nameplate.</t>
  </si>
  <si>
    <t>Conversion factor</t>
  </si>
  <si>
    <t>lb./grain * min/hour</t>
  </si>
  <si>
    <t>1 lb. = 7000 grains; 60 minutes = 1 hour</t>
  </si>
  <si>
    <t>e</t>
  </si>
  <si>
    <t>pounds of PM emissions from control equipment for the year</t>
  </si>
  <si>
    <t>Step 2</t>
  </si>
  <si>
    <t>Choose control equipment type</t>
  </si>
  <si>
    <t>Ratio of uncaptured to captured emissions from the control equipment</t>
  </si>
  <si>
    <t>pounds of uncaptured emissions from control equipment for the year</t>
  </si>
  <si>
    <t>Result</t>
  </si>
  <si>
    <t>total pounds of particulate matter for the year</t>
  </si>
  <si>
    <t>Air emissions from mechanical finishing, conditionally insignificant activity</t>
  </si>
  <si>
    <t>Use this calculator to see if your mechanical finishing operations are a conditionally insignificant activity and to recalculate annually.</t>
  </si>
  <si>
    <t xml:space="preserve">A. install, operate, and maintain control equipment designed to control emissions of particulate matter on the mechanical finishing operations; and
</t>
  </si>
  <si>
    <t>B. limit emissions of particulate matter from all mechanical finishing operations to less than 10,000 pounds in each calendar year, calculated according to the method below. All emissions of particulate matter from all mechanical finishing operations at the stationary source must be accounted for in the annual calculation.</t>
  </si>
  <si>
    <t>In order to qualify, you must:</t>
  </si>
  <si>
    <t>Control equipment type</t>
  </si>
  <si>
    <t>total enclosure vented to any type of control equipment</t>
  </si>
  <si>
    <t>certified hood vented to a fabric filter</t>
  </si>
  <si>
    <t>certified hood vented to a cyclone or other type of control equipment</t>
  </si>
  <si>
    <t>uncertified hood vented to a fabric filter</t>
  </si>
  <si>
    <t>uncertified hood vented to a cyclone or other type of control equipment</t>
  </si>
  <si>
    <t>Control equipment selection</t>
  </si>
  <si>
    <t>Silica sand, crushed glass</t>
  </si>
  <si>
    <t>Metals, minerals, synthetics</t>
  </si>
  <si>
    <t>Coal and smelter slag, glass beads</t>
  </si>
  <si>
    <t>Metals, minerals, synthetics, cut wire</t>
  </si>
  <si>
    <t xml:space="preserve">If the abrasive media you are using does not fit into any of the categories provided, select "Other" from the drop-down list. </t>
  </si>
  <si>
    <t>Criteria air pollutants</t>
  </si>
  <si>
    <t>Manufacturer Specification</t>
  </si>
  <si>
    <t>Manufacturer maximum rate</t>
  </si>
  <si>
    <t>Abrasive blasting emission calculations</t>
  </si>
  <si>
    <t>(%)</t>
  </si>
  <si>
    <r>
      <t>Hazardous air pollutants</t>
    </r>
    <r>
      <rPr>
        <b/>
        <vertAlign val="superscript"/>
        <sz val="10"/>
        <rFont val="Arial"/>
        <family val="2"/>
      </rPr>
      <t>2</t>
    </r>
  </si>
  <si>
    <r>
      <t>(%)</t>
    </r>
    <r>
      <rPr>
        <vertAlign val="superscript"/>
        <sz val="9"/>
        <rFont val="Arial"/>
        <family val="2"/>
      </rPr>
      <t>3</t>
    </r>
  </si>
  <si>
    <t>inches</t>
  </si>
  <si>
    <t>487 (steel)</t>
  </si>
  <si>
    <t>160 (aluminum oxide)</t>
  </si>
  <si>
    <t>99 (sand)</t>
  </si>
  <si>
    <t>Calculate actual emissions</t>
  </si>
  <si>
    <t>Control equipment</t>
  </si>
  <si>
    <t>Certified hood</t>
  </si>
  <si>
    <t>Total enclosure</t>
  </si>
  <si>
    <t>Uncertified hood</t>
  </si>
  <si>
    <r>
      <t>PM</t>
    </r>
    <r>
      <rPr>
        <vertAlign val="subscript"/>
        <sz val="10"/>
        <rFont val="Arial"/>
        <family val="2"/>
      </rPr>
      <t>10</t>
    </r>
  </si>
  <si>
    <t>Cyclone (high efficiency)</t>
  </si>
  <si>
    <t>Cyclone (medium efficiency)</t>
  </si>
  <si>
    <t>Cyclone (low efficiency)</t>
  </si>
  <si>
    <t>Wet cyclone</t>
  </si>
  <si>
    <t>Wall or panel filter</t>
  </si>
  <si>
    <t>HEPA or ULPA filter</t>
  </si>
  <si>
    <t>None claimed</t>
  </si>
  <si>
    <t>Control efficiency (%)</t>
  </si>
  <si>
    <t>Ratio Dimensions</t>
  </si>
  <si>
    <t>High Efficiency</t>
  </si>
  <si>
    <t>Medium Efficiency</t>
  </si>
  <si>
    <t>Low Efficiency</t>
  </si>
  <si>
    <t>Height of inlet, H/D</t>
  </si>
  <si>
    <t>≤0.44</t>
  </si>
  <si>
    <t>&gt;0.44 and &lt;0.8</t>
  </si>
  <si>
    <t>≥0.8</t>
  </si>
  <si>
    <t>Width of inlet, W/D</t>
  </si>
  <si>
    <t>≤0.2</t>
  </si>
  <si>
    <t>&gt;0.2 and &lt;0.375</t>
  </si>
  <si>
    <t>≥0.375</t>
  </si>
  <si>
    <t>Diameter of gas exit, De/D</t>
  </si>
  <si>
    <t>≤0.4</t>
  </si>
  <si>
    <t>&gt;0.4 and &lt;0.75</t>
  </si>
  <si>
    <t>≥0.75</t>
  </si>
  <si>
    <t>Length of vortex finder, S/D</t>
  </si>
  <si>
    <t>≤0.5</t>
  </si>
  <si>
    <t>&gt;0.5 and &lt;0.875</t>
  </si>
  <si>
    <t>≥0.875</t>
  </si>
  <si>
    <t>See definitions in Minn. R. 7011.0070</t>
  </si>
  <si>
    <r>
      <t>Control efficiency</t>
    </r>
    <r>
      <rPr>
        <b/>
        <vertAlign val="superscript"/>
        <sz val="10"/>
        <rFont val="Arial"/>
        <family val="2"/>
      </rPr>
      <t>1</t>
    </r>
  </si>
  <si>
    <t>Potential emissions</t>
  </si>
  <si>
    <t>Actual emissions</t>
  </si>
  <si>
    <t>Insignificant activity limits</t>
  </si>
  <si>
    <t>Hours in a year</t>
  </si>
  <si>
    <t>Emission factor</t>
  </si>
  <si>
    <r>
      <rPr>
        <vertAlign val="superscript"/>
        <sz val="8"/>
        <color theme="1"/>
        <rFont val="Arial"/>
        <family val="2"/>
      </rPr>
      <t>1</t>
    </r>
    <r>
      <rPr>
        <sz val="8"/>
        <color theme="1"/>
        <rFont val="Arial"/>
        <family val="2"/>
      </rPr>
      <t>Control efficiency may only be used when calculating actual emissions and when in compliance with the rule. Percent control is based on type of equipment and capture efficiency (Minn. R. 7011.0070).</t>
    </r>
  </si>
  <si>
    <r>
      <rPr>
        <vertAlign val="superscript"/>
        <sz val="8"/>
        <color theme="1"/>
        <rFont val="Arial"/>
        <family val="2"/>
      </rPr>
      <t>2</t>
    </r>
    <r>
      <rPr>
        <sz val="8"/>
        <color theme="1"/>
        <rFont val="Arial"/>
        <family val="2"/>
      </rPr>
      <t>Review the material safety data sheet for the media used for presence of hazardous air pollutants (HAPs).</t>
    </r>
  </si>
  <si>
    <r>
      <rPr>
        <vertAlign val="superscript"/>
        <sz val="8"/>
        <color theme="1"/>
        <rFont val="Arial"/>
        <family val="2"/>
      </rPr>
      <t>3</t>
    </r>
    <r>
      <rPr>
        <sz val="8"/>
        <color theme="1"/>
        <rFont val="Arial"/>
        <family val="2"/>
      </rPr>
      <t>Add the metal HAP(s) and percent concentration to the pollutant list in the emission calculations.</t>
    </r>
  </si>
  <si>
    <t>Mechanical finishing includes abrasive blasting, buffing, polishing, carving, cutting, drilling, machining, routing, sanding, sawing, surface grinding, or turning equipment, but does not include abrasive blasting for removing lead-containing paint.</t>
  </si>
  <si>
    <t>Control equipment:</t>
  </si>
  <si>
    <t>of inspection, maintenance, and repair activities and the manufacturer's inspection, maintenance, and repair specifications for the control equipment for at least five years.</t>
  </si>
  <si>
    <t>Maintain records:</t>
  </si>
  <si>
    <t>If the default value for design airflow rate is not used, maintain records for each calendar year of the manufacturer's design concentration for particulate matter from the control equipment associated with each mechanical finishing operation</t>
  </si>
  <si>
    <t>If using a certified hood:</t>
  </si>
  <si>
    <t>If not using the default design airflow rate:</t>
  </si>
  <si>
    <t xml:space="preserve">     ▪  if a permit is required under chapter 7007, include with the permit application the certification required in part 7011.0072, subpart 2</t>
  </si>
  <si>
    <t xml:space="preserve">     ▪  maintain at the stationary source records of the evaluation of each hood</t>
  </si>
  <si>
    <t xml:space="preserve">     ▪  record each month the fan rotation speed, fan power draw, face velocity, or other comparable airflow indicator for each hood</t>
  </si>
  <si>
    <t>Monitoring and record keeping</t>
  </si>
  <si>
    <t>C. comply with the monitoring and record keeping requirements (see below)</t>
  </si>
  <si>
    <t>Operate and maintain, as required by the manufacturer's specification. Proper operation and maintenance includes effective performance, adequate funding, adequate operator staffing and training, and adequate laboratory and process controls, including appropriate quality assurance procedures.</t>
  </si>
  <si>
    <t>Inspect once each calendar quarter or more frequently according to the manufacturer's specification</t>
  </si>
  <si>
    <r>
      <t xml:space="preserve">for each calendar year of the hours operated and design airflow rate for the control equipment </t>
    </r>
    <r>
      <rPr>
        <u/>
        <sz val="10"/>
        <color rgb="FF000000"/>
        <rFont val="Arial"/>
        <family val="2"/>
      </rPr>
      <t>associated with each mechanical finishing operation</t>
    </r>
  </si>
  <si>
    <t>Additional MPCA resources</t>
  </si>
  <si>
    <t>Industrial process equipment rule</t>
  </si>
  <si>
    <t>Who needs an air permit?</t>
  </si>
  <si>
    <t>hours was the blasting equipment operated?</t>
  </si>
  <si>
    <t xml:space="preserve">"Dust control" tab. Regardless of the air emission calculation results and whether an air permit is required, you must take all reasonable measures to control dust and prevent the release of particulate matter from air-based blasting </t>
  </si>
  <si>
    <t>2) Using guidance from the "Standards" tab, continue to the blue tabs to calculate emissions.</t>
  </si>
  <si>
    <t>1) Start with the grey tabs.</t>
  </si>
  <si>
    <t>Area</t>
  </si>
  <si>
    <t xml:space="preserve">During the last 12 months, how many </t>
  </si>
  <si>
    <t>What type of control equipment is being used?</t>
  </si>
  <si>
    <t>What is the capture efficiency claimed?</t>
  </si>
  <si>
    <t>actual pounds of abrasive media were used?</t>
  </si>
  <si>
    <t>Capture efficiency</t>
  </si>
  <si>
    <t>Mechanical finishing</t>
  </si>
  <si>
    <t>Nozzle Pressure</t>
  </si>
  <si>
    <t>Nozzle Diameter</t>
  </si>
  <si>
    <t>Diameter</t>
  </si>
  <si>
    <t>Pressure</t>
  </si>
  <si>
    <t>Flow rate</t>
  </si>
  <si>
    <t>Material</t>
  </si>
  <si>
    <t>lb/hr (adjusted with material density)</t>
  </si>
  <si>
    <t>(lb/lb)</t>
  </si>
  <si>
    <t>Equipment</t>
  </si>
  <si>
    <t>Capture</t>
  </si>
  <si>
    <t>What is the density of the abrasive?</t>
  </si>
  <si>
    <t>Review the safety data sheet for your blast media. Enter any hazardous air pollutants and the maximum contents in the blue cells if the abrasive blasting emission calculator. See "HAP list" tab for assistance.</t>
  </si>
  <si>
    <r>
      <rPr>
        <b/>
        <sz val="11"/>
        <color rgb="FF008EAA"/>
        <rFont val="Arial"/>
        <family val="2"/>
      </rPr>
      <t xml:space="preserve">The need for a permit is based on your entire business's potential air emissions. </t>
    </r>
    <r>
      <rPr>
        <sz val="10"/>
        <rFont val="Arial"/>
        <family val="2"/>
      </rPr>
      <t>All activities that put pollutants into the air (such as painting, wood working, metalworking, and fuel use) need to be assessed. Once you identify if you need a permit, based on the total potential emissions from your business and whether an NSPS applies, you can then use your actual emissions to see which permit is the best fit for your business.</t>
    </r>
  </si>
  <si>
    <t>your business' NAICS or SIC code pairing is listed in the same row in the table below, and</t>
  </si>
  <si>
    <t>Must install, operate, and maintain control equipment designed to control emissions of particulate matter on all mechanical finishing.</t>
  </si>
  <si>
    <r>
      <t>▪  If lead is a component of any mechanical finishing operation, including the composition of the metal being finished, this</t>
    </r>
    <r>
      <rPr>
        <b/>
        <sz val="10"/>
        <color theme="1"/>
        <rFont val="Arial"/>
        <family val="2"/>
      </rPr>
      <t xml:space="preserve"> rule does not apply</t>
    </r>
    <r>
      <rPr>
        <sz val="10"/>
        <color theme="1"/>
        <rFont val="Arial"/>
        <family val="2"/>
      </rPr>
      <t xml:space="preserve">. 
   Check the safety data sheet of the metal being finished. </t>
    </r>
  </si>
  <si>
    <t>Taking credit for control equipment is an option and requires compliance with the rule, which includes monitoring and recordkeeping requirements.</t>
  </si>
  <si>
    <t>lb/lb</t>
  </si>
  <si>
    <r>
      <rPr>
        <b/>
        <vertAlign val="superscript"/>
        <sz val="10"/>
        <color theme="1"/>
        <rFont val="Arial"/>
        <family val="2"/>
      </rPr>
      <t>1</t>
    </r>
    <r>
      <rPr>
        <b/>
        <sz val="10"/>
        <color theme="1"/>
        <rFont val="Arial"/>
        <family val="2"/>
      </rPr>
      <t>Control equipment type definitions:</t>
    </r>
  </si>
  <si>
    <r>
      <t xml:space="preserve">A </t>
    </r>
    <r>
      <rPr>
        <b/>
        <sz val="10"/>
        <color theme="1"/>
        <rFont val="Arial"/>
        <family val="2"/>
      </rPr>
      <t>total enclosure</t>
    </r>
    <r>
      <rPr>
        <sz val="10"/>
        <color theme="1"/>
        <rFont val="Arial"/>
        <family val="2"/>
      </rPr>
      <t xml:space="preserve"> means an enclosure that completely surrounds emissions from an emissions unit such that all emissions are captured and discharged through ductwork to control equipment.</t>
    </r>
  </si>
  <si>
    <r>
      <t xml:space="preserve">A </t>
    </r>
    <r>
      <rPr>
        <b/>
        <sz val="10"/>
        <color theme="1"/>
        <rFont val="Arial"/>
        <family val="2"/>
      </rPr>
      <t>hood</t>
    </r>
    <r>
      <rPr>
        <sz val="10"/>
        <color theme="1"/>
        <rFont val="Arial"/>
        <family val="2"/>
      </rPr>
      <t xml:space="preserve"> means a shaped inlet to a pollution control system that does not totally surround emissions from an emissions unit, that is designed, used, and maintained to capture and discharge the air emissions through ductwork to control equipment, and that conforms to the design and operating practices recommended in "Industrial Ventilation - A Manual of Recommended Practice, American Conference of Governmental Industrial Hygienists." This document is subject to frequent change. A spray booth can be a hood if it meets the definition in this subpart.</t>
    </r>
  </si>
  <si>
    <r>
      <rPr>
        <sz val="10"/>
        <rFont val="Arial"/>
        <family val="2"/>
      </rPr>
      <t xml:space="preserve">A </t>
    </r>
    <r>
      <rPr>
        <b/>
        <sz val="10"/>
        <rFont val="Arial"/>
        <family val="2"/>
      </rPr>
      <t>certified hood</t>
    </r>
    <r>
      <rPr>
        <sz val="10"/>
        <rFont val="Arial"/>
        <family val="2"/>
      </rPr>
      <t xml:space="preserve"> complies with </t>
    </r>
    <r>
      <rPr>
        <u/>
        <sz val="10"/>
        <color rgb="FF0000E1"/>
        <rFont val="Arial"/>
        <family val="2"/>
      </rPr>
      <t>Minn. R. 7011.0072</t>
    </r>
  </si>
  <si>
    <r>
      <t>Choose your control equipment type</t>
    </r>
    <r>
      <rPr>
        <vertAlign val="superscript"/>
        <sz val="10"/>
        <color theme="1"/>
        <rFont val="Arial"/>
        <family val="2"/>
      </rPr>
      <t>1</t>
    </r>
    <r>
      <rPr>
        <sz val="10"/>
        <color theme="1"/>
        <rFont val="Arial"/>
        <family val="2"/>
      </rPr>
      <t xml:space="preserve"> from the drop-down list</t>
    </r>
  </si>
  <si>
    <t>OP</t>
  </si>
  <si>
    <t>EF</t>
  </si>
  <si>
    <t>Qair</t>
  </si>
  <si>
    <t>R</t>
  </si>
  <si>
    <t>OP * EF * Qair * Conversion factor =</t>
  </si>
  <si>
    <t>E</t>
  </si>
  <si>
    <t>EU</t>
  </si>
  <si>
    <t>EC * EU =</t>
  </si>
  <si>
    <t>EC</t>
  </si>
  <si>
    <t>R * EC =</t>
  </si>
  <si>
    <t>This number must be less than 10,000 pounds to qualify.</t>
  </si>
  <si>
    <t>Potential means that the abrasive blasting is operating at the maximum possible rate, 24 hours-a-day.</t>
  </si>
  <si>
    <t>Contains monitoring and recordkeeping requirements</t>
  </si>
  <si>
    <t>This standard is for dry abrasive blasting, dry grinding or polishing with machines, dry machining, spray painting, and welding activities.</t>
  </si>
  <si>
    <t>All Other Miscellaneous Fabricated Metal Product Mfg.</t>
  </si>
  <si>
    <t>Oil and Gas Field Machinery and Equipment Mfg.</t>
  </si>
  <si>
    <t>Heating Equipment (except Warm Air Furnaces) Mfg.</t>
  </si>
  <si>
    <t>All Other Misc. Electrical Equipment &amp; Component Mfg.</t>
  </si>
  <si>
    <r>
      <rPr>
        <b/>
        <sz val="10"/>
        <rFont val="Arial"/>
        <family val="2"/>
      </rPr>
      <t>Insignificant activity</t>
    </r>
    <r>
      <rPr>
        <sz val="10"/>
        <rFont val="Arial"/>
        <family val="2"/>
      </rPr>
      <t xml:space="preserve"> if it meets </t>
    </r>
    <r>
      <rPr>
        <u/>
        <sz val="10"/>
        <rFont val="Arial"/>
        <family val="2"/>
      </rPr>
      <t>one</t>
    </r>
    <r>
      <rPr>
        <sz val="10"/>
        <rFont val="Arial"/>
        <family val="2"/>
      </rPr>
      <t xml:space="preserve"> of the following:</t>
    </r>
  </si>
  <si>
    <t>Coefficient</t>
  </si>
  <si>
    <t>Color key</t>
  </si>
  <si>
    <r>
      <t>Minn. R. 7007.1300 was modified and became effective January 14, 2019.</t>
    </r>
    <r>
      <rPr>
        <sz val="10"/>
        <rFont val="Arial"/>
        <family val="2"/>
      </rPr>
      <t xml:space="preserve">  Qualifying for an insignificant activity </t>
    </r>
    <r>
      <rPr>
        <b/>
        <sz val="10"/>
        <rFont val="Arial"/>
        <family val="2"/>
      </rPr>
      <t>no longer includes</t>
    </r>
    <r>
      <rPr>
        <sz val="10"/>
        <rFont val="Arial"/>
        <family val="2"/>
      </rPr>
      <t xml:space="preserve"> processing equipment that emits particulate matter that is vented indoors 100% of the time and does not use air filtering systems used to control indoor air emissions. </t>
    </r>
  </si>
  <si>
    <r>
      <rPr>
        <b/>
        <sz val="10"/>
        <color theme="1"/>
        <rFont val="Arial"/>
        <family val="2"/>
      </rPr>
      <t>Mechanical finishing operations</t>
    </r>
    <r>
      <rPr>
        <sz val="10"/>
        <color theme="1"/>
        <rFont val="Arial"/>
        <family val="2"/>
      </rPr>
      <t xml:space="preserve"> means buffing, abrasive blasting, polishing, carving, cutting, drilling, machining, routing, sanding, sawing, surface grinding, or turning equipment. </t>
    </r>
    <r>
      <rPr>
        <b/>
        <i/>
        <sz val="10"/>
        <color theme="1"/>
        <rFont val="Arial"/>
        <family val="2"/>
      </rPr>
      <t xml:space="preserve">Does not include </t>
    </r>
    <r>
      <rPr>
        <sz val="10"/>
        <color theme="1"/>
        <rFont val="Arial"/>
        <family val="2"/>
      </rPr>
      <t>abrasive blasting for removing lead-containing paint.</t>
    </r>
  </si>
  <si>
    <t>This calculator was created by the Minnesota Pollution Control Agency's (MPCA) Small Business Environmental Assistance Program (SBEAP).</t>
  </si>
  <si>
    <t>We provide free, confidential, environmental assistance to small businesses. For more information:</t>
  </si>
  <si>
    <t xml:space="preserve">Online at the MPCA website at: </t>
  </si>
  <si>
    <t>https://www.pca.state.mn.us/smallbizhelp</t>
  </si>
  <si>
    <t>Assistance</t>
  </si>
  <si>
    <t>In addition to preventing and controlling dusts, other regulatory requirements apply to:</t>
  </si>
  <si>
    <t xml:space="preserve">If your blasting activity is part of, or connected with, manufacturing or processing, it may be subject to the Industrial Process Equipment Rule. An example is a booth used to blast the paint off a manufactured product so it can be repainted.  </t>
  </si>
  <si>
    <t xml:space="preserve">If the emissions from mechanical finishing operations are vented to the control equipment through a hood, you may evaluate, on a form provided by the commissioner, whether the hood conforms to the design and operating practices recommended in "Industrial Ventilation - A Manual of Recommended Practice, American Conference of Governmental Industrial Hygienists," in order to use the certified hood values in subpart 4. The manual is incorporated by reference under part 7011.0061.  An owner or operator that performs this evaluation must:
</t>
  </si>
  <si>
    <t>*The flow rates in the above chart are for sand.  If you are using steel or aluminum oxide as your abrasive blast material, the spreadsheet will automatically convert the flow rate provided to these other abrasive material types. Flow rates in grey are using the original guidance ratio equation from SCAQMD Memorandum from J. Nenzell to Metallurgical Engineers, Subject: Abrasive Blasting, March 13, 1975.</t>
  </si>
  <si>
    <t>This rule does not apply if lead is a component of any mechanical finishing operation, including as a component of the metal being finished.</t>
  </si>
  <si>
    <t>Blue Text</t>
  </si>
  <si>
    <t>Key information and tips.</t>
  </si>
  <si>
    <t>651-282-6143</t>
  </si>
  <si>
    <t>800-657-3938</t>
  </si>
  <si>
    <t>List of individual pollutants and commonly reported individual pollutants in groups (aq-ei4-32)</t>
  </si>
  <si>
    <t>"Standards" tab. Find out if your abrasive blasting meets the criteria to qualify as an insignificant activity or a conditionally insignificant activity and whether a federal rule may apply to the business.</t>
  </si>
  <si>
    <t>Fugitive dust emissions management and best practices</t>
  </si>
  <si>
    <t>About air permits and thresholds can be found on the MPCA Air Permits webpage.</t>
  </si>
  <si>
    <t>p-sbap5-19  •  6/5/23</t>
  </si>
  <si>
    <r>
      <t xml:space="preserve">Abrasive blasting 
</t>
    </r>
    <r>
      <rPr>
        <sz val="16"/>
        <color theme="1"/>
        <rFont val="Calibri"/>
        <family val="2"/>
        <scheme val="minor"/>
      </rPr>
      <t>Air emissions calculator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</si>
</sst>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0.0"/>
    <numFmt numFmtId="165" formatCode="0.000"/>
    <numFmt numFmtId="166" formatCode="0.0000"/>
    <numFmt numFmtId="167" formatCode="00000"/>
    <numFmt numFmtId="168" formatCode="0.0%"/>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u/>
      <sz val="6"/>
      <color indexed="12"/>
      <name val="Arial"/>
      <family val="2"/>
    </font>
    <font>
      <i/>
      <sz val="10"/>
      <name val="Arial"/>
      <family val="2"/>
    </font>
    <font>
      <b/>
      <sz val="10"/>
      <name val="Arial"/>
      <family val="2"/>
    </font>
    <font>
      <b/>
      <vertAlign val="superscript"/>
      <sz val="10"/>
      <name val="Arial"/>
      <family val="2"/>
    </font>
    <font>
      <sz val="9"/>
      <name val="Arial"/>
      <family val="2"/>
    </font>
    <font>
      <u/>
      <sz val="10"/>
      <color indexed="12"/>
      <name val="Arial"/>
      <family val="2"/>
    </font>
    <font>
      <sz val="8"/>
      <name val="Arial"/>
      <family val="2"/>
    </font>
    <font>
      <vertAlign val="superscript"/>
      <sz val="10"/>
      <name val="Arial"/>
      <family val="2"/>
    </font>
    <font>
      <sz val="11"/>
      <color theme="1"/>
      <name val="Calibri"/>
      <family val="2"/>
      <scheme val="minor"/>
    </font>
    <font>
      <u/>
      <sz val="10"/>
      <color theme="10"/>
      <name val="Arial"/>
      <family val="2"/>
    </font>
    <font>
      <sz val="10"/>
      <color theme="1"/>
      <name val="Calibri"/>
      <family val="2"/>
      <scheme val="minor"/>
    </font>
    <font>
      <b/>
      <sz val="14"/>
      <color theme="1"/>
      <name val="Calibri"/>
      <family val="2"/>
      <scheme val="minor"/>
    </font>
    <font>
      <u/>
      <sz val="9"/>
      <color theme="10"/>
      <name val="Calibri"/>
      <family val="2"/>
      <scheme val="minor"/>
    </font>
    <font>
      <b/>
      <sz val="22"/>
      <name val="Calibri"/>
      <family val="2"/>
      <scheme val="minor"/>
    </font>
    <font>
      <sz val="10"/>
      <name val="Calibri"/>
      <family val="2"/>
      <scheme val="minor"/>
    </font>
    <font>
      <u/>
      <sz val="10"/>
      <color rgb="FF0000FF"/>
      <name val="Calibri"/>
      <family val="2"/>
      <scheme val="minor"/>
    </font>
    <font>
      <b/>
      <sz val="11"/>
      <color rgb="FF008EAA"/>
      <name val="Calibri"/>
      <family val="2"/>
      <scheme val="minor"/>
    </font>
    <font>
      <b/>
      <sz val="14"/>
      <color rgb="FF000000"/>
      <name val="Calibri"/>
      <family val="2"/>
      <scheme val="minor"/>
    </font>
    <font>
      <sz val="10"/>
      <color theme="1"/>
      <name val="Arial"/>
      <family val="2"/>
    </font>
    <font>
      <b/>
      <sz val="16"/>
      <color theme="1"/>
      <name val="Calibri"/>
      <family val="2"/>
      <scheme val="minor"/>
    </font>
    <font>
      <sz val="11"/>
      <color theme="1"/>
      <name val="Arial"/>
      <family val="2"/>
    </font>
    <font>
      <b/>
      <sz val="12"/>
      <color theme="1"/>
      <name val="Calibri"/>
      <family val="2"/>
      <scheme val="minor"/>
    </font>
    <font>
      <b/>
      <sz val="11"/>
      <color theme="1"/>
      <name val="Arial"/>
      <family val="2"/>
    </font>
    <font>
      <b/>
      <sz val="10"/>
      <color theme="1"/>
      <name val="Arial"/>
      <family val="2"/>
    </font>
    <font>
      <b/>
      <sz val="10"/>
      <color rgb="FF008EAA"/>
      <name val="Arial"/>
      <family val="2"/>
    </font>
    <font>
      <b/>
      <sz val="11"/>
      <color rgb="FF008EAA"/>
      <name val="Arial"/>
      <family val="2"/>
    </font>
    <font>
      <u/>
      <sz val="10"/>
      <name val="Arial"/>
      <family val="2"/>
    </font>
    <font>
      <b/>
      <sz val="11"/>
      <name val="Arial"/>
      <family val="2"/>
    </font>
    <font>
      <sz val="13"/>
      <color rgb="FF212529"/>
      <name val="Times New Roman"/>
      <family val="1"/>
    </font>
    <font>
      <u/>
      <vertAlign val="superscript"/>
      <sz val="9"/>
      <color theme="10"/>
      <name val="Arial"/>
      <family val="2"/>
    </font>
    <font>
      <u/>
      <sz val="9"/>
      <color theme="10"/>
      <name val="Arial"/>
      <family val="2"/>
    </font>
    <font>
      <sz val="11"/>
      <name val="Arial"/>
      <family val="2"/>
    </font>
    <font>
      <sz val="10"/>
      <color rgb="FF000000"/>
      <name val="Arial"/>
      <family val="2"/>
    </font>
    <font>
      <b/>
      <sz val="8"/>
      <name val="Arial"/>
      <family val="2"/>
    </font>
    <font>
      <b/>
      <sz val="8"/>
      <color rgb="FF000000"/>
      <name val="Arial"/>
      <family val="2"/>
    </font>
    <font>
      <u/>
      <sz val="10"/>
      <color theme="1"/>
      <name val="Arial"/>
      <family val="2"/>
    </font>
    <font>
      <i/>
      <sz val="9"/>
      <name val="Arial"/>
      <family val="2"/>
    </font>
    <font>
      <i/>
      <sz val="9"/>
      <color rgb="FF000000"/>
      <name val="Arial"/>
      <family val="2"/>
    </font>
    <font>
      <b/>
      <i/>
      <sz val="10"/>
      <color rgb="FF008EAA"/>
      <name val="Arial"/>
      <family val="2"/>
    </font>
    <font>
      <i/>
      <sz val="10"/>
      <color theme="1"/>
      <name val="Arial"/>
      <family val="2"/>
    </font>
    <font>
      <vertAlign val="superscript"/>
      <sz val="9"/>
      <name val="Arial"/>
      <family val="2"/>
    </font>
    <font>
      <vertAlign val="subscript"/>
      <sz val="10"/>
      <name val="Arial"/>
      <family val="2"/>
    </font>
    <font>
      <u/>
      <sz val="9"/>
      <color indexed="12"/>
      <name val="Arial"/>
      <family val="2"/>
    </font>
    <font>
      <sz val="8"/>
      <color rgb="FFFF0000"/>
      <name val="Arial"/>
      <family val="2"/>
    </font>
    <font>
      <sz val="8"/>
      <color theme="1"/>
      <name val="Arial"/>
      <family val="2"/>
    </font>
    <font>
      <vertAlign val="superscript"/>
      <sz val="8"/>
      <color theme="1"/>
      <name val="Arial"/>
      <family val="2"/>
    </font>
    <font>
      <sz val="11"/>
      <color rgb="FF000000"/>
      <name val="Calibri"/>
      <family val="2"/>
    </font>
    <font>
      <sz val="11"/>
      <color rgb="FF000000"/>
      <name val="+mn-ea"/>
    </font>
    <font>
      <u/>
      <sz val="10"/>
      <color rgb="FF000000"/>
      <name val="Arial"/>
      <family val="2"/>
    </font>
    <font>
      <sz val="20"/>
      <color theme="1"/>
      <name val="Calibri"/>
      <family val="2"/>
      <scheme val="minor"/>
    </font>
    <font>
      <sz val="10"/>
      <color theme="0" tint="-0.499984740745262"/>
      <name val="Arial"/>
      <family val="2"/>
    </font>
    <font>
      <b/>
      <sz val="14"/>
      <name val="Arial"/>
      <family val="2"/>
    </font>
    <font>
      <u/>
      <sz val="10"/>
      <color rgb="FF0000E1"/>
      <name val="Arial"/>
      <family val="2"/>
    </font>
    <font>
      <b/>
      <vertAlign val="superscript"/>
      <sz val="10"/>
      <color theme="1"/>
      <name val="Arial"/>
      <family val="2"/>
    </font>
    <font>
      <vertAlign val="superscript"/>
      <sz val="10"/>
      <color theme="1"/>
      <name val="Arial"/>
      <family val="2"/>
    </font>
    <font>
      <sz val="16"/>
      <color theme="1"/>
      <name val="Calibri"/>
      <family val="2"/>
      <scheme val="minor"/>
    </font>
    <font>
      <i/>
      <u/>
      <sz val="10"/>
      <color rgb="FF0000FF"/>
      <name val="Arial"/>
      <family val="2"/>
    </font>
    <font>
      <b/>
      <i/>
      <sz val="10"/>
      <color theme="1"/>
      <name val="Arial"/>
      <family val="2"/>
    </font>
    <font>
      <u/>
      <sz val="10"/>
      <color rgb="FF0000FF"/>
      <name val="Arial"/>
      <family val="2"/>
    </font>
    <font>
      <u/>
      <sz val="10"/>
      <color theme="4" tint="-0.24994659260841701"/>
      <name val="Arial"/>
      <family val="2"/>
    </font>
    <font>
      <u/>
      <sz val="8"/>
      <color indexed="12"/>
      <name val="Arial"/>
      <family val="2"/>
    </font>
  </fonts>
  <fills count="8">
    <fill>
      <patternFill patternType="none"/>
    </fill>
    <fill>
      <patternFill patternType="gray125"/>
    </fill>
    <fill>
      <patternFill patternType="solid">
        <fgColor rgb="FFD1EAFF"/>
        <bgColor indexed="64"/>
      </patternFill>
    </fill>
    <fill>
      <patternFill patternType="solid">
        <fgColor theme="0"/>
        <bgColor indexed="64"/>
      </patternFill>
    </fill>
    <fill>
      <patternFill patternType="solid">
        <fgColor rgb="FFFFFFCC"/>
        <bgColor indexed="64"/>
      </patternFill>
    </fill>
    <fill>
      <patternFill patternType="solid">
        <fgColor rgb="FFEAF8D8"/>
        <bgColor indexed="64"/>
      </patternFill>
    </fill>
    <fill>
      <patternFill patternType="solid">
        <fgColor rgb="FFFFEDC1"/>
        <bgColor indexed="64"/>
      </patternFill>
    </fill>
    <fill>
      <patternFill patternType="solid">
        <fgColor indexed="9"/>
        <bgColor indexed="64"/>
      </patternFill>
    </fill>
  </fills>
  <borders count="5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right/>
      <top style="dashed">
        <color indexed="64"/>
      </top>
      <bottom/>
      <diagonal/>
    </border>
  </borders>
  <cellStyleXfs count="22">
    <xf numFmtId="0" fontId="0" fillId="0" borderId="0"/>
    <xf numFmtId="43" fontId="4" fillId="0" borderId="0" applyFont="0" applyFill="0" applyBorder="0" applyAlignment="0" applyProtection="0"/>
    <xf numFmtId="0" fontId="14" fillId="2" borderId="0" applyNumberFormat="0" applyFont="0" applyBorder="0" applyAlignment="0" applyProtection="0">
      <alignment vertical="center"/>
    </xf>
    <xf numFmtId="0" fontId="6"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0" borderId="0"/>
    <xf numFmtId="0" fontId="4" fillId="0" borderId="0"/>
    <xf numFmtId="0" fontId="4" fillId="0" borderId="0"/>
    <xf numFmtId="0" fontId="16" fillId="0" borderId="0" applyNumberFormat="0" applyFill="0" applyBorder="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0">
      <alignment horizontal="right"/>
    </xf>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Protection="0">
      <alignment vertical="center"/>
    </xf>
    <xf numFmtId="0" fontId="27" fillId="0" borderId="0" applyNumberFormat="0" applyFill="0" applyBorder="0" applyProtection="0">
      <alignment vertical="center"/>
    </xf>
    <xf numFmtId="0" fontId="3" fillId="5" borderId="0" applyNumberFormat="0" applyFont="0" applyBorder="0" applyAlignment="0" applyProtection="0">
      <alignment vertical="center"/>
    </xf>
    <xf numFmtId="0" fontId="4" fillId="4" borderId="0" applyFont="0" applyBorder="0" applyAlignment="0" applyProtection="0">
      <alignment horizontal="left"/>
    </xf>
    <xf numFmtId="0" fontId="2" fillId="0" borderId="0"/>
    <xf numFmtId="0" fontId="2" fillId="6" borderId="0" applyNumberFormat="0" applyFont="0" applyBorder="0" applyAlignment="0" applyProtection="0">
      <alignment vertical="center"/>
    </xf>
    <xf numFmtId="0" fontId="22" fillId="0" borderId="0" applyNumberFormat="0" applyBorder="0" applyAlignment="0" applyProtection="0">
      <alignment vertical="center"/>
    </xf>
    <xf numFmtId="0" fontId="1" fillId="0" borderId="0"/>
  </cellStyleXfs>
  <cellXfs count="456">
    <xf numFmtId="0" fontId="0" fillId="0" borderId="0" xfId="0"/>
    <xf numFmtId="0" fontId="4" fillId="0" borderId="0" xfId="0" applyFont="1"/>
    <xf numFmtId="0" fontId="4" fillId="0" borderId="0" xfId="0" applyFont="1" applyFill="1" applyBorder="1"/>
    <xf numFmtId="0" fontId="4" fillId="0" borderId="0" xfId="5" applyFont="1" applyFill="1" applyBorder="1"/>
    <xf numFmtId="0" fontId="8" fillId="0" borderId="0" xfId="0" applyFont="1" applyAlignment="1">
      <alignment horizontal="right"/>
    </xf>
    <xf numFmtId="0" fontId="4" fillId="0" borderId="0" xfId="0" applyFont="1" applyAlignment="1"/>
    <xf numFmtId="0" fontId="8" fillId="0" borderId="0" xfId="0" applyFont="1" applyAlignment="1"/>
    <xf numFmtId="0" fontId="4"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xf numFmtId="0" fontId="20" fillId="0" borderId="0" xfId="5" applyFont="1" applyFill="1" applyBorder="1"/>
    <xf numFmtId="0" fontId="20" fillId="0" borderId="0" xfId="0" applyFont="1"/>
    <xf numFmtId="0" fontId="21" fillId="0" borderId="0" xfId="3" applyFont="1" applyFill="1" applyBorder="1" applyAlignment="1" applyProtection="1"/>
    <xf numFmtId="0" fontId="8" fillId="0" borderId="0" xfId="0" applyFont="1"/>
    <xf numFmtId="0" fontId="19" fillId="0" borderId="0" xfId="5" applyFont="1" applyFill="1" applyBorder="1" applyAlignment="1">
      <alignment vertical="center"/>
    </xf>
    <xf numFmtId="0" fontId="20" fillId="0" borderId="0" xfId="5" applyFont="1" applyFill="1" applyBorder="1" applyAlignment="1">
      <alignment vertical="center"/>
    </xf>
    <xf numFmtId="0" fontId="19" fillId="0" borderId="0" xfId="5" applyFont="1" applyFill="1" applyBorder="1" applyAlignment="1">
      <alignment horizontal="center" vertical="center"/>
    </xf>
    <xf numFmtId="0" fontId="4" fillId="0" borderId="0" xfId="0" applyFont="1" applyBorder="1"/>
    <xf numFmtId="0" fontId="22" fillId="0" borderId="0" xfId="8" applyFont="1" applyFill="1" applyBorder="1">
      <alignment vertical="center"/>
    </xf>
    <xf numFmtId="0" fontId="16" fillId="0" borderId="0" xfId="8" applyFont="1" applyBorder="1" applyAlignment="1">
      <alignment horizontal="left" vertical="center"/>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wrapText="1"/>
    </xf>
    <xf numFmtId="0" fontId="0" fillId="0" borderId="0" xfId="0" applyBorder="1"/>
    <xf numFmtId="0" fontId="26" fillId="0" borderId="0" xfId="0" applyFont="1" applyBorder="1"/>
    <xf numFmtId="0" fontId="24" fillId="0" borderId="0" xfId="0" applyFont="1" applyBorder="1"/>
    <xf numFmtId="0" fontId="15" fillId="0" borderId="0" xfId="4" applyAlignment="1" applyProtection="1"/>
    <xf numFmtId="167" fontId="24" fillId="0" borderId="0" xfId="0" applyNumberFormat="1" applyFont="1" applyBorder="1" applyAlignment="1">
      <alignment horizontal="right" vertical="center"/>
    </xf>
    <xf numFmtId="0" fontId="34" fillId="0" borderId="0" xfId="0" applyFont="1"/>
    <xf numFmtId="0" fontId="4" fillId="0" borderId="19" xfId="0" applyFont="1" applyBorder="1"/>
    <xf numFmtId="0" fontId="8" fillId="0" borderId="11" xfId="0" applyFont="1" applyFill="1" applyBorder="1" applyAlignment="1">
      <alignment horizontal="center"/>
    </xf>
    <xf numFmtId="0" fontId="8" fillId="0" borderId="0" xfId="0" applyFont="1" applyFill="1" applyBorder="1" applyAlignment="1"/>
    <xf numFmtId="0" fontId="4" fillId="0" borderId="0" xfId="0" applyFont="1" applyFill="1" applyBorder="1" applyAlignment="1">
      <alignment horizontal="center" wrapText="1"/>
    </xf>
    <xf numFmtId="13" fontId="8" fillId="0" borderId="18" xfId="0" applyNumberFormat="1" applyFont="1" applyFill="1" applyBorder="1" applyAlignment="1">
      <alignment horizontal="center"/>
    </xf>
    <xf numFmtId="0" fontId="8" fillId="0" borderId="18" xfId="0" applyNumberFormat="1" applyFont="1" applyFill="1" applyBorder="1" applyAlignment="1">
      <alignment horizontal="center"/>
    </xf>
    <xf numFmtId="0" fontId="33" fillId="0" borderId="0" xfId="0" applyFont="1" applyFill="1" applyBorder="1"/>
    <xf numFmtId="0" fontId="8" fillId="0" borderId="20" xfId="0" applyFont="1" applyFill="1" applyBorder="1" applyAlignment="1">
      <alignment horizontal="center"/>
    </xf>
    <xf numFmtId="0" fontId="33" fillId="0" borderId="0" xfId="0" applyFont="1"/>
    <xf numFmtId="0" fontId="4" fillId="0" borderId="0" xfId="0" applyFont="1" applyAlignment="1">
      <alignment horizontal="left"/>
    </xf>
    <xf numFmtId="0" fontId="4" fillId="0" borderId="0" xfId="0" applyFont="1" applyAlignment="1">
      <alignment horizontal="left"/>
    </xf>
    <xf numFmtId="0" fontId="4" fillId="0" borderId="0" xfId="0" applyFont="1" applyFill="1" applyBorder="1" applyAlignment="1">
      <alignment wrapText="1"/>
    </xf>
    <xf numFmtId="0" fontId="8" fillId="0" borderId="0" xfId="2" applyFont="1" applyFill="1" applyBorder="1" applyAlignment="1">
      <alignment vertical="center"/>
    </xf>
    <xf numFmtId="1" fontId="4" fillId="0" borderId="0" xfId="1" applyNumberFormat="1" applyFont="1" applyBorder="1" applyAlignment="1" applyProtection="1">
      <alignment horizontal="center"/>
    </xf>
    <xf numFmtId="3" fontId="4" fillId="0" borderId="0" xfId="5" applyNumberFormat="1" applyFont="1" applyBorder="1" applyAlignment="1" applyProtection="1">
      <alignment horizontal="right"/>
    </xf>
    <xf numFmtId="1" fontId="4" fillId="0" borderId="0" xfId="5" applyNumberFormat="1" applyFont="1" applyBorder="1" applyAlignment="1" applyProtection="1">
      <alignment horizontal="center"/>
    </xf>
    <xf numFmtId="1" fontId="4" fillId="0" borderId="9" xfId="1" applyNumberFormat="1" applyFont="1" applyBorder="1" applyAlignment="1" applyProtection="1">
      <alignment horizontal="center"/>
    </xf>
    <xf numFmtId="3" fontId="4" fillId="0" borderId="9" xfId="5" applyNumberFormat="1" applyFont="1" applyBorder="1" applyAlignment="1" applyProtection="1">
      <alignment horizontal="right"/>
    </xf>
    <xf numFmtId="0" fontId="4" fillId="0" borderId="0" xfId="0" applyFont="1" applyAlignment="1">
      <alignment horizontal="left"/>
    </xf>
    <xf numFmtId="0" fontId="4" fillId="0" borderId="0" xfId="0" applyFont="1" applyAlignment="1">
      <alignment horizontal="left" wrapText="1"/>
    </xf>
    <xf numFmtId="0" fontId="24" fillId="0" borderId="0" xfId="8" applyFont="1" applyBorder="1" applyAlignment="1">
      <alignment vertical="center" wrapText="1"/>
    </xf>
    <xf numFmtId="0" fontId="24" fillId="0" borderId="0" xfId="8" applyFont="1" applyBorder="1" applyAlignment="1">
      <alignment horizontal="center" vertical="center" wrapText="1"/>
    </xf>
    <xf numFmtId="0" fontId="4" fillId="0" borderId="0" xfId="5" applyFont="1" applyBorder="1" applyAlignment="1" applyProtection="1">
      <alignment horizontal="right" vertical="center"/>
    </xf>
    <xf numFmtId="0" fontId="4" fillId="0" borderId="9" xfId="5" applyFont="1" applyBorder="1" applyAlignment="1" applyProtection="1">
      <alignment horizontal="right" vertical="center"/>
    </xf>
    <xf numFmtId="0" fontId="28" fillId="0" borderId="0" xfId="15" applyFont="1" applyBorder="1" applyAlignment="1"/>
    <xf numFmtId="0" fontId="24" fillId="0" borderId="0" xfId="8" applyFont="1" applyBorder="1" applyAlignment="1">
      <alignment vertical="center"/>
    </xf>
    <xf numFmtId="0" fontId="29" fillId="0" borderId="0" xfId="8" applyFont="1" applyBorder="1" applyAlignment="1">
      <alignment vertical="center"/>
    </xf>
    <xf numFmtId="0" fontId="29" fillId="0" borderId="0" xfId="8" applyFont="1" applyBorder="1" applyAlignment="1">
      <alignment vertical="center" wrapText="1"/>
    </xf>
    <xf numFmtId="0" fontId="4" fillId="0" borderId="0" xfId="0" applyFont="1" applyBorder="1" applyAlignment="1">
      <alignment horizontal="left" wrapText="1"/>
    </xf>
    <xf numFmtId="1" fontId="40" fillId="0" borderId="30" xfId="0" applyNumberFormat="1" applyFont="1" applyFill="1" applyBorder="1" applyAlignment="1">
      <alignment horizontal="left" vertical="top" indent="1" shrinkToFit="1"/>
    </xf>
    <xf numFmtId="1" fontId="40" fillId="0" borderId="30" xfId="0" applyNumberFormat="1" applyFont="1" applyFill="1" applyBorder="1" applyAlignment="1">
      <alignment horizontal="center" vertical="top" shrinkToFit="1"/>
    </xf>
    <xf numFmtId="0" fontId="12"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5" fillId="0" borderId="0" xfId="0" applyFont="1" applyAlignment="1"/>
    <xf numFmtId="0" fontId="4" fillId="0" borderId="0" xfId="8" applyFont="1" applyBorder="1" applyAlignment="1">
      <alignment horizontal="right" vertical="top"/>
    </xf>
    <xf numFmtId="0" fontId="4" fillId="0" borderId="0" xfId="0" applyFont="1" applyBorder="1" applyAlignment="1">
      <alignment wrapText="1"/>
    </xf>
    <xf numFmtId="0" fontId="4" fillId="0" borderId="0" xfId="0" applyFont="1" applyBorder="1" applyAlignment="1">
      <alignment vertical="top"/>
    </xf>
    <xf numFmtId="0" fontId="4" fillId="0" borderId="0" xfId="0" applyFont="1" applyBorder="1" applyAlignment="1" applyProtection="1">
      <alignment horizontal="center" vertical="center" wrapText="1"/>
      <protection hidden="1"/>
    </xf>
    <xf numFmtId="0" fontId="4" fillId="0" borderId="0" xfId="0" applyFont="1" applyBorder="1" applyAlignment="1">
      <alignment vertical="top" wrapText="1"/>
    </xf>
    <xf numFmtId="167" fontId="24" fillId="0" borderId="0" xfId="0" applyNumberFormat="1" applyFont="1" applyBorder="1" applyAlignment="1">
      <alignment horizontal="right" vertical="top"/>
    </xf>
    <xf numFmtId="0" fontId="4" fillId="0" borderId="0" xfId="0" applyFont="1" applyAlignment="1">
      <alignment horizontal="left"/>
    </xf>
    <xf numFmtId="0" fontId="4" fillId="0" borderId="0" xfId="0" applyFont="1" applyAlignment="1">
      <alignment horizontal="left" wrapText="1"/>
    </xf>
    <xf numFmtId="0" fontId="30" fillId="0" borderId="0" xfId="20" applyFont="1" applyBorder="1" applyAlignment="1" applyProtection="1">
      <alignment horizontal="center" vertical="center" wrapText="1"/>
      <protection hidden="1"/>
    </xf>
    <xf numFmtId="0" fontId="24" fillId="0" borderId="0" xfId="8" applyFont="1" applyBorder="1" applyAlignment="1">
      <alignment horizontal="center" vertical="center" wrapText="1"/>
    </xf>
    <xf numFmtId="0" fontId="4" fillId="0" borderId="0" xfId="0" applyFont="1" applyAlignment="1">
      <alignment vertical="top" wrapText="1"/>
    </xf>
    <xf numFmtId="167" fontId="29" fillId="0" borderId="0" xfId="0" applyNumberFormat="1" applyFont="1" applyBorder="1" applyAlignment="1">
      <alignment horizontal="left" vertical="top"/>
    </xf>
    <xf numFmtId="0" fontId="4" fillId="0" borderId="0" xfId="0" applyFont="1" applyAlignment="1">
      <alignment vertical="center" wrapText="1"/>
    </xf>
    <xf numFmtId="0" fontId="4" fillId="0" borderId="0" xfId="0" applyFont="1" applyBorder="1" applyAlignment="1">
      <alignment horizontal="left" vertical="center"/>
    </xf>
    <xf numFmtId="0" fontId="4" fillId="0" borderId="0" xfId="5" applyAlignment="1"/>
    <xf numFmtId="0" fontId="1" fillId="0" borderId="0" xfId="21"/>
    <xf numFmtId="0" fontId="24" fillId="0" borderId="0" xfId="21" applyFont="1"/>
    <xf numFmtId="0" fontId="4" fillId="0" borderId="0" xfId="5" applyFont="1" applyAlignment="1">
      <alignment horizontal="right"/>
    </xf>
    <xf numFmtId="0" fontId="1" fillId="0" borderId="0" xfId="21" applyAlignment="1">
      <alignment vertical="center"/>
    </xf>
    <xf numFmtId="0" fontId="24" fillId="0" borderId="0" xfId="21" applyFont="1" applyAlignment="1">
      <alignment wrapText="1"/>
    </xf>
    <xf numFmtId="0" fontId="4" fillId="0" borderId="0" xfId="5" applyFont="1" applyAlignment="1"/>
    <xf numFmtId="0" fontId="24" fillId="0" borderId="0" xfId="21" applyFont="1" applyAlignment="1">
      <alignment horizontal="left" vertical="center" wrapText="1"/>
    </xf>
    <xf numFmtId="0" fontId="1" fillId="0" borderId="0" xfId="21" applyAlignment="1">
      <alignment wrapText="1"/>
    </xf>
    <xf numFmtId="0" fontId="4" fillId="0" borderId="0" xfId="5" applyFont="1" applyAlignment="1">
      <alignment vertical="center"/>
    </xf>
    <xf numFmtId="0" fontId="4" fillId="0" borderId="0" xfId="5" applyFont="1" applyAlignment="1">
      <alignment horizontal="center"/>
    </xf>
    <xf numFmtId="0" fontId="4" fillId="0" borderId="0" xfId="5" applyFont="1" applyAlignment="1">
      <alignment vertical="center" wrapText="1"/>
    </xf>
    <xf numFmtId="0" fontId="24" fillId="0" borderId="0" xfId="21" applyFont="1" applyAlignment="1">
      <alignment vertical="top" wrapText="1"/>
    </xf>
    <xf numFmtId="0" fontId="45" fillId="0" borderId="0" xfId="21" applyFont="1" applyAlignment="1">
      <alignment vertical="top" wrapText="1"/>
    </xf>
    <xf numFmtId="0" fontId="24" fillId="0" borderId="0" xfId="0" applyFont="1" applyBorder="1" applyAlignment="1">
      <alignment wrapText="1"/>
    </xf>
    <xf numFmtId="0" fontId="24" fillId="0" borderId="0" xfId="0" applyFont="1" applyBorder="1" applyAlignment="1">
      <alignment horizontal="center"/>
    </xf>
    <xf numFmtId="0" fontId="24" fillId="0" borderId="0" xfId="0" applyFont="1" applyBorder="1" applyAlignment="1">
      <alignment horizontal="center" wrapText="1"/>
    </xf>
    <xf numFmtId="2" fontId="24" fillId="0" borderId="0" xfId="0" applyNumberFormat="1" applyFont="1" applyBorder="1" applyAlignment="1">
      <alignment horizontal="center"/>
    </xf>
    <xf numFmtId="0" fontId="24" fillId="3" borderId="0" xfId="8" applyFont="1" applyFill="1" applyBorder="1" applyAlignment="1" applyProtection="1">
      <alignment horizontal="center" vertical="center"/>
    </xf>
    <xf numFmtId="2" fontId="24" fillId="0" borderId="0" xfId="0" applyNumberFormat="1" applyFont="1" applyBorder="1" applyAlignment="1">
      <alignment horizontal="left"/>
    </xf>
    <xf numFmtId="0" fontId="8" fillId="7" borderId="4" xfId="5" applyFont="1" applyFill="1" applyBorder="1" applyAlignment="1" applyProtection="1">
      <alignment horizontal="left" vertical="center"/>
    </xf>
    <xf numFmtId="0" fontId="8" fillId="7" borderId="18" xfId="5" applyFont="1" applyFill="1" applyBorder="1" applyAlignment="1" applyProtection="1">
      <alignment horizontal="left" vertical="center"/>
    </xf>
    <xf numFmtId="0" fontId="4" fillId="0" borderId="48" xfId="5" applyFont="1" applyBorder="1" applyAlignment="1" applyProtection="1">
      <alignment horizontal="right" vertical="center"/>
    </xf>
    <xf numFmtId="1" fontId="4" fillId="0" borderId="48" xfId="1" applyNumberFormat="1" applyFont="1" applyBorder="1" applyAlignment="1" applyProtection="1">
      <alignment horizontal="center"/>
    </xf>
    <xf numFmtId="3" fontId="4" fillId="0" borderId="48" xfId="5" applyNumberFormat="1" applyFont="1" applyBorder="1" applyAlignment="1" applyProtection="1">
      <alignment horizontal="right"/>
    </xf>
    <xf numFmtId="1" fontId="4" fillId="0" borderId="48" xfId="5" applyNumberFormat="1" applyFont="1" applyBorder="1" applyAlignment="1" applyProtection="1">
      <alignment horizontal="center"/>
    </xf>
    <xf numFmtId="0" fontId="8" fillId="0" borderId="51" xfId="5" applyFont="1" applyBorder="1" applyAlignment="1" applyProtection="1">
      <alignment horizontal="left" vertical="center"/>
    </xf>
    <xf numFmtId="0" fontId="4" fillId="0" borderId="52" xfId="5" applyFont="1" applyBorder="1" applyAlignment="1" applyProtection="1">
      <alignment horizontal="center" vertical="center"/>
    </xf>
    <xf numFmtId="0" fontId="4" fillId="0" borderId="53" xfId="5" applyFont="1" applyBorder="1" applyAlignment="1" applyProtection="1">
      <alignment horizontal="right" vertical="center"/>
    </xf>
    <xf numFmtId="1" fontId="4" fillId="0" borderId="53" xfId="1" applyNumberFormat="1" applyFont="1" applyBorder="1" applyAlignment="1" applyProtection="1">
      <alignment horizontal="center"/>
    </xf>
    <xf numFmtId="3" fontId="4" fillId="0" borderId="53" xfId="5" applyNumberFormat="1" applyFont="1" applyBorder="1" applyAlignment="1" applyProtection="1">
      <alignment horizontal="right"/>
    </xf>
    <xf numFmtId="0" fontId="24" fillId="3" borderId="19" xfId="8" applyFont="1" applyFill="1" applyBorder="1" applyAlignment="1" applyProtection="1">
      <alignment horizontal="center" vertical="center"/>
    </xf>
    <xf numFmtId="0" fontId="4" fillId="0" borderId="27" xfId="5" applyFont="1" applyBorder="1" applyAlignment="1" applyProtection="1">
      <alignment horizontal="center" wrapText="1"/>
    </xf>
    <xf numFmtId="0" fontId="10" fillId="0" borderId="39" xfId="16" applyFont="1" applyFill="1" applyBorder="1" applyAlignment="1" applyProtection="1">
      <alignment horizontal="center" wrapText="1"/>
    </xf>
    <xf numFmtId="164" fontId="8" fillId="0" borderId="4" xfId="17" applyNumberFormat="1" applyFont="1" applyFill="1" applyBorder="1" applyAlignment="1" applyProtection="1"/>
    <xf numFmtId="164" fontId="8" fillId="0" borderId="1" xfId="17" applyNumberFormat="1" applyFont="1" applyFill="1" applyBorder="1" applyAlignment="1" applyProtection="1"/>
    <xf numFmtId="164" fontId="8" fillId="0" borderId="8" xfId="17" applyNumberFormat="1" applyFont="1" applyFill="1" applyBorder="1" applyAlignment="1" applyProtection="1"/>
    <xf numFmtId="164" fontId="8" fillId="0" borderId="10" xfId="17" applyNumberFormat="1" applyFont="1" applyFill="1" applyBorder="1" applyAlignment="1" applyProtection="1"/>
    <xf numFmtId="2" fontId="8" fillId="0" borderId="53" xfId="16" applyNumberFormat="1" applyFont="1" applyFill="1" applyBorder="1" applyAlignment="1" applyProtection="1">
      <alignment horizontal="center"/>
    </xf>
    <xf numFmtId="0" fontId="24" fillId="2" borderId="0" xfId="8" applyFont="1" applyFill="1" applyBorder="1">
      <alignment vertical="center"/>
    </xf>
    <xf numFmtId="0" fontId="24" fillId="6" borderId="0" xfId="2" applyFont="1" applyFill="1" applyBorder="1">
      <alignment vertical="center"/>
    </xf>
    <xf numFmtId="0" fontId="24" fillId="0" borderId="0" xfId="8" applyFont="1" applyBorder="1">
      <alignment vertical="center"/>
    </xf>
    <xf numFmtId="0" fontId="24" fillId="5" borderId="0" xfId="8" applyFont="1" applyFill="1" applyBorder="1">
      <alignment vertical="center"/>
    </xf>
    <xf numFmtId="0" fontId="24" fillId="4" borderId="0" xfId="8" applyFont="1" applyFill="1" applyBorder="1">
      <alignment vertical="center"/>
    </xf>
    <xf numFmtId="0" fontId="10" fillId="0" borderId="41" xfId="16" applyFont="1" applyFill="1" applyBorder="1" applyAlignment="1" applyProtection="1">
      <alignment horizontal="center" wrapText="1"/>
    </xf>
    <xf numFmtId="0" fontId="4" fillId="0" borderId="19" xfId="5" applyFont="1" applyBorder="1" applyAlignment="1" applyProtection="1">
      <alignment horizontal="center" wrapText="1"/>
    </xf>
    <xf numFmtId="168" fontId="8" fillId="0" borderId="0" xfId="16" applyNumberFormat="1" applyFont="1" applyFill="1" applyBorder="1" applyAlignment="1" applyProtection="1">
      <alignment horizontal="center"/>
    </xf>
    <xf numFmtId="0" fontId="4" fillId="0" borderId="0" xfId="0" applyFont="1" applyAlignment="1">
      <alignment horizontal="left"/>
    </xf>
    <xf numFmtId="0" fontId="24" fillId="0" borderId="0" xfId="8" applyFont="1" applyBorder="1" applyAlignment="1">
      <alignment horizontal="center" vertical="center" wrapText="1"/>
    </xf>
    <xf numFmtId="0" fontId="4" fillId="0" borderId="0" xfId="0" applyFont="1" applyAlignment="1">
      <alignment horizontal="left"/>
    </xf>
    <xf numFmtId="0" fontId="7" fillId="0" borderId="0" xfId="0" applyFont="1" applyAlignment="1">
      <alignment horizontal="center" vertical="center" wrapText="1"/>
    </xf>
    <xf numFmtId="0" fontId="33" fillId="0" borderId="0" xfId="0" applyFont="1" applyAlignment="1">
      <alignment horizontal="left"/>
    </xf>
    <xf numFmtId="0" fontId="0" fillId="0" borderId="0" xfId="0" applyAlignment="1">
      <alignment horizontal="left"/>
    </xf>
    <xf numFmtId="0" fontId="12" fillId="0" borderId="0" xfId="0" applyFont="1" applyFill="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Border="1" applyAlignment="1"/>
    <xf numFmtId="0" fontId="52" fillId="0" borderId="0" xfId="0" applyFont="1"/>
    <xf numFmtId="0" fontId="53" fillId="0" borderId="0" xfId="0" applyFont="1"/>
    <xf numFmtId="0" fontId="29" fillId="0" borderId="0" xfId="21" applyFont="1" applyAlignment="1">
      <alignment vertical="center" wrapText="1"/>
    </xf>
    <xf numFmtId="0" fontId="4" fillId="0" borderId="0" xfId="5" applyFont="1" applyAlignment="1">
      <alignment horizontal="left" vertical="top" wrapText="1"/>
    </xf>
    <xf numFmtId="0" fontId="24" fillId="0" borderId="0" xfId="21" applyFont="1" applyAlignment="1">
      <alignment vertical="top"/>
    </xf>
    <xf numFmtId="0" fontId="4" fillId="0" borderId="0" xfId="5" applyFont="1" applyAlignment="1">
      <alignment vertical="top"/>
    </xf>
    <xf numFmtId="0" fontId="4" fillId="0" borderId="0" xfId="5" applyFont="1" applyAlignment="1">
      <alignment vertical="top" wrapText="1"/>
    </xf>
    <xf numFmtId="0" fontId="4" fillId="0" borderId="0" xfId="0" applyFont="1" applyAlignment="1">
      <alignment horizontal="left" vertical="center" wrapText="1"/>
    </xf>
    <xf numFmtId="0" fontId="4" fillId="0" borderId="0" xfId="0" applyFont="1" applyAlignment="1">
      <alignment horizontal="left"/>
    </xf>
    <xf numFmtId="0" fontId="8" fillId="0" borderId="0" xfId="0" applyFont="1" applyAlignment="1">
      <alignment horizontal="right"/>
    </xf>
    <xf numFmtId="0" fontId="24" fillId="0" borderId="0" xfId="8" applyFont="1" applyBorder="1" applyAlignment="1">
      <alignment horizontal="center" vertical="center" wrapText="1"/>
    </xf>
    <xf numFmtId="1" fontId="4" fillId="0" borderId="0" xfId="0" applyNumberFormat="1" applyFont="1" applyFill="1" applyBorder="1" applyAlignment="1">
      <alignment horizontal="center"/>
    </xf>
    <xf numFmtId="165" fontId="4" fillId="0" borderId="0" xfId="0" applyNumberFormat="1" applyFont="1"/>
    <xf numFmtId="165" fontId="4" fillId="0" borderId="0" xfId="0" applyNumberFormat="1" applyFont="1" applyBorder="1"/>
    <xf numFmtId="13" fontId="8"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4" fillId="0" borderId="0" xfId="0" applyNumberFormat="1" applyFont="1" applyBorder="1"/>
    <xf numFmtId="1" fontId="56" fillId="0" borderId="0" xfId="0" applyNumberFormat="1" applyFont="1" applyFill="1" applyBorder="1" applyAlignment="1">
      <alignment horizontal="center"/>
    </xf>
    <xf numFmtId="0" fontId="49" fillId="0" borderId="0" xfId="0" applyFont="1" applyAlignment="1"/>
    <xf numFmtId="0" fontId="8" fillId="0" borderId="0" xfId="0" applyFont="1" applyAlignment="1">
      <alignment horizontal="left"/>
    </xf>
    <xf numFmtId="0" fontId="4" fillId="0" borderId="11" xfId="0" applyFont="1" applyFill="1" applyBorder="1" applyAlignment="1">
      <alignment vertical="center" wrapText="1"/>
    </xf>
    <xf numFmtId="0" fontId="4" fillId="0" borderId="11" xfId="0" applyFont="1" applyFill="1" applyBorder="1" applyAlignment="1">
      <alignment wrapText="1"/>
    </xf>
    <xf numFmtId="0" fontId="8" fillId="0" borderId="11" xfId="0" applyFont="1" applyBorder="1" applyAlignment="1">
      <alignment horizontal="left"/>
    </xf>
    <xf numFmtId="0" fontId="4" fillId="0" borderId="0" xfId="0" applyFont="1" applyAlignment="1">
      <alignment horizontal="center" vertical="center" wrapText="1"/>
    </xf>
    <xf numFmtId="0" fontId="33" fillId="0" borderId="0" xfId="0" applyFont="1" applyAlignment="1">
      <alignment horizontal="center"/>
    </xf>
    <xf numFmtId="0" fontId="57" fillId="0" borderId="0" xfId="0" applyFont="1" applyFill="1" applyBorder="1" applyAlignment="1"/>
    <xf numFmtId="2" fontId="57" fillId="0" borderId="0" xfId="0" applyNumberFormat="1" applyFont="1" applyFill="1" applyBorder="1"/>
    <xf numFmtId="0" fontId="8" fillId="0" borderId="11" xfId="0" applyFont="1" applyBorder="1"/>
    <xf numFmtId="0" fontId="33" fillId="0" borderId="27" xfId="0" applyFont="1" applyBorder="1" applyAlignment="1">
      <alignment horizontal="center"/>
    </xf>
    <xf numFmtId="0" fontId="33" fillId="0" borderId="3" xfId="0" applyFont="1" applyBorder="1" applyAlignment="1">
      <alignment horizontal="center"/>
    </xf>
    <xf numFmtId="0" fontId="33" fillId="0" borderId="17" xfId="0" applyFont="1" applyBorder="1" applyAlignment="1">
      <alignment horizontal="center"/>
    </xf>
    <xf numFmtId="0" fontId="33" fillId="0" borderId="0" xfId="0" applyFont="1" applyAlignment="1">
      <alignment horizontal="center" wrapText="1"/>
    </xf>
    <xf numFmtId="0" fontId="33" fillId="0" borderId="3" xfId="0" applyFont="1" applyBorder="1" applyAlignment="1">
      <alignment horizontal="center" vertical="center" wrapText="1"/>
    </xf>
    <xf numFmtId="0" fontId="33" fillId="0" borderId="27" xfId="0" applyFont="1" applyBorder="1" applyAlignment="1">
      <alignment horizontal="center" vertical="center"/>
    </xf>
    <xf numFmtId="168" fontId="33" fillId="0" borderId="27" xfId="0" applyNumberFormat="1" applyFont="1" applyBorder="1" applyAlignment="1">
      <alignment horizontal="center" vertical="center"/>
    </xf>
    <xf numFmtId="168" fontId="33" fillId="0" borderId="17" xfId="0" applyNumberFormat="1" applyFont="1" applyBorder="1" applyAlignment="1">
      <alignment horizontal="center" vertical="center"/>
    </xf>
    <xf numFmtId="168" fontId="0" fillId="0" borderId="0" xfId="0" applyNumberFormat="1"/>
    <xf numFmtId="10" fontId="0" fillId="0" borderId="0" xfId="0" applyNumberFormat="1"/>
    <xf numFmtId="165"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0" fontId="0" fillId="0" borderId="0" xfId="0" applyFill="1" applyBorder="1"/>
    <xf numFmtId="0" fontId="4" fillId="0" borderId="11" xfId="0" applyFont="1" applyFill="1" applyBorder="1" applyAlignment="1">
      <alignment horizontal="center" wrapText="1"/>
    </xf>
    <xf numFmtId="0" fontId="8" fillId="0" borderId="21" xfId="0" applyFont="1" applyFill="1" applyBorder="1" applyAlignment="1">
      <alignment wrapText="1"/>
    </xf>
    <xf numFmtId="0" fontId="4" fillId="0" borderId="18" xfId="0" applyFont="1" applyFill="1" applyBorder="1"/>
    <xf numFmtId="0" fontId="4" fillId="0" borderId="25" xfId="0" applyFont="1" applyFill="1" applyBorder="1" applyAlignment="1">
      <alignment horizontal="center" wrapText="1"/>
    </xf>
    <xf numFmtId="0" fontId="4" fillId="0" borderId="24" xfId="0" applyFont="1" applyFill="1" applyBorder="1" applyAlignment="1">
      <alignment horizontal="center"/>
    </xf>
    <xf numFmtId="165" fontId="4" fillId="0" borderId="24" xfId="0" applyNumberFormat="1" applyFont="1" applyFill="1" applyBorder="1" applyAlignment="1">
      <alignment horizontal="center"/>
    </xf>
    <xf numFmtId="0" fontId="4" fillId="0" borderId="11" xfId="0" applyFont="1" applyBorder="1" applyAlignment="1">
      <alignment horizontal="center"/>
    </xf>
    <xf numFmtId="0" fontId="4" fillId="0" borderId="11" xfId="0" applyFont="1" applyBorder="1" applyAlignment="1">
      <alignment horizontal="center" wrapText="1"/>
    </xf>
    <xf numFmtId="0" fontId="0" fillId="0" borderId="21" xfId="0" applyBorder="1"/>
    <xf numFmtId="0" fontId="4" fillId="0" borderId="18" xfId="0" applyFont="1" applyBorder="1"/>
    <xf numFmtId="0" fontId="16" fillId="0" borderId="0" xfId="0" applyFont="1" applyBorder="1" applyAlignment="1"/>
    <xf numFmtId="0" fontId="33" fillId="0" borderId="0" xfId="0" applyFont="1" applyAlignment="1">
      <alignment horizontal="left"/>
    </xf>
    <xf numFmtId="0" fontId="11" fillId="0" borderId="0" xfId="3" applyFont="1" applyAlignment="1" applyProtection="1">
      <alignment horizontal="center" vertical="center" wrapText="1"/>
    </xf>
    <xf numFmtId="0" fontId="4" fillId="0" borderId="0" xfId="0" applyFont="1" applyAlignment="1">
      <alignment wrapText="1"/>
    </xf>
    <xf numFmtId="0" fontId="24" fillId="0" borderId="0" xfId="21" applyFont="1" applyAlignment="1">
      <alignment horizontal="left" vertical="center" wrapText="1"/>
    </xf>
    <xf numFmtId="0" fontId="24" fillId="0" borderId="16" xfId="21" applyFont="1" applyBorder="1" applyAlignment="1"/>
    <xf numFmtId="0" fontId="24" fillId="0" borderId="0" xfId="21" applyFont="1" applyBorder="1" applyAlignment="1"/>
    <xf numFmtId="0" fontId="24" fillId="0" borderId="37" xfId="21" applyFont="1" applyBorder="1" applyAlignment="1"/>
    <xf numFmtId="0" fontId="24" fillId="0" borderId="9" xfId="21" applyFont="1" applyBorder="1" applyAlignment="1"/>
    <xf numFmtId="0" fontId="24" fillId="0" borderId="0" xfId="0" applyFont="1"/>
    <xf numFmtId="0" fontId="29" fillId="0" borderId="0" xfId="0" applyFont="1" applyAlignment="1"/>
    <xf numFmtId="0" fontId="24" fillId="0" borderId="0" xfId="0" applyFont="1" applyAlignment="1">
      <alignment wrapText="1"/>
    </xf>
    <xf numFmtId="0" fontId="15" fillId="0" borderId="0" xfId="3" applyFont="1" applyAlignment="1" applyProtection="1">
      <alignment horizontal="left" wrapText="1"/>
    </xf>
    <xf numFmtId="0" fontId="62" fillId="0" borderId="0" xfId="3" applyFont="1" applyFill="1" applyBorder="1" applyAlignment="1" applyProtection="1"/>
    <xf numFmtId="0" fontId="7" fillId="0" borderId="0" xfId="5" applyFont="1" applyFill="1" applyBorder="1"/>
    <xf numFmtId="0" fontId="7" fillId="0" borderId="0" xfId="5" applyFont="1" applyFill="1" applyBorder="1" applyAlignment="1">
      <alignment horizontal="right"/>
    </xf>
    <xf numFmtId="0" fontId="7" fillId="0" borderId="0" xfId="0" applyFont="1"/>
    <xf numFmtId="0" fontId="4" fillId="0" borderId="0" xfId="0" applyFont="1" applyAlignment="1">
      <alignment horizontal="left" vertical="center" wrapText="1"/>
    </xf>
    <xf numFmtId="0" fontId="24" fillId="0" borderId="0" xfId="8" applyFont="1" applyBorder="1" applyAlignment="1">
      <alignment horizontal="left" vertical="center"/>
    </xf>
    <xf numFmtId="0" fontId="4" fillId="0" borderId="0" xfId="0" applyFont="1" applyAlignment="1">
      <alignment horizontal="left"/>
    </xf>
    <xf numFmtId="0" fontId="4" fillId="0" borderId="0" xfId="0" applyFont="1" applyAlignment="1">
      <alignment horizontal="left" wrapText="1"/>
    </xf>
    <xf numFmtId="0" fontId="24" fillId="0" borderId="0" xfId="8" applyFont="1" applyBorder="1" applyAlignment="1">
      <alignment horizontal="right" vertical="center"/>
    </xf>
    <xf numFmtId="0" fontId="15" fillId="0" borderId="0" xfId="3" applyFont="1" applyBorder="1" applyAlignment="1" applyProtection="1">
      <alignment vertical="top" wrapText="1"/>
    </xf>
    <xf numFmtId="0" fontId="15" fillId="0" borderId="9" xfId="3" applyFont="1" applyBorder="1" applyAlignment="1" applyProtection="1">
      <alignment vertical="top" wrapText="1"/>
    </xf>
    <xf numFmtId="0" fontId="30" fillId="0" borderId="0" xfId="8" applyFont="1" applyFill="1" applyBorder="1">
      <alignment vertical="center"/>
    </xf>
    <xf numFmtId="0" fontId="24" fillId="0" borderId="0" xfId="8" applyFont="1" applyBorder="1" applyAlignment="1">
      <alignment horizontal="left" vertical="center" wrapText="1"/>
    </xf>
    <xf numFmtId="0" fontId="30" fillId="0" borderId="0" xfId="0" applyFont="1" applyAlignment="1">
      <alignment horizontal="left" vertical="top"/>
    </xf>
    <xf numFmtId="0" fontId="11" fillId="0" borderId="0" xfId="3" applyFont="1" applyAlignment="1" applyProtection="1">
      <alignment horizontal="center" vertical="center"/>
    </xf>
    <xf numFmtId="0" fontId="24" fillId="0" borderId="0" xfId="8" applyFont="1" applyBorder="1" applyAlignment="1">
      <alignment horizontal="center" vertical="center"/>
    </xf>
    <xf numFmtId="0" fontId="64" fillId="0" borderId="0" xfId="3" applyFont="1" applyBorder="1" applyAlignment="1" applyProtection="1">
      <alignment horizontal="left" vertical="center"/>
    </xf>
    <xf numFmtId="0" fontId="24" fillId="0" borderId="0" xfId="8" applyFont="1" applyBorder="1" applyAlignment="1">
      <alignment horizontal="left" vertical="center" wrapText="1"/>
    </xf>
    <xf numFmtId="0" fontId="24" fillId="0" borderId="0" xfId="8" applyFont="1" applyBorder="1" applyAlignment="1">
      <alignment horizontal="left" vertical="center"/>
    </xf>
    <xf numFmtId="0" fontId="64" fillId="0" borderId="0" xfId="10" applyFont="1" applyBorder="1">
      <alignment vertical="center"/>
    </xf>
    <xf numFmtId="0" fontId="15" fillId="0" borderId="0" xfId="3" applyFont="1" applyBorder="1" applyAlignment="1" applyProtection="1">
      <alignment vertical="center"/>
    </xf>
    <xf numFmtId="0" fontId="65" fillId="0" borderId="0" xfId="10" applyFont="1" applyBorder="1">
      <alignment vertical="center"/>
    </xf>
    <xf numFmtId="0" fontId="15" fillId="0" borderId="0" xfId="3" applyFont="1" applyBorder="1" applyAlignment="1" applyProtection="1">
      <alignment horizontal="left" vertical="center"/>
    </xf>
    <xf numFmtId="0" fontId="4" fillId="0" borderId="0" xfId="0" applyFont="1" applyAlignment="1">
      <alignment horizontal="left" vertical="center" wrapText="1"/>
    </xf>
    <xf numFmtId="0" fontId="55" fillId="0" borderId="0" xfId="11" applyFont="1" applyAlignment="1">
      <alignment horizontal="right" vertical="center" wrapText="1"/>
    </xf>
    <xf numFmtId="0" fontId="17" fillId="0" borderId="11" xfId="9" applyFont="1" applyBorder="1" applyAlignment="1">
      <alignment horizontal="left" vertical="center"/>
    </xf>
    <xf numFmtId="0" fontId="23" fillId="0" borderId="11" xfId="9" applyFont="1" applyFill="1" applyBorder="1" applyAlignment="1">
      <alignment horizontal="left" vertical="center"/>
    </xf>
    <xf numFmtId="0" fontId="24" fillId="0" borderId="0" xfId="8" applyFont="1" applyFill="1" applyBorder="1" applyAlignment="1">
      <alignment horizontal="left" vertical="center"/>
    </xf>
    <xf numFmtId="0" fontId="4" fillId="0" borderId="0" xfId="8" applyFont="1" applyBorder="1" applyAlignment="1">
      <alignment horizontal="left" vertical="center" wrapText="1"/>
    </xf>
    <xf numFmtId="0" fontId="16" fillId="0" borderId="0" xfId="0" applyFont="1" applyBorder="1" applyAlignment="1">
      <alignment horizontal="right"/>
    </xf>
    <xf numFmtId="0" fontId="17" fillId="0" borderId="9" xfId="14" applyFont="1" applyBorder="1" applyAlignment="1">
      <alignment horizontal="left" vertical="center"/>
    </xf>
    <xf numFmtId="0" fontId="4" fillId="0" borderId="0" xfId="0" applyFont="1" applyAlignment="1">
      <alignment horizontal="left"/>
    </xf>
    <xf numFmtId="0" fontId="8" fillId="0" borderId="0" xfId="0" applyFont="1" applyAlignment="1">
      <alignment horizontal="left" wrapText="1"/>
    </xf>
    <xf numFmtId="0" fontId="36" fillId="0" borderId="19" xfId="4" applyFont="1" applyBorder="1" applyAlignment="1" applyProtection="1">
      <alignment horizontal="center"/>
    </xf>
    <xf numFmtId="0" fontId="4" fillId="0" borderId="0" xfId="0" applyFont="1" applyAlignment="1">
      <alignment horizontal="left" wrapText="1"/>
    </xf>
    <xf numFmtId="0" fontId="11" fillId="0" borderId="0" xfId="3" applyFont="1" applyAlignment="1" applyProtection="1">
      <alignment horizontal="center" vertical="center" wrapText="1"/>
    </xf>
    <xf numFmtId="0" fontId="7" fillId="0" borderId="0" xfId="0" applyFont="1" applyAlignment="1">
      <alignment horizontal="center" vertical="center" wrapText="1"/>
    </xf>
    <xf numFmtId="0" fontId="33" fillId="0" borderId="0" xfId="0" applyFont="1" applyAlignment="1">
      <alignment horizontal="left"/>
    </xf>
    <xf numFmtId="0" fontId="4" fillId="0" borderId="0" xfId="0" applyFont="1" applyAlignment="1">
      <alignment wrapText="1"/>
    </xf>
    <xf numFmtId="0" fontId="11" fillId="0" borderId="0" xfId="3" applyFont="1" applyAlignment="1" applyProtection="1">
      <alignment horizontal="center" vertical="center"/>
    </xf>
    <xf numFmtId="0" fontId="4" fillId="0" borderId="0" xfId="0" applyFont="1" applyAlignment="1">
      <alignment horizontal="left" vertical="top" wrapText="1"/>
    </xf>
    <xf numFmtId="0" fontId="12" fillId="0" borderId="31"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2" fillId="0" borderId="32" xfId="0" applyFont="1" applyFill="1" applyBorder="1" applyAlignment="1">
      <alignment horizontal="center" vertical="top" wrapText="1"/>
    </xf>
    <xf numFmtId="0" fontId="10" fillId="0" borderId="34" xfId="0" applyFont="1" applyBorder="1" applyAlignment="1">
      <alignment horizontal="left"/>
    </xf>
    <xf numFmtId="0" fontId="4" fillId="0" borderId="0" xfId="0" applyFont="1" applyBorder="1" applyAlignment="1">
      <alignment horizontal="left" vertical="center" wrapText="1"/>
    </xf>
    <xf numFmtId="0" fontId="11" fillId="0" borderId="0" xfId="3" applyFont="1" applyAlignment="1" applyProtection="1">
      <alignment horizontal="center"/>
    </xf>
    <xf numFmtId="0" fontId="15" fillId="0" borderId="0" xfId="4" applyBorder="1" applyAlignment="1" applyProtection="1">
      <alignment vertical="center"/>
    </xf>
    <xf numFmtId="0" fontId="24" fillId="0" borderId="0" xfId="14" applyFont="1" applyBorder="1" applyAlignment="1">
      <alignment horizontal="left" vertical="center"/>
    </xf>
    <xf numFmtId="0" fontId="15" fillId="0" borderId="0" xfId="4" applyBorder="1" applyAlignment="1" applyProtection="1">
      <alignment horizontal="left" wrapText="1"/>
    </xf>
    <xf numFmtId="0" fontId="15" fillId="0" borderId="0" xfId="4" applyBorder="1" applyAlignment="1" applyProtection="1"/>
    <xf numFmtId="0" fontId="29" fillId="0" borderId="0" xfId="14" applyFont="1" applyBorder="1" applyAlignment="1">
      <alignment horizontal="left" vertical="center"/>
    </xf>
    <xf numFmtId="0" fontId="4" fillId="0" borderId="0" xfId="0" applyFont="1" applyFill="1" applyBorder="1" applyAlignment="1">
      <alignment horizontal="left"/>
    </xf>
    <xf numFmtId="0" fontId="4" fillId="0" borderId="0" xfId="0" applyFont="1" applyBorder="1" applyAlignment="1">
      <alignment horizontal="left"/>
    </xf>
    <xf numFmtId="0" fontId="4" fillId="0" borderId="0" xfId="0" applyFont="1" applyAlignment="1">
      <alignment horizontal="left" vertical="top"/>
    </xf>
    <xf numFmtId="0" fontId="30" fillId="0" borderId="29"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1" xfId="0" applyFont="1" applyBorder="1" applyAlignment="1">
      <alignment horizontal="center" vertical="center" wrapText="1"/>
    </xf>
    <xf numFmtId="0" fontId="24" fillId="0" borderId="0" xfId="21" applyFont="1" applyAlignment="1">
      <alignment horizontal="left" wrapText="1"/>
    </xf>
    <xf numFmtId="0" fontId="58" fillId="0" borderId="0" xfId="3" applyFont="1" applyAlignment="1" applyProtection="1">
      <alignment horizontal="left" vertical="center" wrapText="1"/>
    </xf>
    <xf numFmtId="0" fontId="29" fillId="0" borderId="0" xfId="21" applyFont="1" applyAlignment="1">
      <alignment horizontal="left" vertical="center" wrapText="1"/>
    </xf>
    <xf numFmtId="0" fontId="24" fillId="0" borderId="0" xfId="21" applyFont="1" applyAlignment="1">
      <alignment horizontal="left" vertical="center" wrapText="1"/>
    </xf>
    <xf numFmtId="0" fontId="24" fillId="0" borderId="0" xfId="21" applyFont="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top"/>
    </xf>
    <xf numFmtId="0" fontId="38" fillId="0" borderId="0" xfId="0" applyFont="1" applyAlignment="1">
      <alignment vertical="top" wrapText="1"/>
    </xf>
    <xf numFmtId="0" fontId="20" fillId="0" borderId="0" xfId="5" applyFont="1" applyAlignment="1">
      <alignment horizontal="right" vertical="center"/>
    </xf>
    <xf numFmtId="0" fontId="4" fillId="0" borderId="0" xfId="5" applyFont="1" applyAlignment="1">
      <alignment horizontal="left" vertical="center" wrapText="1"/>
    </xf>
    <xf numFmtId="0" fontId="44" fillId="0" borderId="0" xfId="5" applyFont="1" applyAlignment="1">
      <alignment horizontal="center"/>
    </xf>
    <xf numFmtId="0" fontId="24" fillId="0" borderId="0" xfId="21" applyFont="1" applyAlignment="1">
      <alignment horizontal="center"/>
    </xf>
    <xf numFmtId="0" fontId="29" fillId="0" borderId="0" xfId="21" applyFont="1" applyAlignment="1">
      <alignment horizontal="left"/>
    </xf>
    <xf numFmtId="0" fontId="24" fillId="0" borderId="0" xfId="21" applyFont="1" applyAlignment="1">
      <alignment horizontal="center" vertical="center"/>
    </xf>
    <xf numFmtId="0" fontId="24" fillId="0" borderId="6" xfId="21" applyFont="1" applyBorder="1" applyAlignment="1">
      <alignment horizontal="right" vertical="center" wrapText="1"/>
    </xf>
    <xf numFmtId="0" fontId="24" fillId="0" borderId="0" xfId="21" applyFont="1" applyBorder="1" applyAlignment="1">
      <alignment horizontal="right" vertical="center" wrapText="1"/>
    </xf>
    <xf numFmtId="3" fontId="4" fillId="5" borderId="22" xfId="21" applyNumberFormat="1" applyFont="1" applyFill="1" applyBorder="1" applyAlignment="1">
      <alignment horizontal="center" vertical="center" wrapText="1"/>
    </xf>
    <xf numFmtId="3" fontId="4" fillId="5" borderId="25" xfId="21" applyNumberFormat="1" applyFont="1" applyFill="1" applyBorder="1" applyAlignment="1">
      <alignment horizontal="center" vertical="center" wrapText="1"/>
    </xf>
    <xf numFmtId="0" fontId="24" fillId="0" borderId="26" xfId="21" applyFont="1" applyBorder="1" applyAlignment="1">
      <alignment horizontal="left" vertical="center" wrapText="1"/>
    </xf>
    <xf numFmtId="0" fontId="24" fillId="0" borderId="6" xfId="21" applyFont="1" applyBorder="1" applyAlignment="1">
      <alignment horizontal="left" vertical="center" wrapText="1"/>
    </xf>
    <xf numFmtId="0" fontId="24" fillId="0" borderId="16" xfId="21" applyFont="1" applyBorder="1" applyAlignment="1">
      <alignment horizontal="left" vertical="center" wrapText="1"/>
    </xf>
    <xf numFmtId="0" fontId="24" fillId="0" borderId="0" xfId="21" applyFont="1" applyBorder="1" applyAlignment="1">
      <alignment horizontal="left" vertical="center" wrapText="1"/>
    </xf>
    <xf numFmtId="3" fontId="24" fillId="0" borderId="22" xfId="21" applyNumberFormat="1" applyFont="1" applyBorder="1" applyAlignment="1">
      <alignment horizontal="center" vertical="center" wrapText="1"/>
    </xf>
    <xf numFmtId="3" fontId="24" fillId="0" borderId="25" xfId="21" applyNumberFormat="1" applyFont="1" applyBorder="1" applyAlignment="1">
      <alignment horizontal="center" vertical="center" wrapText="1"/>
    </xf>
    <xf numFmtId="0" fontId="24" fillId="2" borderId="29" xfId="21" applyFont="1" applyFill="1" applyBorder="1" applyAlignment="1">
      <alignment horizontal="center" vertical="center" wrapText="1"/>
    </xf>
    <xf numFmtId="0" fontId="24" fillId="2" borderId="19" xfId="21" applyFont="1" applyFill="1" applyBorder="1" applyAlignment="1">
      <alignment horizontal="center" vertical="center" wrapText="1"/>
    </xf>
    <xf numFmtId="0" fontId="24" fillId="2" borderId="28" xfId="21" applyFont="1" applyFill="1" applyBorder="1" applyAlignment="1">
      <alignment horizontal="center" vertical="center" wrapText="1"/>
    </xf>
    <xf numFmtId="0" fontId="24" fillId="2" borderId="20" xfId="21" applyFont="1" applyFill="1" applyBorder="1" applyAlignment="1">
      <alignment horizontal="center" vertical="center" wrapText="1"/>
    </xf>
    <xf numFmtId="0" fontId="24" fillId="2" borderId="11" xfId="21" applyFont="1" applyFill="1" applyBorder="1" applyAlignment="1">
      <alignment horizontal="center" vertical="center" wrapText="1"/>
    </xf>
    <xf numFmtId="0" fontId="24" fillId="2" borderId="21" xfId="21" applyFont="1" applyFill="1" applyBorder="1" applyAlignment="1">
      <alignment horizontal="center" vertical="center" wrapText="1"/>
    </xf>
    <xf numFmtId="0" fontId="24" fillId="0" borderId="18" xfId="21" applyFont="1" applyBorder="1" applyAlignment="1">
      <alignment horizontal="left" vertical="center" wrapText="1"/>
    </xf>
    <xf numFmtId="0" fontId="24" fillId="0" borderId="9" xfId="21" applyFont="1" applyBorder="1" applyAlignment="1">
      <alignment horizontal="left" vertical="center" wrapText="1"/>
    </xf>
    <xf numFmtId="0" fontId="24" fillId="0" borderId="38" xfId="21" applyFont="1" applyBorder="1" applyAlignment="1">
      <alignment horizontal="left" vertical="center" wrapText="1"/>
    </xf>
    <xf numFmtId="0" fontId="24" fillId="0" borderId="24" xfId="21" applyFont="1" applyBorder="1" applyAlignment="1">
      <alignment horizontal="center" vertical="center" wrapText="1"/>
    </xf>
    <xf numFmtId="0" fontId="24" fillId="0" borderId="36" xfId="21" applyFont="1" applyBorder="1" applyAlignment="1">
      <alignment horizontal="center" vertical="center" wrapText="1"/>
    </xf>
    <xf numFmtId="166" fontId="24" fillId="0" borderId="35" xfId="21" applyNumberFormat="1" applyFont="1" applyBorder="1" applyAlignment="1">
      <alignment horizontal="center" vertical="center"/>
    </xf>
    <xf numFmtId="166" fontId="24" fillId="0" borderId="36" xfId="21" applyNumberFormat="1" applyFont="1" applyBorder="1" applyAlignment="1">
      <alignment horizontal="center" vertical="center"/>
    </xf>
    <xf numFmtId="0" fontId="24" fillId="0" borderId="29" xfId="21" applyFont="1" applyBorder="1" applyAlignment="1">
      <alignment horizontal="left" vertical="center"/>
    </xf>
    <xf numFmtId="0" fontId="24" fillId="0" borderId="37" xfId="21" applyFont="1" applyBorder="1" applyAlignment="1">
      <alignment horizontal="left" vertical="center"/>
    </xf>
    <xf numFmtId="0" fontId="43" fillId="0" borderId="16" xfId="21" applyFont="1" applyBorder="1" applyAlignment="1">
      <alignment horizontal="left" vertical="center" wrapText="1"/>
    </xf>
    <xf numFmtId="0" fontId="43" fillId="0" borderId="0" xfId="21" applyFont="1" applyBorder="1" applyAlignment="1">
      <alignment horizontal="left" vertical="center" wrapText="1"/>
    </xf>
    <xf numFmtId="0" fontId="43" fillId="0" borderId="37" xfId="21" applyFont="1" applyBorder="1" applyAlignment="1">
      <alignment horizontal="left" vertical="center" wrapText="1"/>
    </xf>
    <xf numFmtId="0" fontId="43" fillId="0" borderId="9" xfId="21" applyFont="1" applyBorder="1" applyAlignment="1">
      <alignment horizontal="left" vertical="center" wrapText="1"/>
    </xf>
    <xf numFmtId="3" fontId="24" fillId="0" borderId="24" xfId="21" applyNumberFormat="1" applyFont="1" applyBorder="1" applyAlignment="1">
      <alignment horizontal="center" vertical="center" wrapText="1"/>
    </xf>
    <xf numFmtId="1" fontId="24" fillId="2" borderId="35" xfId="21" applyNumberFormat="1" applyFont="1" applyFill="1" applyBorder="1" applyAlignment="1">
      <alignment horizontal="center" vertical="center"/>
    </xf>
    <xf numFmtId="1" fontId="24" fillId="2" borderId="25" xfId="21" applyNumberFormat="1" applyFont="1" applyFill="1" applyBorder="1" applyAlignment="1">
      <alignment horizontal="center" vertical="center"/>
    </xf>
    <xf numFmtId="0" fontId="24" fillId="0" borderId="35" xfId="21" applyFont="1" applyBorder="1" applyAlignment="1">
      <alignment horizontal="left" vertical="center"/>
    </xf>
    <xf numFmtId="0" fontId="24" fillId="0" borderId="25" xfId="21" applyFont="1" applyBorder="1" applyAlignment="1">
      <alignment horizontal="left" vertical="center"/>
    </xf>
    <xf numFmtId="2" fontId="24" fillId="2" borderId="35" xfId="21" applyNumberFormat="1" applyFont="1" applyFill="1" applyBorder="1" applyAlignment="1">
      <alignment horizontal="center" vertical="center"/>
    </xf>
    <xf numFmtId="2" fontId="24" fillId="2" borderId="25" xfId="21" applyNumberFormat="1" applyFont="1" applyFill="1" applyBorder="1" applyAlignment="1">
      <alignment horizontal="center" vertical="center"/>
    </xf>
    <xf numFmtId="0" fontId="24" fillId="0" borderId="0" xfId="0" applyFont="1" applyAlignment="1">
      <alignment vertical="center" wrapText="1"/>
    </xf>
    <xf numFmtId="0" fontId="24" fillId="0" borderId="0" xfId="0" applyFont="1" applyAlignment="1">
      <alignment horizontal="left" vertical="top" wrapText="1"/>
    </xf>
    <xf numFmtId="0" fontId="15" fillId="0" borderId="0" xfId="3" applyFont="1" applyAlignment="1" applyProtection="1">
      <alignment horizontal="left" wrapText="1"/>
    </xf>
    <xf numFmtId="0" fontId="8" fillId="0" borderId="0" xfId="5" applyFont="1" applyAlignment="1">
      <alignment horizontal="left"/>
    </xf>
    <xf numFmtId="0" fontId="4" fillId="0" borderId="0" xfId="5" applyFont="1" applyAlignment="1">
      <alignment horizontal="left"/>
    </xf>
    <xf numFmtId="0" fontId="24" fillId="0" borderId="16" xfId="21" applyFont="1" applyBorder="1" applyAlignment="1">
      <alignment horizontal="left"/>
    </xf>
    <xf numFmtId="0" fontId="24" fillId="0" borderId="0" xfId="21" applyFont="1" applyBorder="1" applyAlignment="1">
      <alignment horizontal="left"/>
    </xf>
    <xf numFmtId="0" fontId="11" fillId="0" borderId="0" xfId="3" applyFont="1" applyAlignment="1" applyProtection="1">
      <alignment horizontal="left" vertical="center" wrapText="1"/>
    </xf>
    <xf numFmtId="0" fontId="24" fillId="0" borderId="0" xfId="21" applyFont="1" applyAlignment="1">
      <alignment horizontal="left" vertical="center" wrapText="1" indent="2"/>
    </xf>
    <xf numFmtId="0" fontId="50" fillId="0" borderId="0" xfId="8" applyFont="1" applyBorder="1" applyAlignment="1">
      <alignment horizontal="left" vertical="center" wrapText="1"/>
    </xf>
    <xf numFmtId="0" fontId="66" fillId="0" borderId="0" xfId="3" applyFont="1" applyAlignment="1" applyProtection="1">
      <alignment horizontal="left"/>
    </xf>
    <xf numFmtId="0" fontId="24" fillId="0" borderId="3" xfId="8" applyFont="1" applyBorder="1" applyAlignment="1">
      <alignment horizontal="center" vertical="center" wrapText="1"/>
    </xf>
    <xf numFmtId="0" fontId="24" fillId="0" borderId="27" xfId="8" applyFont="1" applyBorder="1" applyAlignment="1">
      <alignment horizontal="center" vertical="center" wrapText="1"/>
    </xf>
    <xf numFmtId="0" fontId="24" fillId="0" borderId="29" xfId="8" applyFont="1" applyBorder="1" applyAlignment="1">
      <alignment horizontal="center" vertical="center" wrapText="1"/>
    </xf>
    <xf numFmtId="0" fontId="24" fillId="0" borderId="19" xfId="8" applyFont="1" applyBorder="1" applyAlignment="1">
      <alignment horizontal="center" vertical="center" wrapText="1"/>
    </xf>
    <xf numFmtId="0" fontId="29" fillId="0" borderId="0" xfId="8" applyFont="1" applyBorder="1" applyAlignment="1">
      <alignment horizontal="center" vertical="center"/>
    </xf>
    <xf numFmtId="0" fontId="8" fillId="2" borderId="2" xfId="2" applyFont="1" applyBorder="1" applyAlignment="1">
      <alignment horizontal="center" vertical="center"/>
    </xf>
    <xf numFmtId="0" fontId="29" fillId="0" borderId="0" xfId="8" applyFont="1" applyBorder="1" applyAlignment="1">
      <alignment horizontal="right" vertical="center" wrapText="1"/>
    </xf>
    <xf numFmtId="0" fontId="8" fillId="2" borderId="29" xfId="2" applyFont="1" applyBorder="1" applyAlignment="1">
      <alignment horizontal="center" vertical="center" wrapText="1"/>
    </xf>
    <xf numFmtId="0" fontId="8" fillId="2" borderId="28" xfId="2" applyFont="1" applyBorder="1" applyAlignment="1">
      <alignment horizontal="center" vertical="center" wrapText="1"/>
    </xf>
    <xf numFmtId="0" fontId="8" fillId="2" borderId="16" xfId="2" applyFont="1" applyBorder="1" applyAlignment="1">
      <alignment horizontal="center" vertical="center" wrapText="1"/>
    </xf>
    <xf numFmtId="0" fontId="8" fillId="2" borderId="18" xfId="2" applyFont="1" applyBorder="1" applyAlignment="1">
      <alignment horizontal="center" vertical="center" wrapText="1"/>
    </xf>
    <xf numFmtId="0" fontId="8" fillId="2" borderId="20" xfId="2" applyFont="1" applyBorder="1" applyAlignment="1">
      <alignment horizontal="center" vertical="center" wrapText="1"/>
    </xf>
    <xf numFmtId="0" fontId="8" fillId="2" borderId="21" xfId="2" applyFont="1" applyBorder="1" applyAlignment="1">
      <alignment horizontal="center" vertical="center" wrapText="1"/>
    </xf>
    <xf numFmtId="0" fontId="28" fillId="0" borderId="0" xfId="15" applyFont="1" applyBorder="1" applyAlignment="1">
      <alignment horizontal="left"/>
    </xf>
    <xf numFmtId="0" fontId="8" fillId="2" borderId="3" xfId="2" applyFont="1" applyBorder="1" applyAlignment="1">
      <alignment horizontal="center" vertical="center"/>
    </xf>
    <xf numFmtId="0" fontId="8" fillId="2" borderId="17" xfId="2" applyFont="1" applyBorder="1" applyAlignment="1">
      <alignment horizontal="center" vertical="center"/>
    </xf>
    <xf numFmtId="0" fontId="8" fillId="2" borderId="29" xfId="2" applyFont="1" applyBorder="1" applyAlignment="1">
      <alignment horizontal="center" vertical="center"/>
    </xf>
    <xf numFmtId="0" fontId="8" fillId="2" borderId="28" xfId="2" applyFont="1" applyBorder="1" applyAlignment="1">
      <alignment horizontal="center" vertical="center"/>
    </xf>
    <xf numFmtId="0" fontId="29" fillId="0" borderId="18" xfId="8" applyFont="1" applyBorder="1" applyAlignment="1">
      <alignment horizontal="right" vertical="center" wrapText="1"/>
    </xf>
    <xf numFmtId="0" fontId="4" fillId="0" borderId="0" xfId="0" applyFont="1" applyAlignment="1">
      <alignment horizontal="center"/>
    </xf>
    <xf numFmtId="0" fontId="24" fillId="0" borderId="0" xfId="8" applyFont="1" applyBorder="1" applyAlignment="1">
      <alignment horizontal="center" vertical="center" wrapText="1"/>
    </xf>
    <xf numFmtId="0" fontId="24" fillId="0" borderId="17" xfId="8" applyFont="1" applyBorder="1" applyAlignment="1">
      <alignment horizontal="center" vertical="center" wrapText="1"/>
    </xf>
    <xf numFmtId="0" fontId="24" fillId="0" borderId="28" xfId="8" applyFont="1" applyBorder="1" applyAlignment="1">
      <alignment horizontal="center" vertical="center" wrapText="1"/>
    </xf>
    <xf numFmtId="13" fontId="8" fillId="2" borderId="2" xfId="2" applyNumberFormat="1" applyFont="1" applyBorder="1" applyAlignment="1">
      <alignment horizontal="center" vertical="center"/>
    </xf>
    <xf numFmtId="0" fontId="12" fillId="0" borderId="20" xfId="5" applyFont="1" applyFill="1" applyBorder="1" applyAlignment="1" applyProtection="1">
      <alignment horizontal="center"/>
    </xf>
    <xf numFmtId="0" fontId="12" fillId="0" borderId="21" xfId="5" applyFont="1" applyFill="1" applyBorder="1" applyAlignment="1" applyProtection="1">
      <alignment horizontal="center"/>
    </xf>
    <xf numFmtId="0" fontId="4" fillId="0" borderId="26" xfId="5" applyFont="1" applyBorder="1" applyAlignment="1" applyProtection="1">
      <alignment horizontal="center"/>
    </xf>
    <xf numFmtId="0" fontId="4" fillId="0" borderId="23" xfId="5" applyFont="1" applyBorder="1" applyAlignment="1" applyProtection="1">
      <alignment horizontal="center"/>
    </xf>
    <xf numFmtId="0" fontId="4" fillId="0" borderId="13" xfId="5" applyFont="1" applyBorder="1" applyAlignment="1" applyProtection="1">
      <alignment horizontal="center" vertical="center"/>
    </xf>
    <xf numFmtId="0" fontId="4" fillId="0" borderId="2" xfId="5" applyFont="1" applyBorder="1" applyAlignment="1" applyProtection="1">
      <alignment horizontal="center" vertical="center"/>
    </xf>
    <xf numFmtId="0" fontId="4" fillId="0" borderId="46" xfId="5" applyFont="1" applyBorder="1" applyAlignment="1" applyProtection="1">
      <alignment horizontal="center" vertical="center"/>
    </xf>
    <xf numFmtId="0" fontId="4" fillId="0" borderId="47" xfId="5" applyFont="1" applyBorder="1" applyAlignment="1" applyProtection="1">
      <alignment horizontal="center" vertical="center"/>
    </xf>
    <xf numFmtId="0" fontId="8" fillId="2" borderId="13" xfId="2" applyFont="1" applyBorder="1" applyAlignment="1">
      <alignment horizontal="center" vertical="center"/>
    </xf>
    <xf numFmtId="2" fontId="8" fillId="5" borderId="3" xfId="16" applyNumberFormat="1" applyFont="1" applyBorder="1" applyAlignment="1" applyProtection="1">
      <alignment horizontal="center"/>
    </xf>
    <xf numFmtId="2" fontId="8" fillId="5" borderId="27" xfId="16" applyNumberFormat="1" applyFont="1" applyBorder="1" applyAlignment="1" applyProtection="1">
      <alignment horizontal="center"/>
    </xf>
    <xf numFmtId="0" fontId="12" fillId="0" borderId="16" xfId="16" applyFont="1" applyFill="1" applyBorder="1" applyAlignment="1" applyProtection="1">
      <alignment horizontal="center" wrapText="1"/>
    </xf>
    <xf numFmtId="0" fontId="12" fillId="0" borderId="18" xfId="16" applyFont="1" applyFill="1" applyBorder="1" applyAlignment="1" applyProtection="1">
      <alignment horizontal="center" wrapText="1"/>
    </xf>
    <xf numFmtId="0" fontId="10" fillId="0" borderId="53" xfId="5" applyFont="1" applyBorder="1" applyAlignment="1" applyProtection="1">
      <alignment horizontal="center" wrapText="1"/>
    </xf>
    <xf numFmtId="2" fontId="24" fillId="0" borderId="3" xfId="0" applyNumberFormat="1" applyFont="1" applyBorder="1" applyAlignment="1">
      <alignment horizontal="center"/>
    </xf>
    <xf numFmtId="2" fontId="24" fillId="0" borderId="17" xfId="0" applyNumberFormat="1" applyFont="1" applyBorder="1" applyAlignment="1">
      <alignment horizontal="center"/>
    </xf>
    <xf numFmtId="0" fontId="12" fillId="0" borderId="20" xfId="5" applyFont="1" applyBorder="1" applyAlignment="1" applyProtection="1">
      <alignment horizontal="center" wrapText="1"/>
    </xf>
    <xf numFmtId="0" fontId="12" fillId="0" borderId="21" xfId="5" applyFont="1" applyBorder="1" applyAlignment="1" applyProtection="1">
      <alignment horizontal="center" wrapText="1"/>
    </xf>
    <xf numFmtId="166" fontId="24" fillId="0" borderId="3" xfId="8" applyNumberFormat="1" applyFont="1" applyFill="1" applyBorder="1" applyAlignment="1" applyProtection="1">
      <alignment horizontal="center" vertical="center"/>
    </xf>
    <xf numFmtId="166" fontId="24" fillId="0" borderId="17" xfId="8" applyNumberFormat="1" applyFont="1" applyFill="1" applyBorder="1" applyAlignment="1" applyProtection="1">
      <alignment horizontal="center" vertical="center"/>
    </xf>
    <xf numFmtId="166" fontId="8" fillId="5" borderId="3" xfId="16" applyNumberFormat="1" applyFont="1" applyBorder="1" applyAlignment="1" applyProtection="1">
      <alignment horizontal="center"/>
    </xf>
    <xf numFmtId="166" fontId="8" fillId="5" borderId="27" xfId="16" applyNumberFormat="1" applyFont="1" applyBorder="1" applyAlignment="1" applyProtection="1">
      <alignment horizontal="center"/>
    </xf>
    <xf numFmtId="0" fontId="10" fillId="0" borderId="16" xfId="5" applyFont="1" applyBorder="1" applyAlignment="1" applyProtection="1">
      <alignment horizontal="center" wrapText="1"/>
    </xf>
    <xf numFmtId="0" fontId="10" fillId="0" borderId="18" xfId="5" applyFont="1" applyBorder="1" applyAlignment="1" applyProtection="1">
      <alignment horizontal="center" wrapText="1"/>
    </xf>
    <xf numFmtId="0" fontId="8" fillId="7" borderId="16" xfId="5" applyFont="1" applyFill="1" applyBorder="1" applyAlignment="1" applyProtection="1">
      <alignment horizontal="center" vertical="center" wrapText="1"/>
    </xf>
    <xf numFmtId="0" fontId="8" fillId="7" borderId="18" xfId="5" applyFont="1" applyFill="1" applyBorder="1" applyAlignment="1" applyProtection="1">
      <alignment horizontal="center" vertical="center" wrapText="1"/>
    </xf>
    <xf numFmtId="0" fontId="8" fillId="7" borderId="5" xfId="5" applyFont="1" applyFill="1" applyBorder="1" applyAlignment="1" applyProtection="1">
      <alignment horizontal="center" vertical="center" wrapText="1"/>
    </xf>
    <xf numFmtId="0" fontId="8" fillId="7" borderId="23" xfId="5" applyFont="1" applyFill="1" applyBorder="1" applyAlignment="1" applyProtection="1">
      <alignment horizontal="center" vertical="center" wrapText="1"/>
    </xf>
    <xf numFmtId="0" fontId="8" fillId="7" borderId="4" xfId="5" applyFont="1" applyFill="1" applyBorder="1" applyAlignment="1" applyProtection="1">
      <alignment horizontal="center" vertical="center" wrapText="1"/>
    </xf>
    <xf numFmtId="0" fontId="8" fillId="7" borderId="40" xfId="5" applyFont="1" applyFill="1" applyBorder="1" applyAlignment="1" applyProtection="1">
      <alignment horizontal="center" vertical="center" wrapText="1"/>
    </xf>
    <xf numFmtId="0" fontId="8" fillId="7" borderId="21" xfId="5" applyFont="1" applyFill="1" applyBorder="1" applyAlignment="1" applyProtection="1">
      <alignment horizontal="center" vertical="center" wrapText="1"/>
    </xf>
    <xf numFmtId="165" fontId="24" fillId="6" borderId="3" xfId="8" applyNumberFormat="1" applyFont="1" applyFill="1" applyBorder="1" applyAlignment="1" applyProtection="1">
      <alignment horizontal="center" vertical="center"/>
    </xf>
    <xf numFmtId="165" fontId="24" fillId="6" borderId="17" xfId="8" applyNumberFormat="1" applyFont="1" applyFill="1" applyBorder="1" applyAlignment="1" applyProtection="1">
      <alignment horizontal="center" vertical="center"/>
    </xf>
    <xf numFmtId="0" fontId="51" fillId="0" borderId="0" xfId="8" applyFont="1" applyBorder="1" applyAlignment="1">
      <alignment horizontal="left" vertical="center" wrapText="1"/>
    </xf>
    <xf numFmtId="0" fontId="4" fillId="0" borderId="6" xfId="5" applyFont="1" applyBorder="1" applyAlignment="1" applyProtection="1">
      <alignment horizontal="center"/>
    </xf>
    <xf numFmtId="0" fontId="8" fillId="0" borderId="16" xfId="16" applyFont="1" applyFill="1" applyBorder="1" applyAlignment="1" applyProtection="1">
      <alignment horizontal="center" vertical="center" wrapText="1"/>
    </xf>
    <xf numFmtId="0" fontId="8" fillId="0" borderId="0" xfId="16" applyFont="1" applyFill="1" applyBorder="1" applyAlignment="1" applyProtection="1">
      <alignment horizontal="center" vertical="center" wrapText="1"/>
    </xf>
    <xf numFmtId="0" fontId="10" fillId="0" borderId="16" xfId="16" applyFont="1" applyFill="1" applyBorder="1" applyAlignment="1" applyProtection="1">
      <alignment horizontal="center" wrapText="1"/>
    </xf>
    <xf numFmtId="0" fontId="10" fillId="0" borderId="0" xfId="16" applyFont="1" applyFill="1" applyBorder="1" applyAlignment="1" applyProtection="1">
      <alignment horizontal="center" wrapText="1"/>
    </xf>
    <xf numFmtId="0" fontId="12" fillId="0" borderId="0" xfId="16" applyFont="1" applyFill="1" applyBorder="1" applyAlignment="1" applyProtection="1">
      <alignment horizontal="center" wrapText="1"/>
    </xf>
    <xf numFmtId="0" fontId="4" fillId="0" borderId="20" xfId="5" applyFont="1" applyBorder="1" applyAlignment="1" applyProtection="1">
      <alignment horizontal="center" wrapText="1"/>
    </xf>
    <xf numFmtId="0" fontId="4" fillId="0" borderId="11" xfId="5" applyFont="1" applyBorder="1" applyAlignment="1" applyProtection="1">
      <alignment horizontal="center" wrapText="1"/>
    </xf>
    <xf numFmtId="0" fontId="4" fillId="0" borderId="21" xfId="5" applyFont="1" applyBorder="1" applyAlignment="1" applyProtection="1">
      <alignment horizontal="center" wrapText="1"/>
    </xf>
    <xf numFmtId="0" fontId="8" fillId="0" borderId="18" xfId="16" applyFont="1" applyFill="1" applyBorder="1" applyAlignment="1" applyProtection="1">
      <alignment horizontal="center" vertical="center" wrapText="1"/>
    </xf>
    <xf numFmtId="0" fontId="10" fillId="0" borderId="18" xfId="16" applyFont="1" applyFill="1" applyBorder="1" applyAlignment="1" applyProtection="1">
      <alignment horizontal="center" wrapText="1"/>
    </xf>
    <xf numFmtId="168" fontId="24" fillId="6" borderId="3" xfId="8" applyNumberFormat="1" applyFont="1" applyFill="1" applyBorder="1" applyAlignment="1" applyProtection="1">
      <alignment horizontal="center" vertical="center"/>
    </xf>
    <xf numFmtId="168" fontId="24" fillId="6" borderId="17" xfId="8" applyNumberFormat="1" applyFont="1" applyFill="1" applyBorder="1" applyAlignment="1" applyProtection="1">
      <alignment horizontal="center" vertical="center"/>
    </xf>
    <xf numFmtId="166" fontId="8" fillId="5" borderId="39" xfId="16" applyNumberFormat="1" applyFont="1" applyBorder="1" applyAlignment="1" applyProtection="1">
      <alignment horizontal="center"/>
    </xf>
    <xf numFmtId="10" fontId="24" fillId="2" borderId="3" xfId="8" applyNumberFormat="1" applyFont="1" applyFill="1" applyBorder="1" applyAlignment="1" applyProtection="1">
      <alignment horizontal="center" vertical="center"/>
    </xf>
    <xf numFmtId="10" fontId="24" fillId="2" borderId="17" xfId="8" applyNumberFormat="1" applyFont="1" applyFill="1" applyBorder="1" applyAlignment="1" applyProtection="1">
      <alignment horizontal="center" vertical="center"/>
    </xf>
    <xf numFmtId="0" fontId="8" fillId="2" borderId="27" xfId="2" applyFont="1" applyBorder="1" applyAlignment="1">
      <alignment horizontal="center" vertical="center"/>
    </xf>
    <xf numFmtId="0" fontId="8" fillId="0" borderId="0" xfId="0" applyFont="1" applyAlignment="1">
      <alignment horizontal="right"/>
    </xf>
    <xf numFmtId="0" fontId="8" fillId="0" borderId="18" xfId="0" applyFont="1" applyBorder="1" applyAlignment="1">
      <alignment horizontal="right"/>
    </xf>
    <xf numFmtId="0" fontId="33" fillId="0" borderId="9" xfId="0" applyFont="1" applyFill="1" applyBorder="1" applyAlignment="1">
      <alignment horizontal="left"/>
    </xf>
    <xf numFmtId="166" fontId="48" fillId="0" borderId="16" xfId="3" applyNumberFormat="1" applyFont="1" applyBorder="1" applyAlignment="1" applyProtection="1">
      <alignment horizontal="center" wrapText="1"/>
    </xf>
    <xf numFmtId="166" fontId="48" fillId="0" borderId="0" xfId="3" applyNumberFormat="1" applyFont="1" applyBorder="1" applyAlignment="1" applyProtection="1">
      <alignment horizontal="center" wrapText="1"/>
    </xf>
    <xf numFmtId="0" fontId="10" fillId="0" borderId="0" xfId="0" applyFont="1" applyAlignment="1">
      <alignment horizontal="center" wrapText="1"/>
    </xf>
    <xf numFmtId="0" fontId="12" fillId="0" borderId="16" xfId="5" applyFont="1" applyFill="1" applyBorder="1" applyAlignment="1" applyProtection="1">
      <alignment horizontal="center"/>
    </xf>
    <xf numFmtId="0" fontId="12" fillId="0" borderId="18" xfId="5" applyFont="1" applyFill="1" applyBorder="1" applyAlignment="1" applyProtection="1">
      <alignment horizontal="center"/>
    </xf>
    <xf numFmtId="0" fontId="8" fillId="0" borderId="4" xfId="16" applyFont="1" applyFill="1" applyBorder="1" applyAlignment="1" applyProtection="1">
      <alignment horizontal="center" vertical="center" wrapText="1"/>
    </xf>
    <xf numFmtId="0" fontId="8" fillId="0" borderId="1" xfId="16" applyFont="1" applyFill="1" applyBorder="1" applyAlignment="1" applyProtection="1">
      <alignment horizontal="center" vertical="center" wrapText="1"/>
    </xf>
    <xf numFmtId="0" fontId="4" fillId="0" borderId="5" xfId="16" applyFont="1" applyFill="1" applyBorder="1" applyAlignment="1" applyProtection="1">
      <alignment horizontal="center"/>
    </xf>
    <xf numFmtId="0" fontId="4" fillId="0" borderId="7" xfId="16" applyFont="1" applyFill="1" applyBorder="1" applyAlignment="1" applyProtection="1">
      <alignment horizontal="center"/>
    </xf>
    <xf numFmtId="0" fontId="10" fillId="0" borderId="4" xfId="16" applyFont="1" applyFill="1" applyBorder="1" applyAlignment="1" applyProtection="1">
      <alignment horizontal="center" wrapText="1"/>
    </xf>
    <xf numFmtId="0" fontId="10" fillId="0" borderId="1" xfId="16" applyFont="1" applyFill="1" applyBorder="1" applyAlignment="1" applyProtection="1">
      <alignment horizontal="center" wrapText="1"/>
    </xf>
    <xf numFmtId="0" fontId="10" fillId="0" borderId="40" xfId="16" applyFont="1" applyFill="1" applyBorder="1" applyAlignment="1" applyProtection="1">
      <alignment horizontal="center" wrapText="1"/>
    </xf>
    <xf numFmtId="0" fontId="10" fillId="0" borderId="12" xfId="16" applyFont="1" applyFill="1" applyBorder="1" applyAlignment="1" applyProtection="1">
      <alignment horizontal="center" wrapText="1"/>
    </xf>
    <xf numFmtId="164" fontId="8" fillId="4" borderId="41" xfId="17" applyNumberFormat="1" applyFont="1" applyBorder="1" applyAlignment="1" applyProtection="1">
      <alignment horizontal="center"/>
    </xf>
    <xf numFmtId="164" fontId="8" fillId="4" borderId="39" xfId="17" applyNumberFormat="1" applyFont="1" applyBorder="1" applyAlignment="1" applyProtection="1">
      <alignment horizontal="center"/>
    </xf>
    <xf numFmtId="2" fontId="8" fillId="0" borderId="45" xfId="16" applyNumberFormat="1" applyFont="1" applyFill="1" applyBorder="1" applyAlignment="1" applyProtection="1">
      <alignment horizontal="center"/>
    </xf>
    <xf numFmtId="2" fontId="8" fillId="0" borderId="44" xfId="16" applyNumberFormat="1" applyFont="1" applyFill="1" applyBorder="1" applyAlignment="1" applyProtection="1">
      <alignment horizontal="center"/>
    </xf>
    <xf numFmtId="0" fontId="50" fillId="0" borderId="6" xfId="8" applyFont="1" applyBorder="1" applyAlignment="1">
      <alignment horizontal="left" vertical="center" wrapText="1"/>
    </xf>
    <xf numFmtId="0" fontId="8" fillId="2" borderId="14" xfId="2" applyFont="1" applyBorder="1" applyAlignment="1">
      <alignment horizontal="center" vertical="center"/>
    </xf>
    <xf numFmtId="0" fontId="8" fillId="2" borderId="15" xfId="2" applyFont="1" applyBorder="1" applyAlignment="1">
      <alignment horizontal="center" vertical="center"/>
    </xf>
    <xf numFmtId="10" fontId="24" fillId="2" borderId="42" xfId="8" applyNumberFormat="1" applyFont="1" applyFill="1" applyBorder="1" applyAlignment="1" applyProtection="1">
      <alignment horizontal="center" vertical="center"/>
    </xf>
    <xf numFmtId="10" fontId="24" fillId="2" borderId="43" xfId="8" applyNumberFormat="1" applyFont="1" applyFill="1" applyBorder="1" applyAlignment="1" applyProtection="1">
      <alignment horizontal="center" vertical="center"/>
    </xf>
    <xf numFmtId="165" fontId="24" fillId="6" borderId="49" xfId="8" applyNumberFormat="1" applyFont="1" applyFill="1" applyBorder="1" applyAlignment="1" applyProtection="1">
      <alignment horizontal="center" vertical="center"/>
    </xf>
    <xf numFmtId="165" fontId="24" fillId="6" borderId="50" xfId="8" applyNumberFormat="1" applyFont="1" applyFill="1" applyBorder="1" applyAlignment="1" applyProtection="1">
      <alignment horizontal="center" vertical="center"/>
    </xf>
    <xf numFmtId="10" fontId="24" fillId="6" borderId="3" xfId="8" applyNumberFormat="1" applyFont="1" applyFill="1" applyBorder="1" applyAlignment="1" applyProtection="1">
      <alignment horizontal="center" vertical="center"/>
    </xf>
    <xf numFmtId="10" fontId="24" fillId="6" borderId="17" xfId="8" applyNumberFormat="1" applyFont="1" applyFill="1" applyBorder="1" applyAlignment="1" applyProtection="1">
      <alignment horizontal="center" vertical="center"/>
    </xf>
    <xf numFmtId="168" fontId="24" fillId="6" borderId="49" xfId="8" applyNumberFormat="1" applyFont="1" applyFill="1" applyBorder="1" applyAlignment="1" applyProtection="1">
      <alignment horizontal="center" vertical="center"/>
    </xf>
    <xf numFmtId="168" fontId="24" fillId="6" borderId="50" xfId="8" applyNumberFormat="1" applyFont="1" applyFill="1" applyBorder="1" applyAlignment="1" applyProtection="1">
      <alignment horizontal="center" vertical="center"/>
    </xf>
    <xf numFmtId="166" fontId="11" fillId="0" borderId="20" xfId="3" applyNumberFormat="1" applyFont="1" applyBorder="1" applyAlignment="1" applyProtection="1">
      <alignment horizontal="center"/>
    </xf>
    <xf numFmtId="166" fontId="11" fillId="0" borderId="21" xfId="3" applyNumberFormat="1" applyFont="1" applyBorder="1" applyAlignment="1" applyProtection="1">
      <alignment horizontal="center"/>
    </xf>
    <xf numFmtId="0" fontId="24" fillId="0" borderId="27" xfId="8" applyFont="1" applyBorder="1" applyAlignment="1">
      <alignment horizontal="center" vertical="center"/>
    </xf>
    <xf numFmtId="0" fontId="24" fillId="0" borderId="17" xfId="8" applyFont="1" applyBorder="1" applyAlignment="1">
      <alignment horizontal="center" vertical="center"/>
    </xf>
    <xf numFmtId="0" fontId="24" fillId="0" borderId="19" xfId="8" applyFont="1" applyBorder="1" applyAlignment="1">
      <alignment horizontal="center" vertical="center"/>
    </xf>
    <xf numFmtId="0" fontId="24" fillId="0" borderId="28" xfId="8" applyFont="1" applyBorder="1" applyAlignment="1">
      <alignment horizontal="center" vertical="center"/>
    </xf>
    <xf numFmtId="0" fontId="29" fillId="0" borderId="11" xfId="8" applyFont="1" applyBorder="1" applyAlignment="1">
      <alignment horizontal="center" vertical="center"/>
    </xf>
    <xf numFmtId="0" fontId="24" fillId="0" borderId="16" xfId="8" applyFont="1" applyBorder="1" applyAlignment="1">
      <alignment horizontal="center" vertical="center" wrapText="1"/>
    </xf>
    <xf numFmtId="0" fontId="24" fillId="0" borderId="18" xfId="8" applyFont="1" applyBorder="1" applyAlignment="1">
      <alignment horizontal="center" vertical="center" wrapText="1"/>
    </xf>
    <xf numFmtId="0" fontId="24" fillId="0" borderId="20" xfId="8" applyFont="1" applyBorder="1" applyAlignment="1">
      <alignment horizontal="center" vertical="center" wrapText="1"/>
    </xf>
    <xf numFmtId="0" fontId="24" fillId="0" borderId="11" xfId="8" applyFont="1" applyBorder="1" applyAlignment="1">
      <alignment horizontal="center" vertical="center" wrapText="1"/>
    </xf>
    <xf numFmtId="0" fontId="24" fillId="0" borderId="21" xfId="8" applyFont="1" applyBorder="1" applyAlignment="1">
      <alignment horizontal="center" vertical="center" wrapText="1"/>
    </xf>
    <xf numFmtId="0" fontId="24" fillId="3" borderId="3" xfId="8" applyFont="1" applyFill="1" applyBorder="1" applyAlignment="1" applyProtection="1">
      <alignment horizontal="center" vertical="center"/>
    </xf>
    <xf numFmtId="0" fontId="24" fillId="3" borderId="17" xfId="8" applyFont="1" applyFill="1" applyBorder="1" applyAlignment="1" applyProtection="1">
      <alignment horizontal="center" vertical="center"/>
    </xf>
    <xf numFmtId="0" fontId="12" fillId="0" borderId="16" xfId="5" applyFont="1" applyBorder="1" applyAlignment="1" applyProtection="1">
      <alignment horizontal="center" wrapText="1"/>
    </xf>
    <xf numFmtId="0" fontId="12" fillId="0" borderId="18" xfId="5" applyFont="1" applyBorder="1" applyAlignment="1" applyProtection="1">
      <alignment horizontal="center" wrapText="1"/>
    </xf>
    <xf numFmtId="0" fontId="33" fillId="0" borderId="0" xfId="0" applyFont="1" applyAlignment="1">
      <alignment horizont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Border="1" applyAlignment="1">
      <alignment horizontal="center" vertical="center" wrapText="1"/>
    </xf>
    <xf numFmtId="0" fontId="24" fillId="0" borderId="0" xfId="0" applyFont="1" applyBorder="1" applyAlignment="1">
      <alignment horizontal="left" wrapText="1"/>
    </xf>
    <xf numFmtId="0" fontId="8" fillId="0" borderId="0" xfId="0" applyFont="1" applyBorder="1" applyAlignment="1">
      <alignment horizontal="center" wrapText="1"/>
    </xf>
    <xf numFmtId="0" fontId="8" fillId="0" borderId="11" xfId="0" applyFont="1" applyBorder="1" applyAlignment="1">
      <alignment horizontal="center" wrapText="1"/>
    </xf>
    <xf numFmtId="0" fontId="8" fillId="0" borderId="11" xfId="0" applyFont="1" applyBorder="1" applyAlignment="1">
      <alignment horizontal="left" wrapText="1"/>
    </xf>
    <xf numFmtId="0" fontId="4" fillId="0" borderId="0" xfId="0" applyFont="1" applyBorder="1" applyAlignment="1">
      <alignment horizontal="left" wrapText="1"/>
    </xf>
  </cellXfs>
  <cellStyles count="22">
    <cellStyle name="Comma 2" xfId="1" xr:uid="{00000000-0005-0000-0000-000000000000}"/>
    <cellStyle name="Emission Totals" xfId="16" xr:uid="{00000000-0005-0000-0000-000001000000}"/>
    <cellStyle name="Enter Info" xfId="2" xr:uid="{00000000-0005-0000-0000-000002000000}"/>
    <cellStyle name="Hyperlink" xfId="3" builtinId="8"/>
    <cellStyle name="Hyperlink 2" xfId="4" xr:uid="{00000000-0005-0000-0000-000004000000}"/>
    <cellStyle name="Key Info" xfId="20"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18" xr:uid="{00000000-0005-0000-0000-00000A000000}"/>
    <cellStyle name="Normal 6" xfId="21" xr:uid="{00000000-0005-0000-0000-00000B000000}"/>
    <cellStyle name="PCA Body Text" xfId="8" xr:uid="{00000000-0005-0000-0000-00000C000000}"/>
    <cellStyle name="PCA Heading 1" xfId="14" xr:uid="{00000000-0005-0000-0000-00000D000000}"/>
    <cellStyle name="PCA Heading 2" xfId="9" xr:uid="{00000000-0005-0000-0000-00000E000000}"/>
    <cellStyle name="PCA Heading 3" xfId="15" xr:uid="{00000000-0005-0000-0000-00000F000000}"/>
    <cellStyle name="PCA Hyperlink" xfId="10" xr:uid="{00000000-0005-0000-0000-000010000000}"/>
    <cellStyle name="PCA title" xfId="11" xr:uid="{00000000-0005-0000-0000-000011000000}"/>
    <cellStyle name="Percent 2" xfId="12" xr:uid="{00000000-0005-0000-0000-000012000000}"/>
    <cellStyle name="Percent 3" xfId="13" xr:uid="{00000000-0005-0000-0000-000013000000}"/>
    <cellStyle name="Permit Thresholds" xfId="17" xr:uid="{00000000-0005-0000-0000-000014000000}"/>
    <cellStyle name="Standard Values" xfId="19" xr:uid="{00000000-0005-0000-0000-000015000000}"/>
  </cellStyles>
  <dxfs count="8">
    <dxf>
      <font>
        <b/>
        <i val="0"/>
      </font>
    </dxf>
    <dxf>
      <font>
        <color theme="0"/>
      </font>
    </dxf>
    <dxf>
      <font>
        <b val="0"/>
        <i/>
        <strike/>
        <color theme="0" tint="-0.499984740745262"/>
      </font>
      <fill>
        <patternFill>
          <bgColor theme="0" tint="-0.24994659260841701"/>
        </patternFill>
      </fill>
      <border>
        <left/>
        <right/>
        <top/>
        <bottom/>
        <vertical/>
        <horizontal/>
      </border>
    </dxf>
    <dxf>
      <font>
        <b val="0"/>
        <i/>
        <strike/>
        <color theme="0" tint="-0.499984740745262"/>
      </font>
      <fill>
        <patternFill patternType="solid">
          <bgColor theme="0" tint="-0.24994659260841701"/>
        </patternFill>
      </fill>
      <border>
        <left/>
        <right/>
        <top/>
        <bottom/>
      </border>
    </dxf>
    <dxf>
      <font>
        <color rgb="FFEAF8D8"/>
      </font>
    </dxf>
    <dxf>
      <font>
        <color theme="0"/>
      </font>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7"/>
      <tableStyleElement type="headerRow"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EAA"/>
      <color rgb="FFD1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123826</xdr:rowOff>
    </xdr:from>
    <xdr:to>
      <xdr:col>4</xdr:col>
      <xdr:colOff>571500</xdr:colOff>
      <xdr:row>3</xdr:row>
      <xdr:rowOff>219076</xdr:rowOff>
    </xdr:to>
    <xdr:pic>
      <xdr:nvPicPr>
        <xdr:cNvPr id="3" name="Picture 2" descr="Minnesota Pollution Control Agency (MPCA), 520 Lafayette Road North, St. Paul, MN 55155-4194" title="Image of MPCA logo with St. Paul office address">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rcRect/>
        <a:stretch>
          <a:fillRect/>
        </a:stretch>
      </xdr:blipFill>
      <xdr:spPr bwMode="auto">
        <a:xfrm>
          <a:off x="438150" y="123826"/>
          <a:ext cx="2219325" cy="666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609320</xdr:colOff>
      <xdr:row>42</xdr:row>
      <xdr:rowOff>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019770"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609320</xdr:colOff>
      <xdr:row>42</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801977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609320</xdr:colOff>
      <xdr:row>49</xdr:row>
      <xdr:rowOff>0</xdr:rowOff>
    </xdr:from>
    <xdr:ext cx="184731" cy="26456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016220" y="814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609320</xdr:colOff>
      <xdr:row>49</xdr:row>
      <xdr:rowOff>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5016220" y="814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12</xdr:col>
      <xdr:colOff>609320</xdr:colOff>
      <xdr:row>42</xdr:row>
      <xdr:rowOff>0</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092420"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12</xdr:col>
      <xdr:colOff>609320</xdr:colOff>
      <xdr:row>42</xdr:row>
      <xdr:rowOff>0</xdr:rowOff>
    </xdr:from>
    <xdr:ext cx="184731" cy="264560"/>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5092420"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609320</xdr:colOff>
      <xdr:row>42</xdr:row>
      <xdr:rowOff>0</xdr:rowOff>
    </xdr:from>
    <xdr:ext cx="184731" cy="26456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82889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609320</xdr:colOff>
      <xdr:row>42</xdr:row>
      <xdr:rowOff>0</xdr:rowOff>
    </xdr:from>
    <xdr:ext cx="184731" cy="264560"/>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482889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609320</xdr:colOff>
      <xdr:row>49</xdr:row>
      <xdr:rowOff>0</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4828895" y="79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609320</xdr:colOff>
      <xdr:row>49</xdr:row>
      <xdr:rowOff>0</xdr:rowOff>
    </xdr:from>
    <xdr:ext cx="184731" cy="264560"/>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4828895" y="79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231207</xdr:colOff>
      <xdr:row>48</xdr:row>
      <xdr:rowOff>151272</xdr:rowOff>
    </xdr:from>
    <xdr:to>
      <xdr:col>11</xdr:col>
      <xdr:colOff>383234</xdr:colOff>
      <xdr:row>57</xdr:row>
      <xdr:rowOff>128501</xdr:rowOff>
    </xdr:to>
    <xdr:pic>
      <xdr:nvPicPr>
        <xdr:cNvPr id="2" name="Picture 1" descr="https://www.revisor.mn.gov/image/i7011_0070_1.jpeg/version/2017-01-27T15:42:02-06:00/high/">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6408"/>
        <a:stretch/>
      </xdr:blipFill>
      <xdr:spPr bwMode="auto">
        <a:xfrm rot="5400000">
          <a:off x="6017731" y="7763248"/>
          <a:ext cx="1564729" cy="3739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ca.state.mn.us/smallbizhelp" TargetMode="External"/><Relationship Id="rId1" Type="http://schemas.openxmlformats.org/officeDocument/2006/relationships/hyperlink" Target="mailto:smallbizhelp.pca@state.mn.u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pca.state.mn.us/sites/default/files/p-sbap5-45.pdf" TargetMode="External"/><Relationship Id="rId2" Type="http://schemas.openxmlformats.org/officeDocument/2006/relationships/hyperlink" Target="https://www.revisor.mn.gov/rules/7011.0150/" TargetMode="External"/><Relationship Id="rId1" Type="http://schemas.openxmlformats.org/officeDocument/2006/relationships/hyperlink" Target="https://www.pca.state.mn.us/sites/default/files/w-hw4-39a.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evisor.mn.gov/rules/7007.1300/" TargetMode="External"/><Relationship Id="rId3" Type="http://schemas.openxmlformats.org/officeDocument/2006/relationships/hyperlink" Target="https://www.epa.gov/sites/production/files/2016-06/documents/metal_fab_flowcharts.pdf" TargetMode="External"/><Relationship Id="rId7" Type="http://schemas.openxmlformats.org/officeDocument/2006/relationships/hyperlink" Target="https://www.revisor.mn.gov/rules/7007.1300/" TargetMode="External"/><Relationship Id="rId12" Type="http://schemas.openxmlformats.org/officeDocument/2006/relationships/printerSettings" Target="../printerSettings/printerSettings3.bin"/><Relationship Id="rId2" Type="http://schemas.openxmlformats.org/officeDocument/2006/relationships/hyperlink" Target="https://www.ecfr.gov/cgi-bin/text-idx?node=sp40.15.63.xxxxxx" TargetMode="External"/><Relationship Id="rId1" Type="http://schemas.openxmlformats.org/officeDocument/2006/relationships/hyperlink" Target="https://www.ecfr.gov/cgi-bin/text-idx?node=sp40.7.60.ooo" TargetMode="External"/><Relationship Id="rId6" Type="http://schemas.openxmlformats.org/officeDocument/2006/relationships/hyperlink" Target="https://www.revisor.mn.gov/rules/7008.4110/" TargetMode="External"/><Relationship Id="rId11" Type="http://schemas.openxmlformats.org/officeDocument/2006/relationships/hyperlink" Target="https://www.pca.state.mn.us/sites/default/files/aq4-06.pdf" TargetMode="External"/><Relationship Id="rId5" Type="http://schemas.openxmlformats.org/officeDocument/2006/relationships/hyperlink" Target="https://www.epa.gov/stationary-sources-air-pollution/metal-fabrication-and-finishing-source-categories-national-emission" TargetMode="External"/><Relationship Id="rId10" Type="http://schemas.openxmlformats.org/officeDocument/2006/relationships/hyperlink" Target="https://www.pca.state.mn.us/business-with-us/air-permits" TargetMode="External"/><Relationship Id="rId4" Type="http://schemas.openxmlformats.org/officeDocument/2006/relationships/hyperlink" Target="https://www.epa.gov/stationary-sources-air-pollution/nonmetallic-mineral-processing-new-source-performance-standards" TargetMode="External"/><Relationship Id="rId9" Type="http://schemas.openxmlformats.org/officeDocument/2006/relationships/hyperlink" Target="http://www.pca.state.mn.us/index.php/view-document.html?gid=1488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revisor.mn.gov/rules/7011.0072/" TargetMode="External"/><Relationship Id="rId2" Type="http://schemas.openxmlformats.org/officeDocument/2006/relationships/hyperlink" Target="https://www.revisor.mn.gov/rules/7008.4110/" TargetMode="External"/><Relationship Id="rId1" Type="http://schemas.openxmlformats.org/officeDocument/2006/relationships/hyperlink" Target="https://www.revisor.mn.gov/rules/7008.4110/"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pca.state.mn.us/sites/default/files/aq-ei4-32.xlsx"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CC"/>
    <pageSetUpPr fitToPage="1"/>
  </sheetPr>
  <dimension ref="B1:P35"/>
  <sheetViews>
    <sheetView showGridLines="0" tabSelected="1" zoomScaleNormal="100" workbookViewId="0">
      <selection activeCell="H1" sqref="H1:O3"/>
    </sheetView>
  </sheetViews>
  <sheetFormatPr defaultColWidth="9.28515625" defaultRowHeight="12.75"/>
  <cols>
    <col min="1" max="1" width="3.7109375" style="11" customWidth="1"/>
    <col min="2" max="16384" width="9.28515625" style="11"/>
  </cols>
  <sheetData>
    <row r="1" spans="2:16" ht="15" customHeight="1">
      <c r="B1" s="10"/>
      <c r="C1" s="10"/>
      <c r="D1" s="10"/>
      <c r="E1" s="10"/>
      <c r="H1" s="223" t="s">
        <v>332</v>
      </c>
      <c r="I1" s="223"/>
      <c r="J1" s="223"/>
      <c r="K1" s="223"/>
      <c r="L1" s="223"/>
      <c r="M1" s="223"/>
      <c r="N1" s="223"/>
      <c r="O1" s="223"/>
      <c r="P1" s="10"/>
    </row>
    <row r="2" spans="2:16" ht="15" customHeight="1">
      <c r="B2" s="10"/>
      <c r="C2" s="10"/>
      <c r="D2" s="10"/>
      <c r="E2" s="10"/>
      <c r="F2" s="14"/>
      <c r="G2" s="16"/>
      <c r="H2" s="223"/>
      <c r="I2" s="223"/>
      <c r="J2" s="223"/>
      <c r="K2" s="223"/>
      <c r="L2" s="223"/>
      <c r="M2" s="223"/>
      <c r="N2" s="223"/>
      <c r="O2" s="223"/>
      <c r="P2" s="10"/>
    </row>
    <row r="3" spans="2:16" ht="15" customHeight="1">
      <c r="B3" s="10"/>
      <c r="C3" s="10"/>
      <c r="D3" s="10"/>
      <c r="E3" s="10"/>
      <c r="F3" s="15"/>
      <c r="G3" s="16"/>
      <c r="H3" s="223"/>
      <c r="I3" s="223"/>
      <c r="J3" s="223"/>
      <c r="K3" s="223"/>
      <c r="L3" s="223"/>
      <c r="M3" s="223"/>
      <c r="N3" s="223"/>
      <c r="O3" s="223"/>
      <c r="P3" s="10"/>
    </row>
    <row r="4" spans="2:16" s="202" customFormat="1" ht="21.75" customHeight="1">
      <c r="B4" s="199"/>
      <c r="C4" s="200"/>
      <c r="D4" s="200"/>
      <c r="E4" s="200"/>
      <c r="F4" s="200"/>
      <c r="G4" s="200"/>
      <c r="H4" s="200"/>
      <c r="I4" s="200"/>
      <c r="J4" s="200"/>
      <c r="K4" s="200"/>
      <c r="L4" s="200"/>
      <c r="M4" s="200"/>
      <c r="N4" s="201"/>
      <c r="O4" s="201" t="s">
        <v>331</v>
      </c>
      <c r="P4" s="200"/>
    </row>
    <row r="5" spans="2:16" ht="15" customHeight="1">
      <c r="B5" s="12"/>
      <c r="C5" s="10"/>
      <c r="D5" s="10"/>
      <c r="E5" s="10"/>
      <c r="F5" s="10"/>
      <c r="G5" s="10"/>
      <c r="H5" s="10"/>
      <c r="I5" s="10"/>
      <c r="J5" s="10"/>
      <c r="K5" s="10"/>
      <c r="L5" s="10"/>
      <c r="M5" s="10"/>
      <c r="N5" s="10"/>
      <c r="O5" s="10"/>
      <c r="P5" s="10"/>
    </row>
    <row r="6" spans="2:16" s="1" customFormat="1" ht="15" customHeight="1">
      <c r="B6" s="224" t="s">
        <v>16</v>
      </c>
      <c r="C6" s="224"/>
      <c r="D6" s="224"/>
      <c r="E6" s="224"/>
      <c r="F6" s="224"/>
      <c r="G6" s="224"/>
      <c r="H6" s="224"/>
      <c r="I6" s="224"/>
      <c r="J6" s="224"/>
      <c r="K6" s="224"/>
      <c r="L6" s="224"/>
      <c r="M6" s="224"/>
      <c r="N6" s="224"/>
      <c r="O6" s="224"/>
      <c r="P6" s="3"/>
    </row>
    <row r="7" spans="2:16" s="1" customFormat="1" ht="15" customHeight="1">
      <c r="B7" s="227" t="s">
        <v>259</v>
      </c>
      <c r="C7" s="227"/>
      <c r="D7" s="227"/>
      <c r="E7" s="227"/>
      <c r="F7" s="227"/>
      <c r="G7" s="227"/>
      <c r="H7" s="227"/>
      <c r="I7" s="227"/>
      <c r="J7" s="227"/>
      <c r="K7" s="227"/>
      <c r="L7" s="227"/>
      <c r="M7" s="227"/>
      <c r="N7" s="227"/>
      <c r="O7" s="227"/>
    </row>
    <row r="8" spans="2:16" s="1" customFormat="1" ht="15" customHeight="1">
      <c r="C8" s="222" t="s">
        <v>257</v>
      </c>
      <c r="D8" s="222"/>
      <c r="E8" s="222"/>
      <c r="F8" s="222"/>
      <c r="G8" s="222"/>
      <c r="H8" s="222"/>
      <c r="I8" s="222"/>
      <c r="J8" s="222"/>
      <c r="K8" s="222"/>
      <c r="L8" s="222"/>
      <c r="M8" s="222"/>
      <c r="N8" s="222"/>
      <c r="O8" s="222"/>
    </row>
    <row r="9" spans="2:16" s="1" customFormat="1" ht="15" customHeight="1">
      <c r="C9" s="222"/>
      <c r="D9" s="222"/>
      <c r="E9" s="222"/>
      <c r="F9" s="222"/>
      <c r="G9" s="222"/>
      <c r="H9" s="222"/>
      <c r="I9" s="222"/>
      <c r="J9" s="222"/>
      <c r="K9" s="222"/>
      <c r="L9" s="222"/>
      <c r="M9" s="222"/>
      <c r="N9" s="222"/>
      <c r="O9" s="222"/>
    </row>
    <row r="10" spans="2:16" s="1" customFormat="1" ht="15" customHeight="1">
      <c r="C10" s="222" t="s">
        <v>328</v>
      </c>
      <c r="D10" s="222"/>
      <c r="E10" s="222"/>
      <c r="F10" s="222"/>
      <c r="G10" s="222"/>
      <c r="H10" s="222"/>
      <c r="I10" s="222"/>
      <c r="J10" s="222"/>
      <c r="K10" s="222"/>
      <c r="L10" s="222"/>
      <c r="M10" s="222"/>
      <c r="N10" s="222"/>
      <c r="O10" s="222"/>
    </row>
    <row r="11" spans="2:16" s="1" customFormat="1" ht="15" customHeight="1">
      <c r="C11" s="222"/>
      <c r="D11" s="222"/>
      <c r="E11" s="222"/>
      <c r="F11" s="222"/>
      <c r="G11" s="222"/>
      <c r="H11" s="222"/>
      <c r="I11" s="222"/>
      <c r="J11" s="222"/>
      <c r="K11" s="222"/>
      <c r="L11" s="222"/>
      <c r="M11" s="222"/>
      <c r="N11" s="222"/>
      <c r="O11" s="222"/>
    </row>
    <row r="12" spans="2:16" s="1" customFormat="1" ht="15" customHeight="1">
      <c r="B12" s="1" t="s">
        <v>258</v>
      </c>
      <c r="C12" s="142"/>
      <c r="D12" s="142"/>
      <c r="E12" s="142"/>
      <c r="F12" s="142"/>
      <c r="G12" s="142"/>
      <c r="H12" s="142"/>
      <c r="I12" s="142"/>
      <c r="J12" s="142"/>
      <c r="K12" s="142"/>
      <c r="L12" s="142"/>
      <c r="M12" s="142"/>
      <c r="N12" s="142"/>
      <c r="O12" s="142"/>
    </row>
    <row r="13" spans="2:16" s="1" customFormat="1" ht="15" customHeight="1">
      <c r="C13" s="203"/>
      <c r="D13" s="203"/>
      <c r="E13" s="203"/>
      <c r="F13" s="203"/>
      <c r="G13" s="203"/>
      <c r="H13" s="203"/>
      <c r="I13" s="203"/>
      <c r="J13" s="203"/>
      <c r="K13" s="203"/>
      <c r="L13" s="203"/>
      <c r="M13" s="203"/>
      <c r="N13" s="203"/>
      <c r="O13" s="203"/>
    </row>
    <row r="14" spans="2:16" s="17" customFormat="1" ht="15" customHeight="1">
      <c r="B14" s="11"/>
      <c r="C14" s="10"/>
      <c r="D14" s="10"/>
      <c r="E14" s="10"/>
      <c r="F14" s="10"/>
      <c r="G14" s="10"/>
      <c r="H14" s="10"/>
      <c r="I14" s="10"/>
      <c r="J14" s="10"/>
      <c r="K14" s="10"/>
      <c r="L14" s="10"/>
      <c r="M14" s="10"/>
      <c r="N14" s="10"/>
      <c r="O14" s="3"/>
      <c r="P14" s="3"/>
    </row>
    <row r="15" spans="2:16" s="17" customFormat="1" ht="15" customHeight="1">
      <c r="B15" s="224" t="s">
        <v>310</v>
      </c>
      <c r="C15" s="224"/>
      <c r="D15" s="224"/>
      <c r="E15" s="224"/>
      <c r="F15" s="224"/>
      <c r="G15" s="224"/>
      <c r="H15" s="224"/>
      <c r="I15" s="224"/>
      <c r="J15" s="224"/>
      <c r="K15" s="224"/>
      <c r="L15" s="224"/>
      <c r="M15" s="224"/>
      <c r="N15" s="224"/>
      <c r="O15" s="224"/>
      <c r="P15" s="3"/>
    </row>
    <row r="16" spans="2:16" s="17" customFormat="1" ht="15" customHeight="1">
      <c r="B16" s="117" t="s">
        <v>10</v>
      </c>
      <c r="C16" s="217" t="s">
        <v>17</v>
      </c>
      <c r="D16" s="217"/>
      <c r="E16" s="217"/>
      <c r="F16" s="217"/>
      <c r="G16" s="217"/>
      <c r="H16" s="217"/>
      <c r="I16" s="217"/>
      <c r="J16" s="217"/>
      <c r="K16" s="217"/>
      <c r="L16" s="217"/>
      <c r="M16" s="217"/>
      <c r="N16" s="217"/>
      <c r="O16" s="3"/>
      <c r="P16" s="3"/>
    </row>
    <row r="17" spans="2:16" s="17" customFormat="1" ht="15" customHeight="1">
      <c r="B17" s="118" t="s">
        <v>11</v>
      </c>
      <c r="C17" s="217" t="s">
        <v>18</v>
      </c>
      <c r="D17" s="217"/>
      <c r="E17" s="217"/>
      <c r="F17" s="217"/>
      <c r="G17" s="217"/>
      <c r="H17" s="217"/>
      <c r="I17" s="217"/>
      <c r="J17" s="217"/>
      <c r="K17" s="217"/>
      <c r="L17" s="217"/>
      <c r="M17" s="217"/>
      <c r="N17" s="217"/>
      <c r="O17" s="217"/>
      <c r="P17" s="3"/>
    </row>
    <row r="18" spans="2:16" s="1" customFormat="1" ht="15" customHeight="1">
      <c r="B18" s="119" t="s">
        <v>12</v>
      </c>
      <c r="C18" s="217" t="s">
        <v>19</v>
      </c>
      <c r="D18" s="217"/>
      <c r="E18" s="217"/>
      <c r="F18" s="217"/>
      <c r="G18" s="217"/>
      <c r="H18" s="217"/>
      <c r="I18" s="217"/>
      <c r="J18" s="217"/>
      <c r="K18" s="217"/>
      <c r="L18" s="217"/>
      <c r="M18" s="217"/>
      <c r="N18" s="217"/>
      <c r="O18" s="217"/>
      <c r="P18" s="3"/>
    </row>
    <row r="19" spans="2:16" s="17" customFormat="1" ht="15" customHeight="1">
      <c r="B19" s="120" t="s">
        <v>13</v>
      </c>
      <c r="C19" s="217" t="s">
        <v>20</v>
      </c>
      <c r="D19" s="217"/>
      <c r="E19" s="217"/>
      <c r="F19" s="217"/>
      <c r="G19" s="217"/>
      <c r="H19" s="217"/>
      <c r="I19" s="217"/>
      <c r="J19" s="217"/>
      <c r="K19" s="217"/>
      <c r="L19" s="217"/>
      <c r="M19" s="217"/>
      <c r="N19" s="217"/>
      <c r="O19" s="3"/>
      <c r="P19" s="3"/>
    </row>
    <row r="20" spans="2:16" s="17" customFormat="1" ht="15" customHeight="1">
      <c r="B20" s="121" t="s">
        <v>14</v>
      </c>
      <c r="C20" s="217" t="s">
        <v>21</v>
      </c>
      <c r="D20" s="217"/>
      <c r="E20" s="217"/>
      <c r="F20" s="217"/>
      <c r="G20" s="217"/>
      <c r="H20" s="217"/>
      <c r="I20" s="217"/>
      <c r="J20" s="217"/>
      <c r="K20" s="217"/>
      <c r="L20" s="217"/>
      <c r="M20" s="217"/>
      <c r="N20" s="217"/>
      <c r="O20" s="3"/>
      <c r="P20" s="3"/>
    </row>
    <row r="21" spans="2:16" s="195" customFormat="1" ht="15" customHeight="1">
      <c r="B21" s="210" t="s">
        <v>323</v>
      </c>
      <c r="C21" s="216" t="s">
        <v>324</v>
      </c>
      <c r="D21" s="216"/>
      <c r="E21" s="216"/>
      <c r="F21" s="216"/>
      <c r="G21" s="216"/>
      <c r="H21" s="216"/>
      <c r="I21" s="216"/>
      <c r="J21" s="216"/>
      <c r="K21" s="216"/>
      <c r="L21" s="216"/>
      <c r="M21" s="216"/>
      <c r="N21" s="216"/>
      <c r="O21" s="216"/>
    </row>
    <row r="22" spans="2:16" s="195" customFormat="1" ht="15" customHeight="1">
      <c r="B22" s="210"/>
      <c r="C22" s="211"/>
      <c r="D22" s="211"/>
      <c r="E22" s="211"/>
      <c r="F22" s="211"/>
      <c r="G22" s="211"/>
      <c r="H22" s="211"/>
      <c r="I22" s="211"/>
      <c r="J22" s="211"/>
      <c r="K22" s="211"/>
      <c r="L22" s="211"/>
      <c r="M22" s="211"/>
      <c r="N22" s="211"/>
      <c r="O22" s="211"/>
    </row>
    <row r="23" spans="2:16" s="17" customFormat="1" ht="15" customHeight="1">
      <c r="B23" s="18"/>
      <c r="C23" s="19"/>
      <c r="D23" s="19"/>
      <c r="E23" s="19"/>
      <c r="F23" s="19"/>
      <c r="G23" s="19"/>
      <c r="H23" s="19"/>
      <c r="I23" s="19"/>
      <c r="J23" s="19"/>
      <c r="K23" s="19"/>
      <c r="L23" s="19"/>
      <c r="M23" s="19"/>
      <c r="N23" s="19"/>
      <c r="O23" s="3"/>
      <c r="P23" s="3"/>
    </row>
    <row r="24" spans="2:16" s="1" customFormat="1" ht="15" customHeight="1">
      <c r="B24" s="225" t="s">
        <v>317</v>
      </c>
      <c r="C24" s="225"/>
      <c r="D24" s="225"/>
      <c r="E24" s="225"/>
      <c r="F24" s="225"/>
      <c r="G24" s="225"/>
      <c r="H24" s="225"/>
      <c r="I24" s="225"/>
      <c r="J24" s="225"/>
      <c r="K24" s="225"/>
      <c r="L24" s="225"/>
      <c r="M24" s="225"/>
      <c r="N24" s="225"/>
      <c r="O24" s="225"/>
      <c r="P24" s="3"/>
    </row>
    <row r="25" spans="2:16" ht="15" customHeight="1">
      <c r="B25" s="226" t="s">
        <v>313</v>
      </c>
      <c r="C25" s="226"/>
      <c r="D25" s="226"/>
      <c r="E25" s="226"/>
      <c r="F25" s="226"/>
      <c r="G25" s="226"/>
      <c r="H25" s="226"/>
      <c r="I25" s="226"/>
      <c r="J25" s="226"/>
      <c r="K25" s="226"/>
      <c r="L25" s="226"/>
      <c r="M25" s="226"/>
      <c r="N25" s="226"/>
      <c r="O25" s="3"/>
      <c r="P25" s="10"/>
    </row>
    <row r="26" spans="2:16" ht="15" customHeight="1">
      <c r="B26" s="217" t="s">
        <v>314</v>
      </c>
      <c r="C26" s="217"/>
      <c r="D26" s="217"/>
      <c r="E26" s="217"/>
      <c r="F26" s="217"/>
      <c r="G26" s="217"/>
      <c r="H26" s="217"/>
      <c r="I26" s="217"/>
      <c r="J26" s="217"/>
      <c r="K26" s="217"/>
      <c r="L26" s="217"/>
      <c r="M26" s="217"/>
      <c r="N26" s="217"/>
      <c r="O26" s="217"/>
      <c r="P26" s="10"/>
    </row>
    <row r="27" spans="2:16" ht="15" customHeight="1">
      <c r="B27" s="207" t="s">
        <v>22</v>
      </c>
      <c r="C27" s="217" t="s">
        <v>325</v>
      </c>
      <c r="D27" s="217"/>
      <c r="E27" s="207" t="s">
        <v>23</v>
      </c>
      <c r="F27" s="218" t="s">
        <v>24</v>
      </c>
      <c r="G27" s="218"/>
      <c r="H27" s="218"/>
      <c r="I27" s="218"/>
      <c r="J27" s="207"/>
      <c r="K27" s="219"/>
      <c r="L27" s="220"/>
      <c r="M27" s="220"/>
      <c r="N27" s="220"/>
      <c r="O27" s="220"/>
      <c r="P27" s="10"/>
    </row>
    <row r="28" spans="2:16" ht="15" customHeight="1">
      <c r="B28" s="204"/>
      <c r="C28" s="217" t="s">
        <v>326</v>
      </c>
      <c r="D28" s="217"/>
      <c r="E28" s="221"/>
      <c r="F28" s="217"/>
      <c r="G28" s="217"/>
      <c r="H28" s="217"/>
      <c r="I28" s="217"/>
      <c r="J28" s="217"/>
      <c r="K28" s="217"/>
      <c r="L28" s="217"/>
      <c r="M28" s="217"/>
      <c r="N28" s="217"/>
      <c r="O28" s="217"/>
      <c r="P28" s="10"/>
    </row>
    <row r="29" spans="2:16" ht="15" customHeight="1">
      <c r="B29" s="204"/>
      <c r="C29" s="204"/>
      <c r="D29" s="204"/>
      <c r="E29" s="204"/>
      <c r="F29" s="204"/>
      <c r="G29" s="204"/>
      <c r="H29" s="204"/>
      <c r="I29" s="204"/>
      <c r="J29" s="204"/>
      <c r="K29" s="204"/>
      <c r="L29" s="204"/>
      <c r="M29" s="204"/>
      <c r="N29" s="204"/>
      <c r="O29" s="204"/>
      <c r="P29" s="10"/>
    </row>
    <row r="30" spans="2:16" ht="15" customHeight="1">
      <c r="B30" s="214" t="s">
        <v>315</v>
      </c>
      <c r="C30" s="214"/>
      <c r="D30" s="214"/>
      <c r="E30" s="215" t="s">
        <v>316</v>
      </c>
      <c r="F30" s="215"/>
      <c r="G30" s="215"/>
      <c r="H30" s="215"/>
      <c r="I30" s="215"/>
      <c r="J30" s="215"/>
      <c r="K30" s="215"/>
      <c r="L30" s="215"/>
      <c r="M30" s="215"/>
      <c r="N30" s="215"/>
      <c r="O30" s="204"/>
    </row>
    <row r="31" spans="2:16">
      <c r="B31" s="10"/>
      <c r="C31" s="10"/>
      <c r="D31" s="10"/>
      <c r="E31" s="10"/>
      <c r="F31" s="10"/>
      <c r="G31" s="10"/>
      <c r="H31" s="10"/>
      <c r="I31" s="10"/>
      <c r="J31" s="10"/>
      <c r="K31" s="10"/>
      <c r="L31" s="10"/>
      <c r="M31" s="10"/>
      <c r="N31" s="10"/>
      <c r="O31" s="10"/>
    </row>
    <row r="32" spans="2:16">
      <c r="B32" s="10"/>
      <c r="C32" s="10"/>
      <c r="D32" s="10"/>
      <c r="E32" s="10"/>
      <c r="F32" s="10"/>
      <c r="G32" s="10"/>
      <c r="H32" s="10"/>
      <c r="I32" s="10"/>
      <c r="J32" s="10"/>
      <c r="K32" s="10"/>
      <c r="L32" s="10"/>
      <c r="M32" s="10"/>
      <c r="N32" s="10"/>
      <c r="O32" s="10"/>
    </row>
    <row r="33" spans="2:15">
      <c r="B33" s="10"/>
      <c r="C33" s="10"/>
      <c r="D33" s="10"/>
      <c r="E33" s="10"/>
      <c r="F33" s="10"/>
      <c r="G33" s="10"/>
      <c r="H33" s="10"/>
      <c r="I33" s="10"/>
      <c r="J33" s="10"/>
      <c r="K33" s="10"/>
      <c r="L33" s="10"/>
      <c r="M33" s="10"/>
      <c r="N33" s="10"/>
      <c r="O33" s="10"/>
    </row>
    <row r="34" spans="2:15">
      <c r="B34" s="10"/>
      <c r="C34" s="10"/>
      <c r="D34" s="10"/>
      <c r="E34" s="10"/>
      <c r="F34" s="10"/>
      <c r="G34" s="10"/>
      <c r="H34" s="10"/>
      <c r="I34" s="10"/>
      <c r="J34" s="10"/>
      <c r="K34" s="10"/>
      <c r="L34" s="10"/>
      <c r="M34" s="10"/>
      <c r="N34" s="10"/>
      <c r="O34" s="10"/>
    </row>
    <row r="35" spans="2:15">
      <c r="B35" s="10"/>
    </row>
  </sheetData>
  <mergeCells count="22">
    <mergeCell ref="C8:O9"/>
    <mergeCell ref="C16:N16"/>
    <mergeCell ref="C19:N19"/>
    <mergeCell ref="H1:O3"/>
    <mergeCell ref="C27:D27"/>
    <mergeCell ref="B6:O6"/>
    <mergeCell ref="B15:O15"/>
    <mergeCell ref="B24:O24"/>
    <mergeCell ref="C17:O17"/>
    <mergeCell ref="C18:O18"/>
    <mergeCell ref="B25:N25"/>
    <mergeCell ref="C10:O11"/>
    <mergeCell ref="C20:N20"/>
    <mergeCell ref="B7:O7"/>
    <mergeCell ref="B30:D30"/>
    <mergeCell ref="E30:N30"/>
    <mergeCell ref="C21:O21"/>
    <mergeCell ref="B26:O26"/>
    <mergeCell ref="F27:I27"/>
    <mergeCell ref="K27:O27"/>
    <mergeCell ref="C28:D28"/>
    <mergeCell ref="E28:O28"/>
  </mergeCells>
  <hyperlinks>
    <hyperlink ref="F27" r:id="rId1" xr:uid="{00000000-0004-0000-0000-000000000000}"/>
    <hyperlink ref="E30" r:id="rId2" xr:uid="{00000000-0004-0000-0000-000001000000}"/>
  </hyperlinks>
  <pageMargins left="0.7" right="0.7" top="0.75" bottom="0.75" header="0.3" footer="0.3"/>
  <pageSetup scale="96" fitToHeight="0" orientation="landscape" r:id="rId3"/>
  <headerFooter>
    <oddFooter>&amp;L&amp;"Arial,Italic"&amp;8p-sbap5-19  •  6/5/2023 &amp;C&amp;"Arial,Italic"&amp;8https://www.pca.state.mn.us  •  Available in alternative formats  •  Use your preferred relay service&amp;R&amp;"Arial,Italic"&amp;8Page &amp;P of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R28"/>
  <sheetViews>
    <sheetView showGridLines="0" zoomScaleNormal="100" workbookViewId="0">
      <selection activeCell="B2" sqref="B2:O2"/>
    </sheetView>
  </sheetViews>
  <sheetFormatPr defaultColWidth="9.28515625" defaultRowHeight="12.75"/>
  <cols>
    <col min="1" max="1" width="3.7109375" style="1" customWidth="1"/>
    <col min="2" max="15" width="9.7109375" style="1" customWidth="1"/>
    <col min="16" max="16384" width="9.28515625" style="1"/>
  </cols>
  <sheetData>
    <row r="1" spans="1:18" customFormat="1">
      <c r="A1" s="23"/>
      <c r="B1" s="228" t="str">
        <f>Instructions!O4</f>
        <v>p-sbap5-19  •  6/5/23</v>
      </c>
      <c r="C1" s="228"/>
      <c r="D1" s="228"/>
      <c r="E1" s="228"/>
      <c r="F1" s="228"/>
      <c r="G1" s="228"/>
      <c r="H1" s="228"/>
      <c r="I1" s="228"/>
      <c r="J1" s="228"/>
      <c r="K1" s="228"/>
      <c r="L1" s="228"/>
      <c r="M1" s="228"/>
      <c r="N1" s="228"/>
      <c r="O1" s="228"/>
    </row>
    <row r="2" spans="1:18" customFormat="1" ht="19.5" thickBot="1">
      <c r="A2" s="23"/>
      <c r="B2" s="229" t="s">
        <v>26</v>
      </c>
      <c r="C2" s="229"/>
      <c r="D2" s="229"/>
      <c r="E2" s="229"/>
      <c r="F2" s="229"/>
      <c r="G2" s="229"/>
      <c r="H2" s="229"/>
      <c r="I2" s="229"/>
      <c r="J2" s="229"/>
      <c r="K2" s="229"/>
      <c r="L2" s="229"/>
      <c r="M2" s="229"/>
      <c r="N2" s="229"/>
      <c r="O2" s="229"/>
    </row>
    <row r="4" spans="1:18" ht="12.95" customHeight="1">
      <c r="B4" s="231" t="s">
        <v>132</v>
      </c>
      <c r="C4" s="231"/>
      <c r="D4" s="231"/>
      <c r="E4" s="231"/>
      <c r="F4" s="231"/>
      <c r="G4" s="231"/>
      <c r="H4" s="231"/>
      <c r="I4" s="231"/>
      <c r="J4" s="231"/>
      <c r="K4" s="231"/>
      <c r="L4" s="231"/>
      <c r="M4" s="231"/>
      <c r="N4" s="231"/>
      <c r="O4" s="231"/>
    </row>
    <row r="5" spans="1:18">
      <c r="B5" s="231"/>
      <c r="C5" s="231"/>
      <c r="D5" s="231"/>
      <c r="E5" s="231"/>
      <c r="F5" s="231"/>
      <c r="G5" s="231"/>
      <c r="H5" s="231"/>
      <c r="I5" s="231"/>
      <c r="J5" s="231"/>
      <c r="K5" s="231"/>
      <c r="L5" s="231"/>
      <c r="M5" s="231"/>
      <c r="N5" s="231"/>
      <c r="O5" s="231"/>
    </row>
    <row r="7" spans="1:18" ht="16.5">
      <c r="B7" s="230" t="s">
        <v>28</v>
      </c>
      <c r="C7" s="230"/>
      <c r="D7" s="230"/>
      <c r="E7" s="230"/>
      <c r="F7" s="230"/>
      <c r="G7" s="230"/>
      <c r="H7" s="230"/>
      <c r="I7" s="230"/>
      <c r="J7" s="230"/>
      <c r="K7" s="230"/>
      <c r="L7" s="230"/>
      <c r="M7" s="230"/>
      <c r="N7" s="230"/>
      <c r="O7" s="230"/>
      <c r="R7" s="28"/>
    </row>
    <row r="8" spans="1:18">
      <c r="B8" s="27" t="s">
        <v>38</v>
      </c>
      <c r="C8" s="230" t="s">
        <v>29</v>
      </c>
      <c r="D8" s="230"/>
      <c r="E8" s="230"/>
      <c r="F8" s="230"/>
      <c r="G8" s="230"/>
      <c r="H8" s="230"/>
      <c r="I8" s="230"/>
      <c r="J8" s="230"/>
      <c r="K8" s="230"/>
      <c r="L8" s="230"/>
      <c r="M8" s="230"/>
      <c r="N8" s="230"/>
      <c r="O8" s="230"/>
    </row>
    <row r="9" spans="1:18">
      <c r="B9" s="27" t="s">
        <v>38</v>
      </c>
      <c r="C9" s="233" t="s">
        <v>30</v>
      </c>
      <c r="D9" s="233"/>
      <c r="E9" s="233"/>
      <c r="F9" s="233"/>
      <c r="G9" s="233"/>
      <c r="H9" s="233"/>
      <c r="I9" s="233"/>
      <c r="J9" s="233"/>
      <c r="K9" s="233"/>
      <c r="L9" s="233"/>
      <c r="M9" s="233"/>
      <c r="N9" s="233"/>
      <c r="O9" s="233"/>
    </row>
    <row r="10" spans="1:18">
      <c r="B10" s="27"/>
      <c r="C10" s="233"/>
      <c r="D10" s="233"/>
      <c r="E10" s="233"/>
      <c r="F10" s="233"/>
      <c r="G10" s="233"/>
      <c r="H10" s="233"/>
      <c r="I10" s="233"/>
      <c r="J10" s="233"/>
      <c r="K10" s="233"/>
      <c r="L10" s="233"/>
      <c r="M10" s="233"/>
      <c r="N10" s="233"/>
      <c r="O10" s="233"/>
    </row>
    <row r="11" spans="1:18">
      <c r="B11" s="27" t="s">
        <v>38</v>
      </c>
      <c r="C11" s="230" t="s">
        <v>31</v>
      </c>
      <c r="D11" s="230"/>
      <c r="E11" s="230"/>
      <c r="F11" s="230"/>
      <c r="G11" s="230"/>
      <c r="H11" s="230"/>
      <c r="I11" s="230"/>
      <c r="J11" s="230"/>
      <c r="K11" s="230"/>
      <c r="L11" s="230"/>
      <c r="M11" s="230"/>
      <c r="N11" s="230"/>
      <c r="O11" s="230"/>
    </row>
    <row r="12" spans="1:18">
      <c r="B12" s="27" t="s">
        <v>38</v>
      </c>
      <c r="C12" s="230" t="s">
        <v>32</v>
      </c>
      <c r="D12" s="230"/>
      <c r="E12" s="230"/>
      <c r="F12" s="230"/>
      <c r="G12" s="230"/>
      <c r="H12" s="230"/>
      <c r="I12" s="230"/>
      <c r="J12" s="230"/>
      <c r="K12" s="230"/>
      <c r="L12" s="230"/>
      <c r="M12" s="230"/>
      <c r="N12" s="230"/>
      <c r="O12" s="230"/>
    </row>
    <row r="14" spans="1:18">
      <c r="B14" s="233" t="s">
        <v>27</v>
      </c>
      <c r="C14" s="233"/>
      <c r="D14" s="233"/>
      <c r="E14" s="233"/>
      <c r="F14" s="233"/>
      <c r="G14" s="233"/>
      <c r="H14" s="233"/>
      <c r="I14" s="233"/>
      <c r="J14" s="233"/>
      <c r="K14" s="233"/>
      <c r="L14" s="233"/>
      <c r="M14" s="233"/>
      <c r="N14" s="233"/>
      <c r="O14" s="233"/>
    </row>
    <row r="15" spans="1:18" ht="12.75" customHeight="1">
      <c r="B15" s="233"/>
      <c r="C15" s="233"/>
      <c r="D15" s="233"/>
      <c r="E15" s="233"/>
      <c r="F15" s="233"/>
      <c r="G15" s="233"/>
      <c r="H15" s="233"/>
      <c r="I15" s="233"/>
      <c r="J15" s="233"/>
      <c r="K15" s="233"/>
      <c r="L15" s="233"/>
      <c r="M15" s="233"/>
      <c r="N15" s="233"/>
      <c r="O15" s="233"/>
    </row>
    <row r="16" spans="1:18">
      <c r="B16" s="233"/>
      <c r="C16" s="233"/>
      <c r="D16" s="233"/>
      <c r="E16" s="233"/>
      <c r="F16" s="233"/>
      <c r="G16" s="233"/>
      <c r="H16" s="233"/>
      <c r="I16" s="233"/>
      <c r="J16" s="233"/>
      <c r="K16" s="233"/>
      <c r="L16" s="233"/>
      <c r="M16" s="233"/>
      <c r="N16" s="233"/>
      <c r="O16" s="233"/>
    </row>
    <row r="17" spans="2:15">
      <c r="C17" s="26" t="s">
        <v>329</v>
      </c>
      <c r="D17" s="26"/>
      <c r="E17" s="26"/>
      <c r="F17" s="26"/>
      <c r="G17" s="26"/>
      <c r="H17" s="26"/>
      <c r="I17" s="26"/>
      <c r="J17" s="26"/>
      <c r="K17" s="26"/>
      <c r="L17" s="26"/>
      <c r="M17" s="26"/>
      <c r="N17" s="26"/>
    </row>
    <row r="19" spans="2:15" ht="12.75" customHeight="1">
      <c r="B19" s="233" t="s">
        <v>318</v>
      </c>
      <c r="C19" s="233"/>
      <c r="D19" s="233"/>
      <c r="E19" s="233"/>
      <c r="F19" s="233"/>
      <c r="G19" s="233"/>
      <c r="H19" s="233"/>
      <c r="I19" s="233"/>
      <c r="J19" s="233"/>
      <c r="K19" s="233"/>
      <c r="L19" s="233"/>
      <c r="M19" s="233"/>
      <c r="N19" s="233"/>
      <c r="O19" s="233"/>
    </row>
    <row r="20" spans="2:15">
      <c r="B20" s="27" t="s">
        <v>38</v>
      </c>
      <c r="C20" s="230" t="s">
        <v>33</v>
      </c>
      <c r="D20" s="230"/>
      <c r="E20" s="230"/>
      <c r="F20" s="230"/>
      <c r="G20" s="230"/>
      <c r="H20" s="230"/>
      <c r="I20" s="230"/>
      <c r="J20" s="230"/>
      <c r="K20" s="230"/>
      <c r="L20" s="230"/>
      <c r="M20" s="230"/>
      <c r="N20" s="230"/>
      <c r="O20" s="230"/>
    </row>
    <row r="21" spans="2:15">
      <c r="B21" s="27" t="s">
        <v>38</v>
      </c>
      <c r="C21" s="230" t="s">
        <v>34</v>
      </c>
      <c r="D21" s="230"/>
      <c r="E21" s="230"/>
      <c r="F21" s="230"/>
      <c r="G21" s="230"/>
      <c r="H21" s="230"/>
      <c r="I21" s="230"/>
      <c r="J21" s="230"/>
      <c r="K21" s="230"/>
      <c r="L21" s="230"/>
      <c r="M21" s="230"/>
      <c r="N21" s="230"/>
      <c r="O21" s="230"/>
    </row>
    <row r="22" spans="2:15" ht="12.75" customHeight="1">
      <c r="B22" s="27" t="s">
        <v>38</v>
      </c>
      <c r="C22" s="233" t="s">
        <v>35</v>
      </c>
      <c r="D22" s="233"/>
      <c r="E22" s="233"/>
      <c r="F22" s="233"/>
      <c r="G22" s="233"/>
      <c r="H22" s="233"/>
      <c r="I22" s="233"/>
      <c r="J22" s="233"/>
      <c r="K22" s="233"/>
      <c r="L22" s="233"/>
      <c r="M22" s="233"/>
      <c r="N22" s="233"/>
      <c r="O22" s="233"/>
    </row>
    <row r="23" spans="2:15" ht="12.75" customHeight="1">
      <c r="B23" s="27"/>
      <c r="C23" s="233"/>
      <c r="D23" s="233"/>
      <c r="E23" s="233"/>
      <c r="F23" s="233"/>
      <c r="G23" s="233"/>
      <c r="H23" s="233"/>
      <c r="I23" s="233"/>
      <c r="J23" s="233"/>
      <c r="K23" s="233"/>
      <c r="L23" s="233"/>
      <c r="M23" s="233"/>
      <c r="N23" s="233"/>
      <c r="O23" s="233"/>
    </row>
    <row r="24" spans="2:15">
      <c r="B24" s="27" t="s">
        <v>38</v>
      </c>
      <c r="C24" s="1" t="s">
        <v>36</v>
      </c>
    </row>
    <row r="26" spans="2:15">
      <c r="C26" s="26" t="s">
        <v>37</v>
      </c>
    </row>
    <row r="28" spans="2:15" ht="13.5">
      <c r="B28" s="232" t="s">
        <v>39</v>
      </c>
      <c r="C28" s="232"/>
      <c r="D28" s="29"/>
      <c r="E28" s="29"/>
      <c r="F28" s="29"/>
      <c r="G28" s="29"/>
      <c r="H28" s="29"/>
      <c r="I28" s="29"/>
      <c r="J28" s="29"/>
      <c r="K28" s="29"/>
      <c r="L28" s="29"/>
      <c r="M28" s="29"/>
      <c r="N28" s="29"/>
      <c r="O28" s="29"/>
    </row>
  </sheetData>
  <protectedRanges>
    <protectedRange sqref="P1:AY2" name="Range2_1"/>
  </protectedRanges>
  <mergeCells count="14">
    <mergeCell ref="B28:C28"/>
    <mergeCell ref="B14:O16"/>
    <mergeCell ref="C9:O10"/>
    <mergeCell ref="C8:O8"/>
    <mergeCell ref="B19:O19"/>
    <mergeCell ref="C21:O21"/>
    <mergeCell ref="C20:O20"/>
    <mergeCell ref="C22:O23"/>
    <mergeCell ref="B1:O1"/>
    <mergeCell ref="B2:O2"/>
    <mergeCell ref="B7:O7"/>
    <mergeCell ref="C11:O11"/>
    <mergeCell ref="C12:O12"/>
    <mergeCell ref="B4:O5"/>
  </mergeCells>
  <hyperlinks>
    <hyperlink ref="C26" r:id="rId1" xr:uid="{00000000-0004-0000-0100-000000000000}"/>
    <hyperlink ref="B28:C28" r:id="rId2" display="1Minn. R. 7011.0150" xr:uid="{00000000-0004-0000-0100-000001000000}"/>
    <hyperlink ref="C17:N17" r:id="rId3" display="Fugitive dust emissions management and best practices" xr:uid="{56E60AE6-843A-4173-A18F-7CF11F333F7E}"/>
  </hyperlinks>
  <pageMargins left="0.7" right="0.7" top="0.75" bottom="0.75" header="0.3" footer="0.3"/>
  <pageSetup scale="9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R73"/>
  <sheetViews>
    <sheetView showGridLines="0" zoomScaleNormal="100" workbookViewId="0">
      <selection activeCell="B2" sqref="B2:O2"/>
    </sheetView>
  </sheetViews>
  <sheetFormatPr defaultColWidth="9.28515625" defaultRowHeight="12.75"/>
  <cols>
    <col min="1" max="1" width="3.7109375" style="1" customWidth="1"/>
    <col min="2" max="13" width="9.7109375" style="1" customWidth="1"/>
    <col min="14" max="15" width="12.7109375" style="1" customWidth="1"/>
    <col min="16" max="16384" width="9.28515625" style="1"/>
  </cols>
  <sheetData>
    <row r="1" spans="1:18" customFormat="1">
      <c r="A1" s="23"/>
      <c r="B1" s="228" t="str">
        <f>Instructions!O4</f>
        <v>p-sbap5-19  •  6/5/23</v>
      </c>
      <c r="C1" s="228"/>
      <c r="D1" s="228"/>
      <c r="E1" s="228"/>
      <c r="F1" s="228"/>
      <c r="G1" s="228"/>
      <c r="H1" s="228"/>
      <c r="I1" s="228"/>
      <c r="J1" s="228"/>
      <c r="K1" s="228"/>
      <c r="L1" s="228"/>
      <c r="M1" s="228"/>
      <c r="N1" s="228"/>
      <c r="O1" s="228"/>
    </row>
    <row r="2" spans="1:18" customFormat="1" ht="19.5" thickBot="1">
      <c r="A2" s="23"/>
      <c r="B2" s="229" t="s">
        <v>87</v>
      </c>
      <c r="C2" s="229"/>
      <c r="D2" s="229"/>
      <c r="E2" s="229"/>
      <c r="F2" s="229"/>
      <c r="G2" s="229"/>
      <c r="H2" s="229"/>
      <c r="I2" s="229"/>
      <c r="J2" s="229"/>
      <c r="K2" s="229"/>
      <c r="L2" s="229"/>
      <c r="M2" s="229"/>
      <c r="N2" s="229"/>
      <c r="O2" s="229"/>
    </row>
    <row r="4" spans="1:18">
      <c r="B4" s="233" t="s">
        <v>279</v>
      </c>
      <c r="C4" s="233"/>
      <c r="D4" s="233"/>
      <c r="E4" s="233"/>
      <c r="F4" s="233"/>
      <c r="G4" s="233"/>
      <c r="H4" s="233"/>
      <c r="I4" s="233"/>
      <c r="J4" s="233"/>
      <c r="K4" s="233"/>
      <c r="L4" s="233"/>
      <c r="M4" s="233"/>
      <c r="N4" s="233"/>
      <c r="O4" s="233"/>
    </row>
    <row r="5" spans="1:18">
      <c r="B5" s="233"/>
      <c r="C5" s="233"/>
      <c r="D5" s="233"/>
      <c r="E5" s="233"/>
      <c r="F5" s="233"/>
      <c r="G5" s="233"/>
      <c r="H5" s="233"/>
      <c r="I5" s="233"/>
      <c r="J5" s="233"/>
      <c r="K5" s="233"/>
      <c r="L5" s="233"/>
      <c r="M5" s="233"/>
      <c r="N5" s="233"/>
      <c r="O5" s="233"/>
    </row>
    <row r="6" spans="1:18">
      <c r="B6" s="233"/>
      <c r="C6" s="233"/>
      <c r="D6" s="233"/>
      <c r="E6" s="233"/>
      <c r="F6" s="233"/>
      <c r="G6" s="233"/>
      <c r="H6" s="233"/>
      <c r="I6" s="233"/>
      <c r="J6" s="233"/>
      <c r="K6" s="233"/>
      <c r="L6" s="233"/>
      <c r="M6" s="233"/>
      <c r="N6" s="233"/>
      <c r="O6" s="233"/>
    </row>
    <row r="8" spans="1:18" ht="15">
      <c r="B8" s="236" t="s">
        <v>131</v>
      </c>
      <c r="C8" s="236"/>
      <c r="D8" s="236"/>
      <c r="E8" s="236"/>
      <c r="F8" s="236"/>
      <c r="G8" s="236"/>
      <c r="H8" s="236"/>
      <c r="I8" s="236"/>
      <c r="J8" s="236"/>
      <c r="K8" s="236"/>
      <c r="L8" s="236"/>
      <c r="M8" s="236"/>
      <c r="N8" s="236"/>
      <c r="O8" s="236"/>
    </row>
    <row r="9" spans="1:18" ht="12.75" customHeight="1">
      <c r="B9" s="47" t="s">
        <v>308</v>
      </c>
      <c r="C9" s="63"/>
      <c r="D9" s="63"/>
      <c r="E9" s="63"/>
      <c r="F9" s="63"/>
      <c r="G9" s="63"/>
      <c r="H9" s="5"/>
      <c r="I9" s="5"/>
      <c r="J9" s="5"/>
      <c r="K9" s="5"/>
      <c r="L9" s="5"/>
      <c r="M9" s="5"/>
      <c r="N9" s="5"/>
      <c r="O9" s="5"/>
      <c r="P9" s="74"/>
      <c r="Q9" s="74"/>
      <c r="R9" s="74"/>
    </row>
    <row r="10" spans="1:18" ht="12.75" customHeight="1">
      <c r="B10" s="69" t="s">
        <v>38</v>
      </c>
      <c r="C10" s="233" t="s">
        <v>134</v>
      </c>
      <c r="D10" s="233"/>
      <c r="E10" s="233"/>
      <c r="F10" s="233"/>
      <c r="G10" s="233"/>
      <c r="H10" s="233"/>
      <c r="I10" s="233"/>
      <c r="J10" s="233"/>
      <c r="K10" s="233"/>
      <c r="L10" s="233"/>
      <c r="M10" s="233"/>
      <c r="N10" s="234" t="s">
        <v>118</v>
      </c>
      <c r="O10" s="234"/>
      <c r="P10" s="74"/>
      <c r="Q10" s="74"/>
      <c r="R10" s="74"/>
    </row>
    <row r="11" spans="1:18">
      <c r="B11" s="69"/>
      <c r="C11" s="233"/>
      <c r="D11" s="233"/>
      <c r="E11" s="233"/>
      <c r="F11" s="233"/>
      <c r="G11" s="233"/>
      <c r="H11" s="233"/>
      <c r="I11" s="233"/>
      <c r="J11" s="233"/>
      <c r="K11" s="233"/>
      <c r="L11" s="233"/>
      <c r="M11" s="233"/>
      <c r="N11" s="234"/>
      <c r="O11" s="234"/>
      <c r="P11" s="74"/>
      <c r="Q11" s="74"/>
      <c r="R11" s="74"/>
    </row>
    <row r="12" spans="1:18">
      <c r="B12" s="69" t="s">
        <v>38</v>
      </c>
      <c r="C12" s="230" t="s">
        <v>135</v>
      </c>
      <c r="D12" s="230"/>
      <c r="E12" s="230"/>
      <c r="F12" s="230"/>
      <c r="G12" s="230"/>
      <c r="H12" s="230"/>
      <c r="I12" s="230"/>
      <c r="J12" s="230"/>
      <c r="K12" s="230"/>
      <c r="L12" s="230"/>
      <c r="M12" s="230"/>
      <c r="N12" s="234"/>
      <c r="O12" s="234"/>
      <c r="P12" s="74"/>
      <c r="Q12" s="74"/>
      <c r="R12" s="74"/>
    </row>
    <row r="13" spans="1:18">
      <c r="B13" s="69" t="s">
        <v>38</v>
      </c>
      <c r="C13" s="230" t="s">
        <v>136</v>
      </c>
      <c r="D13" s="230"/>
      <c r="E13" s="230"/>
      <c r="F13" s="230"/>
      <c r="G13" s="230"/>
      <c r="H13" s="230"/>
      <c r="I13" s="230"/>
      <c r="J13" s="230"/>
      <c r="K13" s="230"/>
      <c r="L13" s="230"/>
      <c r="M13" s="230"/>
      <c r="N13" s="234" t="s">
        <v>143</v>
      </c>
      <c r="O13" s="234"/>
      <c r="P13" s="74"/>
      <c r="Q13" s="74"/>
      <c r="R13" s="74"/>
    </row>
    <row r="14" spans="1:18" ht="12.75" customHeight="1">
      <c r="B14" s="69"/>
      <c r="C14" s="69" t="s">
        <v>38</v>
      </c>
      <c r="D14" s="233" t="s">
        <v>301</v>
      </c>
      <c r="E14" s="233"/>
      <c r="F14" s="233"/>
      <c r="G14" s="233"/>
      <c r="H14" s="233"/>
      <c r="I14" s="233"/>
      <c r="J14" s="233"/>
      <c r="K14" s="233"/>
      <c r="L14" s="233"/>
      <c r="M14" s="233"/>
      <c r="N14" s="234"/>
      <c r="O14" s="234"/>
      <c r="P14" s="74"/>
      <c r="Q14" s="74"/>
      <c r="R14" s="74"/>
    </row>
    <row r="15" spans="1:18" ht="12.75" customHeight="1">
      <c r="B15" s="69"/>
      <c r="C15" s="69" t="s">
        <v>38</v>
      </c>
      <c r="D15" s="237" t="s">
        <v>139</v>
      </c>
      <c r="E15" s="237"/>
      <c r="F15" s="237"/>
      <c r="G15" s="237"/>
      <c r="H15" s="237"/>
      <c r="I15" s="237"/>
      <c r="J15" s="237"/>
      <c r="K15" s="237"/>
      <c r="L15" s="237"/>
      <c r="M15" s="237"/>
      <c r="N15" s="234"/>
      <c r="O15" s="234"/>
      <c r="P15" s="74"/>
      <c r="Q15" s="74"/>
      <c r="R15" s="74"/>
    </row>
    <row r="16" spans="1:18" ht="7.5" customHeight="1">
      <c r="B16" s="69"/>
      <c r="C16" s="69"/>
      <c r="D16" s="189"/>
      <c r="E16" s="189"/>
      <c r="F16" s="189"/>
      <c r="G16" s="189"/>
      <c r="H16" s="189"/>
      <c r="I16" s="189"/>
      <c r="J16" s="189"/>
      <c r="K16" s="189"/>
      <c r="L16" s="189"/>
      <c r="M16" s="189"/>
      <c r="N16" s="188"/>
      <c r="O16" s="188"/>
      <c r="P16" s="74"/>
      <c r="Q16" s="74"/>
      <c r="R16" s="74"/>
    </row>
    <row r="17" spans="2:17" ht="15" customHeight="1">
      <c r="C17" s="254" t="s">
        <v>311</v>
      </c>
      <c r="D17" s="255"/>
      <c r="E17" s="255"/>
      <c r="F17" s="255"/>
      <c r="G17" s="255"/>
      <c r="H17" s="255"/>
      <c r="I17" s="255"/>
      <c r="J17" s="255"/>
      <c r="K17" s="255"/>
      <c r="L17" s="255"/>
      <c r="M17" s="255"/>
      <c r="N17" s="256"/>
      <c r="O17" s="187"/>
    </row>
    <row r="18" spans="2:17" ht="15">
      <c r="C18" s="257"/>
      <c r="D18" s="258"/>
      <c r="E18" s="258"/>
      <c r="F18" s="258"/>
      <c r="G18" s="258"/>
      <c r="H18" s="258"/>
      <c r="I18" s="258"/>
      <c r="J18" s="258"/>
      <c r="K18" s="258"/>
      <c r="L18" s="258"/>
      <c r="M18" s="258"/>
      <c r="N18" s="259"/>
      <c r="O18" s="187"/>
    </row>
    <row r="19" spans="2:17" ht="15">
      <c r="B19" s="187"/>
      <c r="C19" s="260"/>
      <c r="D19" s="261"/>
      <c r="E19" s="261"/>
      <c r="F19" s="261"/>
      <c r="G19" s="261"/>
      <c r="H19" s="261"/>
      <c r="I19" s="261"/>
      <c r="J19" s="261"/>
      <c r="K19" s="261"/>
      <c r="L19" s="261"/>
      <c r="M19" s="261"/>
      <c r="N19" s="262"/>
      <c r="O19" s="187"/>
    </row>
    <row r="20" spans="2:17" ht="15">
      <c r="B20" s="187"/>
      <c r="C20" s="187"/>
      <c r="D20" s="187"/>
      <c r="E20" s="187"/>
      <c r="F20" s="187"/>
      <c r="G20" s="187"/>
      <c r="H20" s="187"/>
      <c r="I20" s="187"/>
      <c r="J20" s="187"/>
      <c r="K20" s="187"/>
      <c r="L20" s="187"/>
      <c r="M20" s="187"/>
      <c r="N20" s="187"/>
      <c r="O20" s="187"/>
    </row>
    <row r="21" spans="2:17">
      <c r="B21" s="75" t="s">
        <v>137</v>
      </c>
      <c r="C21" s="62"/>
      <c r="D21" s="61"/>
      <c r="E21" s="61"/>
      <c r="F21" s="61"/>
      <c r="G21" s="61"/>
      <c r="H21" s="61"/>
      <c r="I21" s="61"/>
      <c r="J21" s="71"/>
      <c r="K21" s="62"/>
      <c r="L21" s="61"/>
      <c r="M21" s="71"/>
      <c r="N21" s="61"/>
      <c r="O21" s="61"/>
    </row>
    <row r="22" spans="2:17">
      <c r="B22" s="69" t="s">
        <v>38</v>
      </c>
      <c r="C22" s="212" t="s">
        <v>322</v>
      </c>
      <c r="D22" s="206"/>
      <c r="E22" s="206"/>
      <c r="F22" s="206"/>
      <c r="G22" s="206"/>
      <c r="H22" s="206"/>
      <c r="I22" s="206"/>
      <c r="J22" s="206"/>
      <c r="K22" s="205"/>
      <c r="L22" s="206"/>
      <c r="M22" s="206"/>
      <c r="N22" s="206"/>
      <c r="O22" s="206"/>
    </row>
    <row r="23" spans="2:17" ht="12.75" customHeight="1">
      <c r="B23" s="69" t="s">
        <v>38</v>
      </c>
      <c r="C23" s="253" t="s">
        <v>138</v>
      </c>
      <c r="D23" s="253"/>
      <c r="E23" s="253"/>
      <c r="F23" s="253"/>
      <c r="G23" s="253"/>
      <c r="H23" s="253"/>
      <c r="I23" s="253"/>
      <c r="J23" s="253"/>
      <c r="K23" s="253"/>
      <c r="L23" s="253"/>
      <c r="M23" s="253"/>
      <c r="N23" s="238" t="s">
        <v>133</v>
      </c>
      <c r="O23" s="238"/>
      <c r="P23" s="74"/>
      <c r="Q23" s="74"/>
    </row>
    <row r="24" spans="2:17" ht="12.75" customHeight="1">
      <c r="B24" s="69"/>
      <c r="C24" s="69" t="s">
        <v>38</v>
      </c>
      <c r="D24" s="239" t="s">
        <v>238</v>
      </c>
      <c r="E24" s="239"/>
      <c r="F24" s="239"/>
      <c r="G24" s="239"/>
      <c r="H24" s="239"/>
      <c r="I24" s="239"/>
      <c r="J24" s="239"/>
      <c r="K24" s="239"/>
      <c r="L24" s="239"/>
      <c r="M24" s="239"/>
      <c r="N24" s="238"/>
      <c r="O24" s="238"/>
      <c r="P24" s="74"/>
      <c r="Q24" s="74"/>
    </row>
    <row r="25" spans="2:17" ht="12.75" customHeight="1">
      <c r="B25" s="69"/>
      <c r="C25" s="69"/>
      <c r="D25" s="239"/>
      <c r="E25" s="239"/>
      <c r="F25" s="239"/>
      <c r="G25" s="239"/>
      <c r="H25" s="239"/>
      <c r="I25" s="239"/>
      <c r="J25" s="239"/>
      <c r="K25" s="239"/>
      <c r="L25" s="239"/>
      <c r="M25" s="239"/>
      <c r="N25" s="213"/>
      <c r="O25" s="213"/>
      <c r="P25" s="74"/>
      <c r="Q25" s="74"/>
    </row>
    <row r="26" spans="2:17" ht="14.25" customHeight="1">
      <c r="B26" s="69"/>
      <c r="C26" s="74"/>
      <c r="D26" s="239"/>
      <c r="E26" s="239"/>
      <c r="F26" s="239"/>
      <c r="G26" s="239"/>
      <c r="H26" s="239"/>
      <c r="I26" s="239"/>
      <c r="J26" s="239"/>
      <c r="K26" s="239"/>
      <c r="L26" s="239"/>
      <c r="M26" s="239"/>
      <c r="N26" s="235" t="s">
        <v>302</v>
      </c>
      <c r="O26" s="235"/>
      <c r="P26" s="74"/>
      <c r="Q26" s="74"/>
    </row>
    <row r="27" spans="2:17" ht="12.75" customHeight="1">
      <c r="B27" s="69" t="s">
        <v>38</v>
      </c>
      <c r="C27" s="239" t="s">
        <v>281</v>
      </c>
      <c r="D27" s="239"/>
      <c r="E27" s="239"/>
      <c r="F27" s="239"/>
      <c r="G27" s="239"/>
      <c r="H27" s="239"/>
      <c r="I27" s="239"/>
      <c r="J27" s="239"/>
      <c r="K27" s="239"/>
      <c r="L27" s="239"/>
      <c r="M27" s="239"/>
      <c r="N27" s="235"/>
      <c r="O27" s="235"/>
      <c r="P27" s="74"/>
      <c r="Q27" s="74"/>
    </row>
    <row r="28" spans="2:17" ht="13.5" customHeight="1">
      <c r="B28" s="69"/>
      <c r="C28" s="239"/>
      <c r="D28" s="239"/>
      <c r="E28" s="239"/>
      <c r="F28" s="239"/>
      <c r="G28" s="239"/>
      <c r="H28" s="239"/>
      <c r="I28" s="239"/>
      <c r="J28" s="239"/>
      <c r="K28" s="239"/>
      <c r="L28" s="239"/>
      <c r="M28" s="239"/>
      <c r="N28" s="235"/>
      <c r="O28" s="235"/>
      <c r="P28" s="74"/>
      <c r="Q28" s="74"/>
    </row>
    <row r="29" spans="2:17" ht="12.75" customHeight="1">
      <c r="B29" s="69" t="s">
        <v>38</v>
      </c>
      <c r="C29" s="253" t="s">
        <v>144</v>
      </c>
      <c r="D29" s="253"/>
      <c r="E29" s="253"/>
      <c r="F29" s="253"/>
      <c r="G29" s="253"/>
      <c r="H29" s="253"/>
      <c r="I29" s="253"/>
      <c r="J29" s="253"/>
      <c r="K29" s="253"/>
      <c r="L29" s="253"/>
      <c r="M29" s="253"/>
      <c r="N29" s="235"/>
      <c r="O29" s="235"/>
      <c r="P29" s="74"/>
      <c r="Q29" s="74"/>
    </row>
    <row r="30" spans="2:17" ht="12.75" customHeight="1">
      <c r="N30" s="235"/>
      <c r="O30" s="235"/>
      <c r="P30" s="74"/>
      <c r="Q30" s="74"/>
    </row>
    <row r="31" spans="2:17" ht="12.75" customHeight="1">
      <c r="B31" s="69"/>
      <c r="C31" s="127"/>
      <c r="D31" s="127"/>
      <c r="E31" s="127"/>
      <c r="F31" s="127"/>
      <c r="G31" s="127"/>
      <c r="H31" s="127"/>
      <c r="I31" s="127"/>
      <c r="J31" s="127"/>
      <c r="K31" s="127"/>
      <c r="L31" s="127"/>
      <c r="M31" s="127"/>
      <c r="N31" s="128"/>
      <c r="O31" s="128"/>
      <c r="P31" s="74"/>
      <c r="Q31" s="74"/>
    </row>
    <row r="32" spans="2:17" ht="15">
      <c r="B32" s="236" t="s">
        <v>253</v>
      </c>
      <c r="C32" s="236"/>
      <c r="D32" s="236"/>
      <c r="E32" s="236"/>
      <c r="F32" s="236"/>
      <c r="G32" s="236"/>
      <c r="H32" s="236"/>
      <c r="I32" s="236"/>
      <c r="J32" s="236"/>
      <c r="K32" s="236"/>
      <c r="L32" s="236"/>
      <c r="M32" s="236"/>
      <c r="N32" s="236"/>
      <c r="O32" s="236"/>
    </row>
    <row r="33" spans="1:16" ht="15" customHeight="1">
      <c r="B33" s="69" t="s">
        <v>38</v>
      </c>
      <c r="C33" s="239" t="s">
        <v>319</v>
      </c>
      <c r="D33" s="239"/>
      <c r="E33" s="239"/>
      <c r="F33" s="239"/>
      <c r="G33" s="239"/>
      <c r="H33" s="239"/>
      <c r="I33" s="239"/>
      <c r="J33" s="239"/>
      <c r="K33" s="239"/>
      <c r="L33" s="239"/>
      <c r="M33" s="239"/>
      <c r="N33" s="234" t="s">
        <v>254</v>
      </c>
      <c r="O33" s="234"/>
    </row>
    <row r="34" spans="1:16" ht="12.75" customHeight="1">
      <c r="B34" s="129"/>
      <c r="C34" s="239"/>
      <c r="D34" s="239"/>
      <c r="E34" s="239"/>
      <c r="F34" s="239"/>
      <c r="G34" s="239"/>
      <c r="H34" s="239"/>
      <c r="I34" s="239"/>
      <c r="J34" s="239"/>
      <c r="K34" s="239"/>
      <c r="L34" s="239"/>
      <c r="M34" s="239"/>
      <c r="N34" s="234"/>
      <c r="O34" s="234"/>
    </row>
    <row r="35" spans="1:16">
      <c r="B35" s="69" t="s">
        <v>38</v>
      </c>
      <c r="C35" s="230" t="s">
        <v>330</v>
      </c>
      <c r="D35" s="230"/>
      <c r="E35" s="230"/>
      <c r="F35" s="230"/>
      <c r="G35" s="230"/>
      <c r="H35" s="230"/>
      <c r="I35" s="230"/>
      <c r="J35" s="230"/>
      <c r="K35" s="230"/>
      <c r="L35" s="230"/>
      <c r="M35" s="230"/>
      <c r="N35" s="245" t="s">
        <v>255</v>
      </c>
      <c r="O35" s="245"/>
    </row>
    <row r="36" spans="1:16" ht="15">
      <c r="B36" s="129"/>
      <c r="D36" s="129"/>
      <c r="E36" s="129"/>
      <c r="F36" s="129"/>
      <c r="G36" s="129"/>
      <c r="H36" s="129"/>
      <c r="I36" s="129"/>
      <c r="J36" s="129"/>
      <c r="K36" s="129"/>
      <c r="L36" s="129"/>
      <c r="M36" s="129"/>
      <c r="N36" s="129"/>
      <c r="O36" s="129"/>
    </row>
    <row r="37" spans="1:16">
      <c r="B37" s="48"/>
      <c r="C37" s="48"/>
      <c r="D37" s="48"/>
      <c r="E37" s="48"/>
      <c r="F37" s="48"/>
      <c r="G37" s="48"/>
      <c r="H37" s="48"/>
      <c r="I37" s="48"/>
      <c r="J37" s="48"/>
      <c r="K37" s="48"/>
      <c r="L37" s="48"/>
      <c r="M37" s="48"/>
    </row>
    <row r="38" spans="1:16" ht="15">
      <c r="B38" s="236" t="s">
        <v>122</v>
      </c>
      <c r="C38" s="236"/>
      <c r="D38" s="236"/>
      <c r="E38" s="236"/>
      <c r="F38" s="236"/>
      <c r="G38" s="236"/>
      <c r="H38" s="236"/>
      <c r="I38" s="236"/>
      <c r="J38" s="236"/>
      <c r="K38" s="236"/>
      <c r="L38" s="236"/>
      <c r="M38" s="236"/>
      <c r="N38" s="236"/>
      <c r="O38" s="236"/>
    </row>
    <row r="39" spans="1:16" s="17" customFormat="1" ht="15" customHeight="1">
      <c r="A39" s="24"/>
      <c r="B39" s="250" t="s">
        <v>140</v>
      </c>
      <c r="C39" s="250"/>
      <c r="D39" s="250"/>
      <c r="E39" s="250"/>
      <c r="F39" s="250"/>
      <c r="G39" s="250"/>
      <c r="H39" s="250"/>
      <c r="I39" s="250"/>
      <c r="J39" s="250"/>
      <c r="K39" s="250"/>
      <c r="L39" s="250"/>
      <c r="M39" s="250"/>
      <c r="N39" s="250"/>
      <c r="O39" s="250"/>
    </row>
    <row r="40" spans="1:16" s="17" customFormat="1" ht="15" customHeight="1">
      <c r="A40" s="25"/>
      <c r="B40" s="251" t="s">
        <v>303</v>
      </c>
      <c r="C40" s="251"/>
      <c r="D40" s="251"/>
      <c r="E40" s="251"/>
      <c r="F40" s="251"/>
      <c r="G40" s="251"/>
      <c r="H40" s="251"/>
      <c r="I40" s="251"/>
      <c r="J40" s="251"/>
      <c r="K40" s="251"/>
      <c r="L40" s="251"/>
      <c r="M40" s="251"/>
      <c r="N40" s="72" t="s">
        <v>86</v>
      </c>
      <c r="O40" s="72"/>
    </row>
    <row r="41" spans="1:16" s="17" customFormat="1" ht="15" customHeight="1">
      <c r="A41" s="25"/>
      <c r="B41" s="252" t="s">
        <v>123</v>
      </c>
      <c r="C41" s="252"/>
      <c r="D41" s="252"/>
      <c r="E41" s="252"/>
      <c r="F41" s="252"/>
      <c r="G41" s="252"/>
      <c r="H41" s="252"/>
      <c r="I41" s="252"/>
      <c r="J41" s="252"/>
      <c r="K41" s="252"/>
      <c r="L41" s="252"/>
      <c r="M41" s="252"/>
      <c r="N41" s="72"/>
      <c r="O41" s="72"/>
    </row>
    <row r="42" spans="1:16" s="17" customFormat="1" ht="15" customHeight="1">
      <c r="A42" s="25"/>
      <c r="B42" s="64" t="s">
        <v>25</v>
      </c>
      <c r="C42" s="244" t="s">
        <v>280</v>
      </c>
      <c r="D42" s="244"/>
      <c r="E42" s="244"/>
      <c r="F42" s="244"/>
      <c r="G42" s="244"/>
      <c r="H42" s="244"/>
      <c r="I42" s="244"/>
      <c r="J42" s="244"/>
      <c r="L42" s="77" t="s">
        <v>119</v>
      </c>
      <c r="M42" s="246" t="s">
        <v>126</v>
      </c>
      <c r="N42" s="246"/>
      <c r="O42" s="246"/>
    </row>
    <row r="43" spans="1:16" s="17" customFormat="1" ht="15" customHeight="1">
      <c r="A43" s="25"/>
      <c r="B43" s="64" t="s">
        <v>120</v>
      </c>
      <c r="C43" s="66" t="s">
        <v>124</v>
      </c>
      <c r="D43" s="68"/>
      <c r="E43" s="68"/>
      <c r="F43" s="68"/>
      <c r="G43" s="68"/>
      <c r="H43" s="68"/>
      <c r="I43" s="68"/>
      <c r="J43" s="68"/>
      <c r="K43" s="65"/>
      <c r="L43" s="134" t="s">
        <v>127</v>
      </c>
      <c r="M43" s="248" t="s">
        <v>128</v>
      </c>
      <c r="N43" s="248"/>
      <c r="O43" s="248"/>
      <c r="P43" s="135"/>
    </row>
    <row r="44" spans="1:16" s="17" customFormat="1" ht="15" customHeight="1">
      <c r="B44" s="66"/>
      <c r="C44" s="69" t="s">
        <v>38</v>
      </c>
      <c r="D44" s="66" t="s">
        <v>130</v>
      </c>
      <c r="E44" s="68"/>
      <c r="F44" s="68"/>
      <c r="G44" s="68"/>
      <c r="H44" s="68"/>
      <c r="I44" s="68"/>
      <c r="J44" s="68"/>
      <c r="K44" s="65"/>
      <c r="L44" s="57" t="s">
        <v>129</v>
      </c>
      <c r="M44" s="249" t="s">
        <v>121</v>
      </c>
      <c r="N44" s="249"/>
      <c r="O44" s="249"/>
      <c r="P44" s="136"/>
    </row>
    <row r="45" spans="1:16" s="17" customFormat="1" ht="15" customHeight="1">
      <c r="B45" s="66"/>
      <c r="C45" s="69" t="s">
        <v>38</v>
      </c>
      <c r="D45" s="66" t="s">
        <v>125</v>
      </c>
      <c r="E45" s="68"/>
      <c r="F45" s="68"/>
      <c r="G45" s="68"/>
      <c r="H45" s="68"/>
      <c r="I45" s="65"/>
      <c r="J45" s="65"/>
      <c r="K45" s="65"/>
      <c r="L45" s="65"/>
      <c r="M45" s="65"/>
      <c r="N45" s="67"/>
      <c r="O45" s="67"/>
      <c r="P45" s="135"/>
    </row>
    <row r="46" spans="1:16" s="17" customFormat="1" ht="15" customHeight="1">
      <c r="B46" s="66"/>
      <c r="C46" s="69"/>
      <c r="D46" s="66"/>
      <c r="E46" s="68"/>
      <c r="F46" s="68"/>
      <c r="G46" s="68"/>
      <c r="H46" s="68"/>
      <c r="I46" s="65"/>
      <c r="J46" s="65"/>
      <c r="K46" s="65"/>
      <c r="L46" s="65"/>
      <c r="M46" s="65"/>
      <c r="N46" s="67"/>
      <c r="O46" s="67"/>
      <c r="P46" s="136"/>
    </row>
    <row r="47" spans="1:16" ht="12.75" customHeight="1">
      <c r="B47" s="247" t="s">
        <v>141</v>
      </c>
      <c r="C47" s="247"/>
      <c r="D47" s="247"/>
      <c r="E47" s="247"/>
      <c r="F47" s="247"/>
      <c r="G47" s="247"/>
      <c r="H47" s="247"/>
      <c r="I47" s="247"/>
      <c r="J47" s="247"/>
      <c r="K47" s="247"/>
      <c r="L47" s="247"/>
      <c r="M47" s="247"/>
      <c r="N47" s="247"/>
      <c r="O47" s="247"/>
      <c r="P47" s="135"/>
    </row>
    <row r="48" spans="1:16" s="5" customFormat="1" ht="14.25">
      <c r="A48" s="6"/>
      <c r="B48" s="243" t="s">
        <v>142</v>
      </c>
      <c r="C48" s="243"/>
      <c r="D48" s="243"/>
      <c r="E48" s="243"/>
      <c r="F48" s="243"/>
      <c r="G48" s="243"/>
      <c r="H48" s="243"/>
      <c r="I48" s="243"/>
      <c r="J48" s="243"/>
      <c r="K48" s="243"/>
      <c r="L48" s="243"/>
      <c r="M48" s="243"/>
      <c r="N48" s="243"/>
      <c r="O48" s="243"/>
      <c r="P48" s="136"/>
    </row>
    <row r="49" spans="1:16" s="5" customFormat="1" ht="12.75" customHeight="1">
      <c r="A49" s="6"/>
      <c r="B49" s="59" t="s">
        <v>115</v>
      </c>
      <c r="C49" s="240" t="s">
        <v>88</v>
      </c>
      <c r="D49" s="241"/>
      <c r="E49" s="241"/>
      <c r="F49" s="242"/>
      <c r="G49" s="59" t="s">
        <v>116</v>
      </c>
      <c r="H49" s="240" t="s">
        <v>89</v>
      </c>
      <c r="I49" s="241"/>
      <c r="J49" s="241"/>
      <c r="K49" s="242"/>
      <c r="L49" s="240" t="s">
        <v>90</v>
      </c>
      <c r="M49" s="241"/>
      <c r="N49" s="241"/>
      <c r="O49" s="242"/>
      <c r="P49" s="135"/>
    </row>
    <row r="50" spans="1:16" s="5" customFormat="1" ht="12.75" customHeight="1">
      <c r="A50" s="6"/>
      <c r="B50" s="58">
        <v>332111</v>
      </c>
      <c r="C50" s="240" t="s">
        <v>91</v>
      </c>
      <c r="D50" s="241"/>
      <c r="E50" s="241"/>
      <c r="F50" s="242"/>
      <c r="G50" s="59">
        <v>3462</v>
      </c>
      <c r="H50" s="240" t="s">
        <v>91</v>
      </c>
      <c r="I50" s="241"/>
      <c r="J50" s="241"/>
      <c r="K50" s="242"/>
      <c r="L50" s="240" t="s">
        <v>91</v>
      </c>
      <c r="M50" s="241"/>
      <c r="N50" s="241"/>
      <c r="O50" s="242"/>
      <c r="P50" s="136"/>
    </row>
    <row r="51" spans="1:16" s="5" customFormat="1" ht="12.75" customHeight="1">
      <c r="A51" s="6"/>
      <c r="B51" s="58">
        <v>332117</v>
      </c>
      <c r="C51" s="240" t="s">
        <v>92</v>
      </c>
      <c r="D51" s="241"/>
      <c r="E51" s="241"/>
      <c r="F51" s="242"/>
      <c r="G51" s="59">
        <v>3499</v>
      </c>
      <c r="H51" s="240" t="s">
        <v>93</v>
      </c>
      <c r="I51" s="241"/>
      <c r="J51" s="241"/>
      <c r="K51" s="242"/>
      <c r="L51" s="240" t="s">
        <v>93</v>
      </c>
      <c r="M51" s="241"/>
      <c r="N51" s="241"/>
      <c r="O51" s="242"/>
      <c r="P51" s="135"/>
    </row>
    <row r="52" spans="1:16" s="5" customFormat="1" ht="12.75" customHeight="1">
      <c r="A52" s="6"/>
      <c r="B52" s="58">
        <v>332312</v>
      </c>
      <c r="C52" s="240" t="s">
        <v>94</v>
      </c>
      <c r="D52" s="241"/>
      <c r="E52" s="241"/>
      <c r="F52" s="242"/>
      <c r="G52" s="59">
        <v>3441</v>
      </c>
      <c r="H52" s="240" t="s">
        <v>94</v>
      </c>
      <c r="I52" s="241"/>
      <c r="J52" s="241"/>
      <c r="K52" s="242"/>
      <c r="L52" s="240" t="s">
        <v>95</v>
      </c>
      <c r="M52" s="241"/>
      <c r="N52" s="241"/>
      <c r="O52" s="242"/>
      <c r="P52" s="136"/>
    </row>
    <row r="53" spans="1:16" s="5" customFormat="1" ht="12.75" customHeight="1">
      <c r="A53" s="6"/>
      <c r="B53" s="58">
        <v>332313</v>
      </c>
      <c r="C53" s="240" t="s">
        <v>96</v>
      </c>
      <c r="D53" s="241"/>
      <c r="E53" s="241"/>
      <c r="F53" s="242"/>
      <c r="G53" s="59">
        <v>3443</v>
      </c>
      <c r="H53" s="240" t="s">
        <v>97</v>
      </c>
      <c r="I53" s="241"/>
      <c r="J53" s="241"/>
      <c r="K53" s="242"/>
      <c r="L53" s="240" t="s">
        <v>98</v>
      </c>
      <c r="M53" s="241"/>
      <c r="N53" s="241"/>
      <c r="O53" s="242"/>
      <c r="P53" s="135"/>
    </row>
    <row r="54" spans="1:16" s="5" customFormat="1" ht="12.75" customHeight="1">
      <c r="A54" s="6"/>
      <c r="B54" s="58">
        <v>332410</v>
      </c>
      <c r="C54" s="240" t="s">
        <v>99</v>
      </c>
      <c r="D54" s="241"/>
      <c r="E54" s="241"/>
      <c r="F54" s="242"/>
      <c r="G54" s="59">
        <v>3443</v>
      </c>
      <c r="H54" s="240" t="s">
        <v>97</v>
      </c>
      <c r="I54" s="241"/>
      <c r="J54" s="241"/>
      <c r="K54" s="242"/>
      <c r="L54" s="240" t="s">
        <v>98</v>
      </c>
      <c r="M54" s="241"/>
      <c r="N54" s="241"/>
      <c r="O54" s="242"/>
      <c r="P54" s="136"/>
    </row>
    <row r="55" spans="1:16" s="5" customFormat="1" ht="12.75" customHeight="1">
      <c r="A55" s="6"/>
      <c r="B55" s="58">
        <v>332420</v>
      </c>
      <c r="C55" s="240" t="s">
        <v>100</v>
      </c>
      <c r="D55" s="241"/>
      <c r="E55" s="241"/>
      <c r="F55" s="242"/>
      <c r="G55" s="59">
        <v>3443</v>
      </c>
      <c r="H55" s="240" t="s">
        <v>97</v>
      </c>
      <c r="I55" s="241"/>
      <c r="J55" s="241"/>
      <c r="K55" s="242"/>
      <c r="L55" s="240" t="s">
        <v>98</v>
      </c>
      <c r="M55" s="241"/>
      <c r="N55" s="241"/>
      <c r="O55" s="242"/>
      <c r="P55" s="135"/>
    </row>
    <row r="56" spans="1:16" s="5" customFormat="1" ht="12.75" customHeight="1">
      <c r="A56" s="6"/>
      <c r="B56" s="58">
        <v>332618</v>
      </c>
      <c r="C56" s="240" t="s">
        <v>101</v>
      </c>
      <c r="D56" s="241"/>
      <c r="E56" s="241"/>
      <c r="F56" s="242"/>
      <c r="G56" s="59">
        <v>3399</v>
      </c>
      <c r="H56" s="240" t="s">
        <v>102</v>
      </c>
      <c r="I56" s="241"/>
      <c r="J56" s="241"/>
      <c r="K56" s="242"/>
      <c r="L56" s="240" t="s">
        <v>102</v>
      </c>
      <c r="M56" s="241"/>
      <c r="N56" s="241"/>
      <c r="O56" s="242"/>
      <c r="P56" s="136"/>
    </row>
    <row r="57" spans="1:16" s="5" customFormat="1" ht="12.75" customHeight="1">
      <c r="A57" s="6"/>
      <c r="B57" s="58">
        <v>332919</v>
      </c>
      <c r="C57" s="240" t="s">
        <v>103</v>
      </c>
      <c r="D57" s="241"/>
      <c r="E57" s="241"/>
      <c r="F57" s="242"/>
      <c r="G57" s="59">
        <v>3494</v>
      </c>
      <c r="H57" s="240" t="s">
        <v>104</v>
      </c>
      <c r="I57" s="241"/>
      <c r="J57" s="241"/>
      <c r="K57" s="242"/>
      <c r="L57" s="240" t="s">
        <v>104</v>
      </c>
      <c r="M57" s="241"/>
      <c r="N57" s="241"/>
      <c r="O57" s="242"/>
      <c r="P57" s="135"/>
    </row>
    <row r="58" spans="1:16" s="5" customFormat="1" ht="12.75" customHeight="1">
      <c r="A58" s="6"/>
      <c r="B58" s="58">
        <v>332999</v>
      </c>
      <c r="C58" s="240" t="s">
        <v>304</v>
      </c>
      <c r="D58" s="241"/>
      <c r="E58" s="241"/>
      <c r="F58" s="242"/>
      <c r="G58" s="59">
        <v>3499</v>
      </c>
      <c r="H58" s="240" t="s">
        <v>93</v>
      </c>
      <c r="I58" s="241"/>
      <c r="J58" s="241"/>
      <c r="K58" s="242"/>
      <c r="L58" s="240" t="s">
        <v>93</v>
      </c>
      <c r="M58" s="241"/>
      <c r="N58" s="241"/>
      <c r="O58" s="242"/>
      <c r="P58" s="136"/>
    </row>
    <row r="59" spans="1:16" s="5" customFormat="1" ht="12.75" customHeight="1">
      <c r="A59" s="6"/>
      <c r="B59" s="58">
        <v>333120</v>
      </c>
      <c r="C59" s="240" t="s">
        <v>105</v>
      </c>
      <c r="D59" s="241"/>
      <c r="E59" s="241"/>
      <c r="F59" s="242"/>
      <c r="G59" s="59">
        <v>3531</v>
      </c>
      <c r="H59" s="240" t="s">
        <v>106</v>
      </c>
      <c r="I59" s="241"/>
      <c r="J59" s="241"/>
      <c r="K59" s="242"/>
      <c r="L59" s="240" t="s">
        <v>105</v>
      </c>
      <c r="M59" s="241"/>
      <c r="N59" s="241"/>
      <c r="O59" s="242"/>
      <c r="P59" s="135"/>
    </row>
    <row r="60" spans="1:16" s="5" customFormat="1" ht="12.75" customHeight="1">
      <c r="A60" s="6"/>
      <c r="B60" s="58">
        <v>333132</v>
      </c>
      <c r="C60" s="240" t="s">
        <v>305</v>
      </c>
      <c r="D60" s="241"/>
      <c r="E60" s="241"/>
      <c r="F60" s="242"/>
      <c r="G60" s="59">
        <v>3533</v>
      </c>
      <c r="H60" s="240" t="s">
        <v>106</v>
      </c>
      <c r="I60" s="241"/>
      <c r="J60" s="241"/>
      <c r="K60" s="242"/>
      <c r="L60" s="240" t="s">
        <v>107</v>
      </c>
      <c r="M60" s="241"/>
      <c r="N60" s="241"/>
      <c r="O60" s="242"/>
      <c r="P60" s="136"/>
    </row>
    <row r="61" spans="1:16" s="5" customFormat="1" ht="12.75" customHeight="1">
      <c r="A61" s="6"/>
      <c r="B61" s="58">
        <v>333414</v>
      </c>
      <c r="C61" s="240" t="s">
        <v>306</v>
      </c>
      <c r="D61" s="241"/>
      <c r="E61" s="241"/>
      <c r="F61" s="242"/>
      <c r="G61" s="59">
        <v>3433</v>
      </c>
      <c r="H61" s="240" t="s">
        <v>108</v>
      </c>
      <c r="I61" s="241"/>
      <c r="J61" s="241"/>
      <c r="K61" s="242"/>
      <c r="L61" s="240" t="s">
        <v>108</v>
      </c>
      <c r="M61" s="241"/>
      <c r="N61" s="241"/>
      <c r="O61" s="242"/>
      <c r="P61" s="135"/>
    </row>
    <row r="62" spans="1:16" s="5" customFormat="1" ht="12.75" customHeight="1">
      <c r="A62" s="6"/>
      <c r="B62" s="58">
        <v>333911</v>
      </c>
      <c r="C62" s="240" t="s">
        <v>109</v>
      </c>
      <c r="D62" s="241"/>
      <c r="E62" s="241"/>
      <c r="F62" s="242"/>
      <c r="G62" s="59">
        <v>3561</v>
      </c>
      <c r="H62" s="240" t="s">
        <v>106</v>
      </c>
      <c r="I62" s="241"/>
      <c r="J62" s="241"/>
      <c r="K62" s="242"/>
      <c r="L62" s="240" t="s">
        <v>110</v>
      </c>
      <c r="M62" s="241"/>
      <c r="N62" s="241"/>
      <c r="O62" s="242"/>
      <c r="P62" s="136"/>
    </row>
    <row r="63" spans="1:16" s="5" customFormat="1" ht="12.75" customHeight="1">
      <c r="A63" s="6"/>
      <c r="B63" s="58">
        <v>335312</v>
      </c>
      <c r="C63" s="240" t="s">
        <v>111</v>
      </c>
      <c r="D63" s="241"/>
      <c r="E63" s="241"/>
      <c r="F63" s="242"/>
      <c r="G63" s="59">
        <v>3621</v>
      </c>
      <c r="H63" s="240" t="s">
        <v>112</v>
      </c>
      <c r="I63" s="241"/>
      <c r="J63" s="241"/>
      <c r="K63" s="242"/>
      <c r="L63" s="240" t="s">
        <v>113</v>
      </c>
      <c r="M63" s="241"/>
      <c r="N63" s="241"/>
      <c r="O63" s="242"/>
      <c r="P63" s="135"/>
    </row>
    <row r="64" spans="1:16" s="5" customFormat="1" ht="12.75" customHeight="1">
      <c r="A64" s="6"/>
      <c r="B64" s="58">
        <v>335999</v>
      </c>
      <c r="C64" s="240" t="s">
        <v>307</v>
      </c>
      <c r="D64" s="241"/>
      <c r="E64" s="241"/>
      <c r="F64" s="242"/>
      <c r="G64" s="59">
        <v>3699</v>
      </c>
      <c r="H64" s="240" t="s">
        <v>112</v>
      </c>
      <c r="I64" s="241"/>
      <c r="J64" s="241"/>
      <c r="K64" s="242"/>
      <c r="L64" s="240" t="s">
        <v>114</v>
      </c>
      <c r="M64" s="241"/>
      <c r="N64" s="241"/>
      <c r="O64" s="242"/>
      <c r="P64" s="136"/>
    </row>
    <row r="65" spans="1:16" s="5" customFormat="1" ht="15">
      <c r="A65" s="6"/>
      <c r="B65" s="60" t="s">
        <v>117</v>
      </c>
      <c r="D65" s="39"/>
      <c r="E65" s="39"/>
      <c r="F65" s="39"/>
      <c r="G65" s="39"/>
      <c r="H65" s="39"/>
      <c r="I65" s="39"/>
      <c r="J65" s="39"/>
      <c r="K65" s="39"/>
      <c r="L65" s="39"/>
      <c r="M65" s="39"/>
      <c r="P65" s="135"/>
    </row>
    <row r="66" spans="1:16" s="5" customFormat="1">
      <c r="A66" s="6"/>
      <c r="B66" s="39"/>
      <c r="C66" s="39"/>
      <c r="D66" s="39"/>
      <c r="E66" s="39"/>
      <c r="F66" s="39"/>
      <c r="G66" s="39"/>
      <c r="H66" s="39"/>
      <c r="I66" s="39"/>
      <c r="J66" s="39"/>
      <c r="K66" s="39"/>
      <c r="L66" s="39"/>
      <c r="M66" s="39"/>
    </row>
    <row r="67" spans="1:16">
      <c r="A67" s="13"/>
      <c r="B67" s="21"/>
      <c r="C67" s="21"/>
      <c r="D67" s="21"/>
      <c r="E67" s="21"/>
      <c r="F67" s="21"/>
      <c r="G67" s="21"/>
      <c r="H67" s="21"/>
      <c r="I67" s="20"/>
      <c r="J67" s="20"/>
      <c r="K67" s="22"/>
      <c r="L67" s="22"/>
      <c r="M67" s="22"/>
      <c r="N67" s="22"/>
    </row>
    <row r="68" spans="1:16">
      <c r="A68" s="13"/>
      <c r="B68" s="21"/>
      <c r="C68" s="21"/>
      <c r="D68" s="21"/>
      <c r="E68" s="21"/>
      <c r="F68" s="21"/>
      <c r="G68" s="21"/>
      <c r="H68" s="21"/>
      <c r="I68" s="20"/>
      <c r="J68" s="20"/>
      <c r="K68" s="22"/>
      <c r="L68" s="22"/>
      <c r="M68" s="22"/>
      <c r="N68" s="22"/>
    </row>
    <row r="69" spans="1:16">
      <c r="A69" s="13"/>
      <c r="B69" s="21"/>
      <c r="C69" s="21"/>
      <c r="D69" s="21"/>
      <c r="E69" s="21"/>
      <c r="F69" s="21"/>
      <c r="G69" s="21"/>
      <c r="H69" s="21"/>
      <c r="I69" s="20"/>
      <c r="J69" s="20"/>
      <c r="K69" s="22"/>
      <c r="L69" s="22"/>
      <c r="M69" s="22"/>
      <c r="N69" s="22"/>
    </row>
    <row r="70" spans="1:16">
      <c r="A70" s="13"/>
      <c r="B70" s="21"/>
      <c r="C70" s="21"/>
      <c r="D70" s="21"/>
      <c r="E70" s="21"/>
      <c r="F70" s="21"/>
      <c r="G70" s="21"/>
      <c r="H70" s="21"/>
      <c r="I70" s="20"/>
      <c r="J70" s="20"/>
      <c r="K70" s="22"/>
      <c r="L70" s="22"/>
      <c r="M70" s="22"/>
      <c r="N70" s="22"/>
    </row>
    <row r="71" spans="1:16">
      <c r="A71" s="13"/>
      <c r="B71" s="21"/>
      <c r="C71" s="21"/>
      <c r="D71" s="21"/>
      <c r="E71" s="21"/>
      <c r="F71" s="21"/>
      <c r="G71" s="21"/>
      <c r="H71" s="21"/>
      <c r="I71" s="20"/>
      <c r="J71" s="20"/>
      <c r="K71" s="22"/>
      <c r="L71" s="22"/>
      <c r="M71" s="22"/>
      <c r="N71" s="22"/>
    </row>
    <row r="72" spans="1:16">
      <c r="A72" s="13"/>
      <c r="B72" s="21"/>
      <c r="C72" s="21"/>
      <c r="D72" s="21"/>
      <c r="E72" s="21"/>
      <c r="F72" s="21"/>
      <c r="G72" s="21"/>
      <c r="H72" s="21"/>
      <c r="I72" s="20"/>
      <c r="J72" s="20"/>
      <c r="K72" s="22"/>
      <c r="L72" s="22"/>
      <c r="M72" s="22"/>
      <c r="N72" s="22"/>
    </row>
    <row r="73" spans="1:16">
      <c r="A73" s="13"/>
      <c r="B73" s="21"/>
      <c r="C73" s="21"/>
      <c r="D73" s="21"/>
      <c r="E73" s="21"/>
      <c r="F73" s="21"/>
      <c r="G73" s="21"/>
      <c r="H73" s="21"/>
      <c r="I73" s="20"/>
      <c r="J73" s="20"/>
      <c r="K73" s="22"/>
      <c r="L73" s="22"/>
      <c r="M73" s="22"/>
      <c r="N73" s="22"/>
    </row>
  </sheetData>
  <protectedRanges>
    <protectedRange sqref="P1:AT2" name="Range2_1"/>
    <protectedRange sqref="P42:AW44 P39:AU41 P45:AU46" name="BlankCells_1"/>
  </protectedRanges>
  <mergeCells count="81">
    <mergeCell ref="L62:O62"/>
    <mergeCell ref="L55:O55"/>
    <mergeCell ref="H63:K63"/>
    <mergeCell ref="L63:O63"/>
    <mergeCell ref="H64:K64"/>
    <mergeCell ref="L64:O64"/>
    <mergeCell ref="H56:K56"/>
    <mergeCell ref="L56:O56"/>
    <mergeCell ref="H57:K57"/>
    <mergeCell ref="L57:O57"/>
    <mergeCell ref="H58:K58"/>
    <mergeCell ref="L58:O58"/>
    <mergeCell ref="H59:K59"/>
    <mergeCell ref="L59:O59"/>
    <mergeCell ref="H60:K60"/>
    <mergeCell ref="L60:O60"/>
    <mergeCell ref="H62:K62"/>
    <mergeCell ref="C33:M34"/>
    <mergeCell ref="C63:F63"/>
    <mergeCell ref="C64:F64"/>
    <mergeCell ref="H49:K49"/>
    <mergeCell ref="L49:O49"/>
    <mergeCell ref="H50:K50"/>
    <mergeCell ref="L50:O50"/>
    <mergeCell ref="H51:K51"/>
    <mergeCell ref="L51:O51"/>
    <mergeCell ref="H52:K52"/>
    <mergeCell ref="L52:O52"/>
    <mergeCell ref="H53:K53"/>
    <mergeCell ref="L53:O53"/>
    <mergeCell ref="H54:K54"/>
    <mergeCell ref="L54:O54"/>
    <mergeCell ref="B1:O1"/>
    <mergeCell ref="B2:O2"/>
    <mergeCell ref="B4:O6"/>
    <mergeCell ref="M43:O43"/>
    <mergeCell ref="M44:O44"/>
    <mergeCell ref="B39:O39"/>
    <mergeCell ref="B40:M40"/>
    <mergeCell ref="B41:M41"/>
    <mergeCell ref="C23:M23"/>
    <mergeCell ref="C29:M29"/>
    <mergeCell ref="C10:M11"/>
    <mergeCell ref="B8:O8"/>
    <mergeCell ref="C12:M12"/>
    <mergeCell ref="C17:N19"/>
    <mergeCell ref="C62:F62"/>
    <mergeCell ref="H61:K61"/>
    <mergeCell ref="C49:F49"/>
    <mergeCell ref="M42:O42"/>
    <mergeCell ref="C61:F61"/>
    <mergeCell ref="L61:O61"/>
    <mergeCell ref="C50:F50"/>
    <mergeCell ref="C51:F51"/>
    <mergeCell ref="C52:F52"/>
    <mergeCell ref="C58:F58"/>
    <mergeCell ref="C59:F59"/>
    <mergeCell ref="C60:F60"/>
    <mergeCell ref="C55:F55"/>
    <mergeCell ref="C56:F56"/>
    <mergeCell ref="H55:K55"/>
    <mergeCell ref="B47:O47"/>
    <mergeCell ref="C57:F57"/>
    <mergeCell ref="C35:M35"/>
    <mergeCell ref="B48:O48"/>
    <mergeCell ref="C53:F53"/>
    <mergeCell ref="C54:F54"/>
    <mergeCell ref="C42:J42"/>
    <mergeCell ref="N35:O35"/>
    <mergeCell ref="N10:O12"/>
    <mergeCell ref="N26:O30"/>
    <mergeCell ref="B38:O38"/>
    <mergeCell ref="C13:M13"/>
    <mergeCell ref="N13:O15"/>
    <mergeCell ref="D14:M14"/>
    <mergeCell ref="D15:M15"/>
    <mergeCell ref="N23:O24"/>
    <mergeCell ref="C27:M28"/>
    <mergeCell ref="B32:O32"/>
    <mergeCell ref="D24:M26"/>
    <mergeCell ref="N33:O34"/>
  </mergeCells>
  <hyperlinks>
    <hyperlink ref="M42" r:id="rId1" display="40 CFR pt. 60, subp. OOO" xr:uid="{00000000-0004-0000-0200-000000000000}"/>
    <hyperlink ref="M42:O42" r:id="rId2" display="40 CFR 63, subp. XXXXXX" xr:uid="{00000000-0004-0000-0200-000001000000}"/>
    <hyperlink ref="M43:O43" r:id="rId3" display="Applicability and requirements" xr:uid="{00000000-0004-0000-0200-000002000000}"/>
    <hyperlink ref="M44" r:id="rId4" location="additional-resources" xr:uid="{00000000-0004-0000-0200-000003000000}"/>
    <hyperlink ref="M44:O44" r:id="rId5" display="EPA Rule information" xr:uid="{00000000-0004-0000-0200-000004000000}"/>
    <hyperlink ref="N23" r:id="rId6" xr:uid="{00000000-0004-0000-0200-000005000000}"/>
    <hyperlink ref="N10:O12" r:id="rId7" display="Minn. R. 7007.1300, subp. 2" xr:uid="{00000000-0004-0000-0200-000006000000}"/>
    <hyperlink ref="N13:O15" r:id="rId8" display="Minn. R. 7007.1300, subp. 3" xr:uid="{00000000-0004-0000-0200-000007000000}"/>
    <hyperlink ref="N33" r:id="rId9" display="The Industrial Process Equipment Rule" xr:uid="{00000000-0004-0000-0200-000008000000}"/>
    <hyperlink ref="N35:O35" r:id="rId10" display="Who needs an air permit?" xr:uid="{00000000-0004-0000-0200-000009000000}"/>
    <hyperlink ref="N33:O34" r:id="rId11" display="Industrial process equipment rule" xr:uid="{00000000-0004-0000-0200-00000B000000}"/>
  </hyperlinks>
  <pageMargins left="0.7" right="0.7" top="0.75" bottom="0.75" header="0.3" footer="0.3"/>
  <pageSetup scale="86" fitToHeight="0" orientation="landscape" r:id="rId12"/>
  <rowBreaks count="1" manualBreakCount="1">
    <brk id="37"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D1EAFF"/>
  </sheetPr>
  <dimension ref="A1:K94"/>
  <sheetViews>
    <sheetView showGridLines="0" zoomScaleNormal="100" workbookViewId="0">
      <selection activeCell="E17" sqref="E17:E18"/>
    </sheetView>
  </sheetViews>
  <sheetFormatPr defaultColWidth="8.7109375" defaultRowHeight="15" customHeight="1"/>
  <cols>
    <col min="1" max="1" width="3.7109375" style="79" customWidth="1"/>
    <col min="2" max="2" width="4.28515625" style="78" customWidth="1"/>
    <col min="3" max="6" width="16.42578125" style="86" customWidth="1"/>
    <col min="7" max="7" width="17.42578125" style="86" customWidth="1"/>
    <col min="8" max="8" width="19.28515625" style="79" customWidth="1"/>
    <col min="9" max="9" width="18.28515625" style="79" customWidth="1"/>
    <col min="10" max="10" width="16.42578125" style="79" customWidth="1"/>
    <col min="11" max="16384" width="8.7109375" style="79"/>
  </cols>
  <sheetData>
    <row r="1" spans="1:11" customFormat="1" ht="12.75">
      <c r="A1" s="23"/>
      <c r="B1" s="271" t="str">
        <f>Instructions!O4</f>
        <v>p-sbap5-19  •  6/5/23</v>
      </c>
      <c r="C1" s="271"/>
      <c r="D1" s="271"/>
      <c r="E1" s="271"/>
      <c r="F1" s="271"/>
      <c r="G1" s="271"/>
      <c r="H1" s="271"/>
      <c r="I1" s="271"/>
      <c r="J1" s="271"/>
    </row>
    <row r="2" spans="1:11" customFormat="1" ht="20.25" customHeight="1" thickBot="1">
      <c r="A2" s="23"/>
      <c r="B2" s="229" t="s">
        <v>166</v>
      </c>
      <c r="C2" s="229"/>
      <c r="D2" s="229"/>
      <c r="E2" s="229"/>
      <c r="F2" s="229"/>
      <c r="G2" s="229"/>
      <c r="H2" s="229"/>
      <c r="I2" s="229"/>
      <c r="J2" s="229"/>
    </row>
    <row r="3" spans="1:11" s="80" customFormat="1" ht="18.95" customHeight="1">
      <c r="B3" s="317" t="s">
        <v>167</v>
      </c>
      <c r="C3" s="317"/>
      <c r="D3" s="317"/>
      <c r="E3" s="317"/>
      <c r="F3" s="317"/>
      <c r="G3" s="317"/>
      <c r="H3" s="317"/>
      <c r="I3" s="317"/>
      <c r="J3" s="317"/>
      <c r="K3" s="81"/>
    </row>
    <row r="4" spans="1:11" s="80" customFormat="1" ht="15" customHeight="1">
      <c r="B4" s="85"/>
      <c r="C4" s="266" t="s">
        <v>312</v>
      </c>
      <c r="D4" s="266"/>
      <c r="E4" s="266"/>
      <c r="F4" s="266"/>
      <c r="G4" s="266"/>
      <c r="H4" s="266"/>
      <c r="I4" s="266"/>
      <c r="J4" s="266"/>
    </row>
    <row r="5" spans="1:11" s="80" customFormat="1" ht="15" customHeight="1">
      <c r="B5" s="85"/>
      <c r="C5" s="266"/>
      <c r="D5" s="266"/>
      <c r="E5" s="266"/>
      <c r="F5" s="266"/>
      <c r="G5" s="266"/>
      <c r="H5" s="266"/>
      <c r="I5" s="266"/>
      <c r="J5" s="266"/>
    </row>
    <row r="6" spans="1:11" s="80" customFormat="1" ht="15" customHeight="1">
      <c r="B6" s="190"/>
      <c r="C6" s="321" t="s">
        <v>282</v>
      </c>
      <c r="D6" s="321"/>
      <c r="E6" s="321"/>
      <c r="F6" s="321"/>
      <c r="G6" s="321"/>
      <c r="H6" s="321"/>
      <c r="I6" s="321"/>
      <c r="J6" s="321"/>
    </row>
    <row r="7" spans="1:11" s="80" customFormat="1" ht="15" customHeight="1">
      <c r="B7" s="190"/>
      <c r="C7" s="321"/>
      <c r="D7" s="321"/>
      <c r="E7" s="321"/>
      <c r="F7" s="321"/>
      <c r="G7" s="321"/>
      <c r="H7" s="321"/>
      <c r="I7" s="321"/>
      <c r="J7" s="321"/>
    </row>
    <row r="8" spans="1:11" s="80" customFormat="1" ht="15" customHeight="1">
      <c r="B8" s="85"/>
      <c r="C8" s="90"/>
      <c r="D8" s="90"/>
      <c r="E8" s="90"/>
      <c r="F8" s="90"/>
      <c r="G8" s="91"/>
      <c r="H8" s="90"/>
    </row>
    <row r="9" spans="1:11" s="80" customFormat="1" ht="15" customHeight="1">
      <c r="B9" s="265" t="s">
        <v>170</v>
      </c>
      <c r="C9" s="265"/>
      <c r="D9" s="265"/>
      <c r="E9" s="265"/>
      <c r="F9" s="265"/>
      <c r="G9" s="265"/>
      <c r="H9" s="265"/>
      <c r="I9" s="265"/>
      <c r="J9" s="265"/>
    </row>
    <row r="10" spans="1:11" s="80" customFormat="1" ht="15" customHeight="1">
      <c r="B10" s="84"/>
      <c r="C10" s="267" t="s">
        <v>168</v>
      </c>
      <c r="D10" s="267"/>
      <c r="E10" s="267"/>
      <c r="F10" s="267"/>
      <c r="G10" s="267"/>
      <c r="H10" s="267"/>
      <c r="I10" s="267"/>
      <c r="J10" s="267"/>
    </row>
    <row r="11" spans="1:11" s="82" customFormat="1" ht="15" customHeight="1">
      <c r="B11" s="87"/>
      <c r="C11" s="272" t="s">
        <v>169</v>
      </c>
      <c r="D11" s="272"/>
      <c r="E11" s="272"/>
      <c r="F11" s="272"/>
      <c r="G11" s="272"/>
      <c r="H11" s="272"/>
      <c r="I11" s="272"/>
      <c r="J11" s="272"/>
    </row>
    <row r="12" spans="1:11" s="80" customFormat="1" ht="15" customHeight="1">
      <c r="B12" s="84"/>
      <c r="C12" s="272"/>
      <c r="D12" s="272"/>
      <c r="E12" s="272"/>
      <c r="F12" s="272"/>
      <c r="G12" s="272"/>
      <c r="H12" s="272"/>
      <c r="I12" s="272"/>
      <c r="J12" s="272"/>
      <c r="K12" s="81"/>
    </row>
    <row r="13" spans="1:11" s="80" customFormat="1" ht="15" customHeight="1">
      <c r="B13" s="84"/>
      <c r="C13" s="272" t="s">
        <v>249</v>
      </c>
      <c r="D13" s="272"/>
      <c r="E13" s="272"/>
      <c r="F13" s="272"/>
      <c r="G13" s="320" t="s">
        <v>133</v>
      </c>
      <c r="H13" s="320"/>
      <c r="I13" s="89"/>
      <c r="J13" s="89"/>
      <c r="K13" s="81"/>
    </row>
    <row r="14" spans="1:11" s="80" customFormat="1" ht="15" customHeight="1">
      <c r="B14" s="88"/>
      <c r="C14" s="88"/>
      <c r="D14" s="88"/>
      <c r="E14" s="88"/>
      <c r="F14" s="88"/>
      <c r="G14" s="88"/>
      <c r="H14" s="88"/>
      <c r="I14" s="88"/>
      <c r="J14" s="88"/>
      <c r="K14" s="81"/>
    </row>
    <row r="15" spans="1:11" s="80" customFormat="1" ht="15" customHeight="1">
      <c r="B15" s="316" t="s">
        <v>145</v>
      </c>
      <c r="C15" s="316"/>
      <c r="D15" s="316"/>
      <c r="E15" s="316"/>
      <c r="F15" s="316"/>
      <c r="G15" s="316"/>
      <c r="H15" s="316"/>
      <c r="I15" s="316"/>
      <c r="J15" s="316"/>
      <c r="K15" s="81"/>
    </row>
    <row r="16" spans="1:11" s="80" customFormat="1" ht="15" customHeight="1">
      <c r="B16" s="275" t="s">
        <v>146</v>
      </c>
      <c r="C16" s="275"/>
      <c r="D16" s="275"/>
      <c r="E16" s="275"/>
      <c r="F16" s="275"/>
      <c r="G16" s="275"/>
      <c r="H16" s="275"/>
      <c r="I16" s="275"/>
      <c r="J16" s="275"/>
    </row>
    <row r="17" spans="2:10" s="80" customFormat="1" ht="15" customHeight="1">
      <c r="B17" s="276" t="s">
        <v>290</v>
      </c>
      <c r="C17" s="284" t="s">
        <v>147</v>
      </c>
      <c r="D17" s="284"/>
      <c r="E17" s="307">
        <v>0</v>
      </c>
      <c r="F17" s="309" t="s">
        <v>148</v>
      </c>
      <c r="G17" s="318"/>
      <c r="H17" s="319"/>
      <c r="I17" s="319"/>
      <c r="J17" s="319"/>
    </row>
    <row r="18" spans="2:10" s="80" customFormat="1" ht="15" customHeight="1">
      <c r="B18" s="276"/>
      <c r="C18" s="284"/>
      <c r="D18" s="284"/>
      <c r="E18" s="308"/>
      <c r="F18" s="310"/>
      <c r="G18" s="318"/>
      <c r="H18" s="319"/>
      <c r="I18" s="319"/>
      <c r="J18" s="319"/>
    </row>
    <row r="19" spans="2:10" s="80" customFormat="1" ht="15" customHeight="1">
      <c r="B19" s="276" t="s">
        <v>291</v>
      </c>
      <c r="C19" s="284" t="s">
        <v>149</v>
      </c>
      <c r="D19" s="284"/>
      <c r="E19" s="311">
        <v>0</v>
      </c>
      <c r="F19" s="309" t="s">
        <v>150</v>
      </c>
      <c r="G19" s="302" t="s">
        <v>151</v>
      </c>
      <c r="H19" s="303"/>
      <c r="I19" s="303"/>
      <c r="J19" s="303"/>
    </row>
    <row r="20" spans="2:10" s="80" customFormat="1" ht="15" customHeight="1">
      <c r="B20" s="276"/>
      <c r="C20" s="284"/>
      <c r="D20" s="284"/>
      <c r="E20" s="312"/>
      <c r="F20" s="310"/>
      <c r="G20" s="302"/>
      <c r="H20" s="303"/>
      <c r="I20" s="303"/>
      <c r="J20" s="303"/>
    </row>
    <row r="21" spans="2:10" s="80" customFormat="1" ht="15" customHeight="1">
      <c r="B21" s="276" t="s">
        <v>292</v>
      </c>
      <c r="C21" s="284" t="s">
        <v>152</v>
      </c>
      <c r="D21" s="284"/>
      <c r="E21" s="307">
        <v>0</v>
      </c>
      <c r="F21" s="309" t="s">
        <v>153</v>
      </c>
      <c r="G21" s="302" t="s">
        <v>154</v>
      </c>
      <c r="H21" s="303"/>
      <c r="I21" s="303"/>
      <c r="J21" s="303"/>
    </row>
    <row r="22" spans="2:10" s="80" customFormat="1" ht="15" customHeight="1">
      <c r="B22" s="276"/>
      <c r="C22" s="284"/>
      <c r="D22" s="284"/>
      <c r="E22" s="308"/>
      <c r="F22" s="310"/>
      <c r="G22" s="302"/>
      <c r="H22" s="303"/>
      <c r="I22" s="303"/>
      <c r="J22" s="303"/>
    </row>
    <row r="23" spans="2:10" s="80" customFormat="1" ht="15" customHeight="1">
      <c r="B23" s="276"/>
      <c r="C23" s="284" t="s">
        <v>155</v>
      </c>
      <c r="D23" s="284"/>
      <c r="E23" s="298">
        <f>(1/7000)*(60/1)</f>
        <v>8.5714285714285719E-3</v>
      </c>
      <c r="F23" s="300" t="s">
        <v>156</v>
      </c>
      <c r="G23" s="302" t="s">
        <v>157</v>
      </c>
      <c r="H23" s="303"/>
      <c r="I23" s="303"/>
      <c r="J23" s="303"/>
    </row>
    <row r="24" spans="2:10" s="80" customFormat="1" ht="15" customHeight="1" thickBot="1">
      <c r="B24" s="276"/>
      <c r="C24" s="294"/>
      <c r="D24" s="294"/>
      <c r="E24" s="299"/>
      <c r="F24" s="301"/>
      <c r="G24" s="304"/>
      <c r="H24" s="305"/>
      <c r="I24" s="305"/>
      <c r="J24" s="305"/>
    </row>
    <row r="25" spans="2:10" s="80" customFormat="1" ht="15" customHeight="1">
      <c r="B25" s="276" t="s">
        <v>298</v>
      </c>
      <c r="C25" s="278" t="s">
        <v>294</v>
      </c>
      <c r="D25" s="278"/>
      <c r="E25" s="306">
        <f>E17*E19*E21*E23</f>
        <v>0</v>
      </c>
      <c r="F25" s="283" t="s">
        <v>159</v>
      </c>
      <c r="G25" s="284"/>
      <c r="H25" s="284"/>
      <c r="I25" s="284"/>
      <c r="J25" s="284"/>
    </row>
    <row r="26" spans="2:10" s="80" customFormat="1" ht="15" customHeight="1">
      <c r="B26" s="276"/>
      <c r="C26" s="278"/>
      <c r="D26" s="278"/>
      <c r="E26" s="286"/>
      <c r="F26" s="283"/>
      <c r="G26" s="284"/>
      <c r="H26" s="284"/>
      <c r="I26" s="284"/>
      <c r="J26" s="284"/>
    </row>
    <row r="27" spans="2:10" s="80" customFormat="1" ht="15" customHeight="1">
      <c r="B27" s="274"/>
      <c r="C27" s="274"/>
      <c r="D27" s="274"/>
      <c r="E27" s="274"/>
      <c r="F27" s="274"/>
      <c r="G27" s="274"/>
      <c r="H27" s="274"/>
      <c r="I27" s="274"/>
      <c r="J27" s="274"/>
    </row>
    <row r="28" spans="2:10" s="80" customFormat="1" ht="15" customHeight="1">
      <c r="B28" s="275" t="s">
        <v>160</v>
      </c>
      <c r="C28" s="275"/>
      <c r="D28" s="275"/>
      <c r="E28" s="275"/>
      <c r="F28" s="275"/>
      <c r="G28" s="275"/>
      <c r="H28" s="275"/>
      <c r="I28" s="275"/>
      <c r="J28" s="275"/>
    </row>
    <row r="29" spans="2:10" s="80" customFormat="1" ht="15" customHeight="1">
      <c r="B29" s="276"/>
      <c r="C29" s="284" t="s">
        <v>289</v>
      </c>
      <c r="D29" s="284"/>
      <c r="E29" s="287" t="s">
        <v>161</v>
      </c>
      <c r="F29" s="288"/>
      <c r="G29" s="289"/>
      <c r="H29" s="208"/>
      <c r="I29" s="208"/>
      <c r="J29" s="208"/>
    </row>
    <row r="30" spans="2:10" s="80" customFormat="1" ht="15" customHeight="1">
      <c r="B30" s="276"/>
      <c r="C30" s="284"/>
      <c r="D30" s="284"/>
      <c r="E30" s="290"/>
      <c r="F30" s="291"/>
      <c r="G30" s="292"/>
      <c r="H30" s="208"/>
      <c r="I30" s="208"/>
      <c r="J30" s="208"/>
    </row>
    <row r="31" spans="2:10" s="80" customFormat="1" ht="15" customHeight="1">
      <c r="B31" s="276" t="s">
        <v>293</v>
      </c>
      <c r="C31" s="284" t="s">
        <v>162</v>
      </c>
      <c r="D31" s="293"/>
      <c r="E31" s="296" t="str">
        <f>'Data Validation'!E43</f>
        <v>--</v>
      </c>
      <c r="F31" s="191"/>
      <c r="G31" s="192"/>
      <c r="H31" s="208"/>
      <c r="I31" s="208"/>
      <c r="J31" s="208"/>
    </row>
    <row r="32" spans="2:10" s="80" customFormat="1" ht="15" customHeight="1" thickBot="1">
      <c r="B32" s="276"/>
      <c r="C32" s="294"/>
      <c r="D32" s="295"/>
      <c r="E32" s="297"/>
      <c r="F32" s="193"/>
      <c r="G32" s="194"/>
      <c r="H32" s="209"/>
      <c r="I32" s="209"/>
      <c r="J32" s="209"/>
    </row>
    <row r="33" spans="2:10" s="80" customFormat="1" ht="15" customHeight="1">
      <c r="B33" s="276" t="s">
        <v>296</v>
      </c>
      <c r="C33" s="278" t="s">
        <v>299</v>
      </c>
      <c r="D33" s="278"/>
      <c r="E33" s="285">
        <f>IFERROR(E25*E31,0)</f>
        <v>0</v>
      </c>
      <c r="F33" s="283" t="s">
        <v>163</v>
      </c>
      <c r="G33" s="284"/>
      <c r="H33" s="284"/>
      <c r="I33" s="284"/>
      <c r="J33" s="284"/>
    </row>
    <row r="34" spans="2:10" s="80" customFormat="1" ht="15" customHeight="1">
      <c r="B34" s="276"/>
      <c r="C34" s="278"/>
      <c r="D34" s="278"/>
      <c r="E34" s="286"/>
      <c r="F34" s="283"/>
      <c r="G34" s="284"/>
      <c r="H34" s="284"/>
      <c r="I34" s="284"/>
      <c r="J34" s="284"/>
    </row>
    <row r="35" spans="2:10" s="80" customFormat="1" ht="15" customHeight="1">
      <c r="B35" s="274"/>
      <c r="C35" s="274"/>
      <c r="D35" s="274"/>
      <c r="E35" s="274"/>
      <c r="F35" s="274"/>
      <c r="G35" s="274"/>
      <c r="H35" s="274"/>
      <c r="I35" s="274"/>
      <c r="J35" s="274"/>
    </row>
    <row r="36" spans="2:10" s="80" customFormat="1" ht="15" customHeight="1" thickBot="1">
      <c r="B36" s="275" t="s">
        <v>164</v>
      </c>
      <c r="C36" s="275"/>
      <c r="D36" s="275"/>
      <c r="E36" s="275"/>
      <c r="F36" s="275"/>
      <c r="G36" s="275"/>
      <c r="H36" s="275"/>
      <c r="I36" s="275"/>
      <c r="J36" s="275"/>
    </row>
    <row r="37" spans="2:10" s="80" customFormat="1" ht="15" customHeight="1">
      <c r="B37" s="276" t="s">
        <v>295</v>
      </c>
      <c r="C37" s="277" t="s">
        <v>297</v>
      </c>
      <c r="D37" s="277"/>
      <c r="E37" s="279">
        <f>E25+E33</f>
        <v>0</v>
      </c>
      <c r="F37" s="281" t="s">
        <v>165</v>
      </c>
      <c r="G37" s="282"/>
      <c r="H37" s="282"/>
      <c r="I37" s="282"/>
      <c r="J37" s="282"/>
    </row>
    <row r="38" spans="2:10" s="80" customFormat="1" ht="15" customHeight="1">
      <c r="B38" s="276"/>
      <c r="C38" s="278"/>
      <c r="D38" s="278"/>
      <c r="E38" s="280"/>
      <c r="F38" s="283"/>
      <c r="G38" s="284"/>
      <c r="H38" s="284"/>
      <c r="I38" s="284"/>
      <c r="J38" s="284"/>
    </row>
    <row r="39" spans="2:10" s="80" customFormat="1" ht="15" customHeight="1">
      <c r="D39" s="273" t="s">
        <v>300</v>
      </c>
      <c r="E39" s="273"/>
      <c r="F39" s="273"/>
      <c r="G39" s="83"/>
      <c r="H39" s="83"/>
      <c r="I39" s="83"/>
    </row>
    <row r="40" spans="2:10" s="80" customFormat="1" ht="15" customHeight="1">
      <c r="C40" s="84"/>
      <c r="D40" s="84"/>
      <c r="E40" s="83"/>
      <c r="F40" s="83"/>
      <c r="G40" s="83"/>
      <c r="H40" s="83"/>
    </row>
    <row r="41" spans="2:10" s="195" customFormat="1" ht="15" customHeight="1">
      <c r="B41" s="196" t="s">
        <v>285</v>
      </c>
      <c r="C41" s="197"/>
      <c r="D41" s="197"/>
      <c r="E41" s="197"/>
      <c r="F41" s="197"/>
    </row>
    <row r="42" spans="2:10" s="195" customFormat="1" ht="15" customHeight="1">
      <c r="B42" s="84"/>
      <c r="C42" s="313" t="s">
        <v>286</v>
      </c>
      <c r="D42" s="313"/>
      <c r="E42" s="313"/>
      <c r="F42" s="313"/>
      <c r="G42" s="313"/>
      <c r="H42" s="313"/>
      <c r="I42" s="313"/>
      <c r="J42" s="313"/>
    </row>
    <row r="43" spans="2:10" s="195" customFormat="1" ht="15" customHeight="1">
      <c r="B43" s="84"/>
      <c r="C43" s="313"/>
      <c r="D43" s="313"/>
      <c r="E43" s="313"/>
      <c r="F43" s="313"/>
      <c r="G43" s="313"/>
      <c r="H43" s="313"/>
      <c r="I43" s="313"/>
      <c r="J43" s="313"/>
    </row>
    <row r="44" spans="2:10" s="195" customFormat="1" ht="15" customHeight="1">
      <c r="B44" s="84"/>
      <c r="C44" s="314" t="s">
        <v>287</v>
      </c>
      <c r="D44" s="314"/>
      <c r="E44" s="314"/>
      <c r="F44" s="314"/>
      <c r="G44" s="314"/>
      <c r="H44" s="314"/>
      <c r="I44" s="314"/>
      <c r="J44" s="314"/>
    </row>
    <row r="45" spans="2:10" s="195" customFormat="1" ht="15" customHeight="1">
      <c r="B45" s="84"/>
      <c r="C45" s="314"/>
      <c r="D45" s="314"/>
      <c r="E45" s="314"/>
      <c r="F45" s="314"/>
      <c r="G45" s="314"/>
      <c r="H45" s="314"/>
      <c r="I45" s="314"/>
      <c r="J45" s="314"/>
    </row>
    <row r="46" spans="2:10" s="195" customFormat="1" ht="15" customHeight="1">
      <c r="B46" s="84"/>
      <c r="C46" s="314"/>
      <c r="D46" s="314"/>
      <c r="E46" s="314"/>
      <c r="F46" s="314"/>
      <c r="G46" s="314"/>
      <c r="H46" s="314"/>
      <c r="I46" s="314"/>
      <c r="J46" s="314"/>
    </row>
    <row r="47" spans="2:10" s="195" customFormat="1" ht="10.15" customHeight="1">
      <c r="B47" s="84"/>
      <c r="C47" s="314"/>
      <c r="D47" s="314"/>
      <c r="E47" s="314"/>
      <c r="F47" s="314"/>
      <c r="G47" s="314"/>
      <c r="H47" s="314"/>
      <c r="I47" s="314"/>
      <c r="J47" s="314"/>
    </row>
    <row r="48" spans="2:10" s="195" customFormat="1" ht="15" customHeight="1">
      <c r="B48" s="84"/>
      <c r="C48" s="315" t="s">
        <v>288</v>
      </c>
      <c r="D48" s="315"/>
      <c r="E48" s="315"/>
      <c r="F48" s="197"/>
      <c r="G48" s="197"/>
      <c r="H48" s="197"/>
      <c r="I48" s="197"/>
    </row>
    <row r="49" spans="2:11" s="195" customFormat="1" ht="15" customHeight="1">
      <c r="B49" s="84"/>
      <c r="C49" s="198"/>
      <c r="D49" s="198"/>
      <c r="E49" s="198"/>
      <c r="F49" s="197"/>
      <c r="G49" s="197"/>
      <c r="H49" s="197"/>
      <c r="I49" s="197"/>
    </row>
    <row r="50" spans="2:11" s="80" customFormat="1" ht="15" customHeight="1">
      <c r="B50" s="265" t="s">
        <v>248</v>
      </c>
      <c r="C50" s="265"/>
      <c r="D50" s="265"/>
      <c r="E50" s="264" t="s">
        <v>133</v>
      </c>
      <c r="F50" s="264"/>
      <c r="G50" s="137"/>
      <c r="H50" s="137"/>
      <c r="I50" s="137"/>
      <c r="J50" s="137"/>
      <c r="K50" s="81"/>
    </row>
    <row r="51" spans="2:11" s="80" customFormat="1" ht="15" customHeight="1">
      <c r="B51" s="266" t="s">
        <v>239</v>
      </c>
      <c r="C51" s="266"/>
      <c r="D51" s="266"/>
      <c r="E51" s="89"/>
      <c r="F51" s="89"/>
      <c r="G51" s="89"/>
      <c r="H51" s="89"/>
      <c r="I51" s="89"/>
      <c r="J51" s="81"/>
    </row>
    <row r="52" spans="2:11" s="80" customFormat="1" ht="15" customHeight="1">
      <c r="B52" s="69" t="s">
        <v>38</v>
      </c>
      <c r="C52" s="268" t="s">
        <v>250</v>
      </c>
      <c r="D52" s="268"/>
      <c r="E52" s="268"/>
      <c r="F52" s="268"/>
      <c r="G52" s="268"/>
      <c r="H52" s="268"/>
      <c r="I52" s="268"/>
      <c r="J52" s="268"/>
    </row>
    <row r="53" spans="2:11" s="80" customFormat="1" ht="15" customHeight="1">
      <c r="B53" s="138"/>
      <c r="C53" s="268"/>
      <c r="D53" s="268"/>
      <c r="E53" s="268"/>
      <c r="F53" s="268"/>
      <c r="G53" s="268"/>
      <c r="H53" s="268"/>
      <c r="I53" s="268"/>
      <c r="J53" s="268"/>
    </row>
    <row r="54" spans="2:11" s="80" customFormat="1" ht="15" customHeight="1">
      <c r="B54" s="69" t="s">
        <v>38</v>
      </c>
      <c r="C54" s="269" t="s">
        <v>251</v>
      </c>
      <c r="D54" s="269"/>
      <c r="E54" s="269"/>
      <c r="F54" s="269"/>
      <c r="G54" s="269"/>
      <c r="H54" s="269"/>
      <c r="I54" s="269"/>
      <c r="J54" s="269"/>
    </row>
    <row r="55" spans="2:11" s="80" customFormat="1" ht="15" customHeight="1">
      <c r="B55" s="267" t="s">
        <v>241</v>
      </c>
      <c r="C55" s="267"/>
      <c r="D55" s="267"/>
      <c r="E55" s="141"/>
      <c r="F55" s="141"/>
      <c r="G55" s="141"/>
      <c r="H55" s="141"/>
      <c r="I55" s="141"/>
      <c r="J55" s="139"/>
    </row>
    <row r="56" spans="2:11" s="80" customFormat="1" ht="15" customHeight="1">
      <c r="B56" s="69" t="s">
        <v>38</v>
      </c>
      <c r="C56" s="268" t="s">
        <v>240</v>
      </c>
      <c r="D56" s="268"/>
      <c r="E56" s="268"/>
      <c r="F56" s="268"/>
      <c r="G56" s="268"/>
      <c r="H56" s="268"/>
      <c r="I56" s="268"/>
      <c r="J56" s="268"/>
    </row>
    <row r="57" spans="2:11" s="80" customFormat="1" ht="15" customHeight="1">
      <c r="B57" s="69" t="s">
        <v>38</v>
      </c>
      <c r="C57" s="270" t="s">
        <v>252</v>
      </c>
      <c r="D57" s="270"/>
      <c r="E57" s="270"/>
      <c r="F57" s="270"/>
      <c r="G57" s="270"/>
      <c r="H57" s="270"/>
      <c r="I57" s="270"/>
      <c r="J57" s="270"/>
    </row>
    <row r="58" spans="2:11" s="80" customFormat="1" ht="15" customHeight="1">
      <c r="B58" s="267" t="s">
        <v>244</v>
      </c>
      <c r="C58" s="267"/>
      <c r="D58" s="267"/>
      <c r="E58" s="267"/>
      <c r="F58" s="141"/>
      <c r="G58" s="141"/>
      <c r="H58" s="141"/>
      <c r="I58" s="141"/>
      <c r="J58" s="139"/>
    </row>
    <row r="59" spans="2:11" s="80" customFormat="1" ht="15" customHeight="1">
      <c r="B59" s="69" t="s">
        <v>38</v>
      </c>
      <c r="C59" s="268" t="s">
        <v>242</v>
      </c>
      <c r="D59" s="268"/>
      <c r="E59" s="268"/>
      <c r="F59" s="268"/>
      <c r="G59" s="268"/>
      <c r="H59" s="268"/>
      <c r="I59" s="268"/>
      <c r="J59" s="268"/>
    </row>
    <row r="60" spans="2:11" s="80" customFormat="1" ht="15" customHeight="1">
      <c r="B60" s="90"/>
      <c r="C60" s="268"/>
      <c r="D60" s="268"/>
      <c r="E60" s="268"/>
      <c r="F60" s="268"/>
      <c r="G60" s="268"/>
      <c r="H60" s="268"/>
      <c r="I60" s="268"/>
      <c r="J60" s="268"/>
    </row>
    <row r="61" spans="2:11" s="80" customFormat="1" ht="15" customHeight="1">
      <c r="B61" s="267" t="s">
        <v>243</v>
      </c>
      <c r="C61" s="267"/>
      <c r="D61" s="267"/>
      <c r="E61" s="141"/>
      <c r="F61" s="141"/>
      <c r="G61" s="141"/>
      <c r="H61" s="141"/>
      <c r="I61" s="141"/>
      <c r="J61" s="139"/>
    </row>
    <row r="62" spans="2:11" s="80" customFormat="1" ht="15" customHeight="1">
      <c r="B62" s="69" t="s">
        <v>38</v>
      </c>
      <c r="C62" s="268" t="s">
        <v>320</v>
      </c>
      <c r="D62" s="268"/>
      <c r="E62" s="268"/>
      <c r="F62" s="268"/>
      <c r="G62" s="268"/>
      <c r="H62" s="268"/>
      <c r="I62" s="268"/>
      <c r="J62" s="268"/>
    </row>
    <row r="63" spans="2:11" s="80" customFormat="1" ht="15" customHeight="1">
      <c r="B63" s="69"/>
      <c r="C63" s="268"/>
      <c r="D63" s="268"/>
      <c r="E63" s="268"/>
      <c r="F63" s="268"/>
      <c r="G63" s="268"/>
      <c r="H63" s="268"/>
      <c r="I63" s="268"/>
      <c r="J63" s="268"/>
    </row>
    <row r="64" spans="2:11" s="80" customFormat="1" ht="15" customHeight="1">
      <c r="B64" s="140"/>
      <c r="C64" s="268"/>
      <c r="D64" s="268"/>
      <c r="E64" s="268"/>
      <c r="F64" s="268"/>
      <c r="G64" s="268"/>
      <c r="H64" s="268"/>
      <c r="I64" s="268"/>
      <c r="J64" s="268"/>
    </row>
    <row r="65" spans="2:10" s="80" customFormat="1" ht="7.5" customHeight="1">
      <c r="B65" s="140"/>
      <c r="C65" s="268"/>
      <c r="D65" s="268"/>
      <c r="E65" s="268"/>
      <c r="F65" s="268"/>
      <c r="G65" s="268"/>
      <c r="H65" s="268"/>
      <c r="I65" s="268"/>
      <c r="J65" s="268"/>
    </row>
    <row r="66" spans="2:10" s="80" customFormat="1" ht="15" customHeight="1">
      <c r="B66" s="84"/>
      <c r="C66" s="263" t="s">
        <v>245</v>
      </c>
      <c r="D66" s="263"/>
      <c r="E66" s="263"/>
      <c r="F66" s="263"/>
      <c r="G66" s="263"/>
      <c r="H66" s="263"/>
      <c r="I66" s="263"/>
      <c r="J66" s="263"/>
    </row>
    <row r="67" spans="2:10" s="80" customFormat="1" ht="15" customHeight="1">
      <c r="B67" s="84"/>
      <c r="C67" s="263" t="s">
        <v>246</v>
      </c>
      <c r="D67" s="263"/>
      <c r="E67" s="263"/>
      <c r="F67" s="263"/>
      <c r="G67" s="263"/>
      <c r="H67" s="263"/>
      <c r="I67" s="263"/>
      <c r="J67" s="263"/>
    </row>
    <row r="68" spans="2:10" s="80" customFormat="1" ht="15" customHeight="1">
      <c r="B68" s="84"/>
      <c r="C68" s="263" t="s">
        <v>247</v>
      </c>
      <c r="D68" s="263"/>
      <c r="E68" s="263"/>
      <c r="F68" s="263"/>
      <c r="G68" s="263"/>
      <c r="H68" s="263"/>
      <c r="I68" s="263"/>
      <c r="J68" s="263"/>
    </row>
    <row r="69" spans="2:10" s="80" customFormat="1" ht="15" customHeight="1">
      <c r="B69" s="84"/>
      <c r="C69" s="135"/>
      <c r="E69" s="83"/>
      <c r="F69" s="83"/>
      <c r="G69" s="83"/>
    </row>
    <row r="70" spans="2:10" s="80" customFormat="1" ht="15" customHeight="1">
      <c r="B70" s="84"/>
      <c r="C70" s="83"/>
      <c r="E70" s="83"/>
      <c r="F70" s="83"/>
      <c r="G70" s="83"/>
    </row>
    <row r="71" spans="2:10" s="80" customFormat="1" ht="15" customHeight="1">
      <c r="B71" s="84"/>
      <c r="C71" s="83"/>
      <c r="E71" s="83"/>
      <c r="F71" s="83"/>
      <c r="G71" s="83"/>
    </row>
    <row r="72" spans="2:10" s="80" customFormat="1" ht="15" customHeight="1">
      <c r="B72" s="84"/>
      <c r="C72" s="83"/>
      <c r="D72" s="83"/>
      <c r="E72" s="83"/>
      <c r="F72" s="83"/>
      <c r="G72" s="83"/>
    </row>
    <row r="73" spans="2:10" s="80" customFormat="1" ht="15" customHeight="1">
      <c r="B73" s="84"/>
      <c r="C73" s="83"/>
      <c r="D73" s="83"/>
      <c r="E73" s="83"/>
      <c r="F73" s="83"/>
      <c r="G73" s="83"/>
    </row>
    <row r="74" spans="2:10" s="80" customFormat="1" ht="15" customHeight="1">
      <c r="B74" s="84"/>
      <c r="C74" s="83"/>
      <c r="D74" s="83"/>
      <c r="E74" s="83"/>
      <c r="F74" s="83"/>
      <c r="G74" s="83"/>
    </row>
    <row r="75" spans="2:10" s="80" customFormat="1" ht="15" customHeight="1">
      <c r="B75" s="84"/>
      <c r="C75" s="83"/>
      <c r="D75" s="83"/>
      <c r="E75" s="83"/>
      <c r="F75" s="83"/>
      <c r="G75" s="83"/>
    </row>
    <row r="76" spans="2:10" s="80" customFormat="1" ht="15" customHeight="1">
      <c r="B76" s="84"/>
      <c r="C76" s="83"/>
      <c r="D76" s="83"/>
      <c r="E76" s="83"/>
      <c r="F76" s="83"/>
      <c r="G76" s="83"/>
    </row>
    <row r="77" spans="2:10" s="80" customFormat="1" ht="15" customHeight="1">
      <c r="B77" s="84"/>
      <c r="C77" s="83"/>
      <c r="D77" s="83"/>
      <c r="E77" s="83"/>
      <c r="F77" s="83"/>
      <c r="G77" s="83"/>
    </row>
    <row r="78" spans="2:10" s="80" customFormat="1" ht="15" customHeight="1">
      <c r="B78" s="84"/>
      <c r="C78" s="83"/>
      <c r="D78" s="83"/>
      <c r="E78" s="83"/>
      <c r="F78" s="83"/>
      <c r="G78" s="83"/>
    </row>
    <row r="79" spans="2:10" s="80" customFormat="1" ht="15" customHeight="1">
      <c r="B79" s="84"/>
      <c r="C79" s="83"/>
      <c r="D79" s="83"/>
      <c r="E79" s="83"/>
      <c r="F79" s="83"/>
      <c r="G79" s="83"/>
    </row>
    <row r="80" spans="2:10" s="80" customFormat="1" ht="15" customHeight="1">
      <c r="B80" s="84"/>
      <c r="C80" s="83"/>
      <c r="D80" s="83"/>
      <c r="E80" s="83"/>
      <c r="F80" s="83"/>
      <c r="G80" s="83"/>
    </row>
    <row r="81" spans="2:7" s="80" customFormat="1" ht="15" customHeight="1">
      <c r="B81" s="84"/>
      <c r="C81" s="83"/>
      <c r="D81" s="83"/>
      <c r="E81" s="83"/>
      <c r="F81" s="83"/>
      <c r="G81" s="83"/>
    </row>
    <row r="82" spans="2:7" s="80" customFormat="1" ht="15" customHeight="1">
      <c r="B82" s="84"/>
      <c r="C82" s="83"/>
      <c r="D82" s="83"/>
      <c r="E82" s="83"/>
      <c r="F82" s="83"/>
      <c r="G82" s="83"/>
    </row>
    <row r="83" spans="2:7" s="80" customFormat="1" ht="15" customHeight="1">
      <c r="B83" s="84"/>
      <c r="C83" s="83"/>
      <c r="D83" s="83"/>
      <c r="E83" s="83"/>
      <c r="F83" s="83"/>
      <c r="G83" s="83"/>
    </row>
    <row r="84" spans="2:7" s="80" customFormat="1" ht="15" customHeight="1">
      <c r="B84" s="84"/>
      <c r="C84" s="83"/>
      <c r="D84" s="83"/>
      <c r="E84" s="83"/>
      <c r="F84" s="83"/>
      <c r="G84" s="83"/>
    </row>
    <row r="85" spans="2:7" s="80" customFormat="1" ht="15" customHeight="1">
      <c r="B85" s="84"/>
      <c r="C85" s="83"/>
      <c r="D85" s="83"/>
      <c r="E85" s="83"/>
      <c r="F85" s="83"/>
      <c r="G85" s="83"/>
    </row>
    <row r="86" spans="2:7" s="80" customFormat="1" ht="15" customHeight="1">
      <c r="B86" s="84"/>
      <c r="C86" s="83"/>
      <c r="D86" s="83"/>
      <c r="E86" s="83"/>
      <c r="F86" s="83"/>
      <c r="G86" s="83"/>
    </row>
    <row r="87" spans="2:7" s="80" customFormat="1" ht="15" customHeight="1">
      <c r="B87" s="84"/>
      <c r="C87" s="83"/>
      <c r="D87" s="83"/>
      <c r="E87" s="83"/>
      <c r="F87" s="83"/>
      <c r="G87" s="83"/>
    </row>
    <row r="88" spans="2:7" s="80" customFormat="1" ht="15" customHeight="1">
      <c r="B88" s="84"/>
      <c r="C88" s="83"/>
      <c r="D88" s="83"/>
      <c r="E88" s="83"/>
      <c r="F88" s="83"/>
      <c r="G88" s="83"/>
    </row>
    <row r="89" spans="2:7" s="80" customFormat="1" ht="15" customHeight="1">
      <c r="B89" s="84"/>
      <c r="C89" s="83"/>
      <c r="D89" s="83"/>
      <c r="E89" s="83"/>
      <c r="F89" s="83"/>
      <c r="G89" s="83"/>
    </row>
    <row r="90" spans="2:7" s="80" customFormat="1" ht="15" customHeight="1">
      <c r="B90" s="84"/>
      <c r="C90" s="83"/>
      <c r="D90" s="83"/>
      <c r="E90" s="83"/>
      <c r="F90" s="83"/>
      <c r="G90" s="83"/>
    </row>
    <row r="91" spans="2:7" s="80" customFormat="1" ht="15" customHeight="1">
      <c r="B91" s="84"/>
      <c r="C91" s="83"/>
      <c r="D91" s="83"/>
      <c r="E91" s="83"/>
      <c r="F91" s="83"/>
      <c r="G91" s="83"/>
    </row>
    <row r="92" spans="2:7" s="80" customFormat="1" ht="15" customHeight="1">
      <c r="B92" s="84"/>
      <c r="C92" s="83"/>
      <c r="D92" s="83"/>
      <c r="E92" s="83"/>
      <c r="F92" s="83"/>
      <c r="G92" s="83"/>
    </row>
    <row r="93" spans="2:7" s="80" customFormat="1" ht="15" customHeight="1">
      <c r="B93" s="84"/>
      <c r="C93" s="83"/>
      <c r="D93" s="83"/>
      <c r="E93" s="83"/>
      <c r="F93" s="83"/>
      <c r="G93" s="83"/>
    </row>
    <row r="94" spans="2:7" s="80" customFormat="1" ht="15" customHeight="1">
      <c r="B94" s="84"/>
      <c r="C94" s="83"/>
      <c r="D94" s="83"/>
      <c r="E94" s="83"/>
      <c r="F94" s="83"/>
      <c r="G94" s="83"/>
    </row>
  </sheetData>
  <protectedRanges>
    <protectedRange sqref="K3:ZW3 I9:J10 I4:ZU8 K62:ZW395 K9:ZW40 J51:ZV61 K50:ZW50" name="Range4"/>
    <protectedRange sqref="A3:A40 A50:A53" name="Range2"/>
    <protectedRange sqref="E29:G30 E17:E22" name="BlueCells"/>
    <protectedRange sqref="C55 C66:C68 B58:C58 A64:D64 C62:D63 C59 F65:J65 E62:J64 B60:C61 A54:A63 A65:B69 D65:D68 A70:C395 E66:J395 D72:D395 D54:I61" name="Range3"/>
    <protectedRange sqref="K1:AT2" name="Range2_1_1"/>
    <protectedRange sqref="C52:C54 C56" name="BlankCells_1"/>
    <protectedRange sqref="J41:ZY41 J48:ZY49 K42:ZZ47" name="Range4_5"/>
    <protectedRange sqref="B41:I41 C48:I49 B42:B49 A41:A49 C42:J47" name="Range3_2"/>
  </protectedRanges>
  <mergeCells count="73">
    <mergeCell ref="C42:J43"/>
    <mergeCell ref="C44:J47"/>
    <mergeCell ref="C48:E48"/>
    <mergeCell ref="B15:J15"/>
    <mergeCell ref="B3:J3"/>
    <mergeCell ref="B16:J16"/>
    <mergeCell ref="B17:B18"/>
    <mergeCell ref="C17:D18"/>
    <mergeCell ref="E17:E18"/>
    <mergeCell ref="F17:F18"/>
    <mergeCell ref="G17:J18"/>
    <mergeCell ref="C13:F13"/>
    <mergeCell ref="G13:H13"/>
    <mergeCell ref="C6:J7"/>
    <mergeCell ref="B21:B22"/>
    <mergeCell ref="C21:D22"/>
    <mergeCell ref="E21:E22"/>
    <mergeCell ref="F21:F22"/>
    <mergeCell ref="G21:J22"/>
    <mergeCell ref="B19:B20"/>
    <mergeCell ref="C19:D20"/>
    <mergeCell ref="E19:E20"/>
    <mergeCell ref="F19:F20"/>
    <mergeCell ref="G19:J20"/>
    <mergeCell ref="E23:E24"/>
    <mergeCell ref="F23:F24"/>
    <mergeCell ref="G23:J24"/>
    <mergeCell ref="B27:J27"/>
    <mergeCell ref="B28:J28"/>
    <mergeCell ref="B25:B26"/>
    <mergeCell ref="C25:D26"/>
    <mergeCell ref="E25:E26"/>
    <mergeCell ref="F25:J26"/>
    <mergeCell ref="B23:B24"/>
    <mergeCell ref="C23:D24"/>
    <mergeCell ref="B33:B34"/>
    <mergeCell ref="C33:D34"/>
    <mergeCell ref="E33:E34"/>
    <mergeCell ref="F33:J34"/>
    <mergeCell ref="B29:B30"/>
    <mergeCell ref="C29:D30"/>
    <mergeCell ref="E29:G30"/>
    <mergeCell ref="B31:B32"/>
    <mergeCell ref="C31:D32"/>
    <mergeCell ref="E31:E32"/>
    <mergeCell ref="D39:F39"/>
    <mergeCell ref="B35:J35"/>
    <mergeCell ref="B36:J36"/>
    <mergeCell ref="B37:B38"/>
    <mergeCell ref="C37:D38"/>
    <mergeCell ref="E37:E38"/>
    <mergeCell ref="F37:J38"/>
    <mergeCell ref="B1:J1"/>
    <mergeCell ref="B2:J2"/>
    <mergeCell ref="C4:J5"/>
    <mergeCell ref="C10:J10"/>
    <mergeCell ref="C11:J12"/>
    <mergeCell ref="B9:J9"/>
    <mergeCell ref="C67:J67"/>
    <mergeCell ref="C68:J68"/>
    <mergeCell ref="E50:F50"/>
    <mergeCell ref="B50:D50"/>
    <mergeCell ref="B51:D51"/>
    <mergeCell ref="B55:D55"/>
    <mergeCell ref="B61:D61"/>
    <mergeCell ref="B58:E58"/>
    <mergeCell ref="C52:J53"/>
    <mergeCell ref="C54:J54"/>
    <mergeCell ref="C56:J56"/>
    <mergeCell ref="C57:J57"/>
    <mergeCell ref="C59:J60"/>
    <mergeCell ref="C62:J65"/>
    <mergeCell ref="C66:J66"/>
  </mergeCells>
  <conditionalFormatting sqref="E33:E34">
    <cfRule type="containsErrors" dxfId="5" priority="2">
      <formula>ISERROR(E33)</formula>
    </cfRule>
  </conditionalFormatting>
  <conditionalFormatting sqref="E37:E38">
    <cfRule type="containsErrors" dxfId="4" priority="3">
      <formula>ISERROR(E37)</formula>
    </cfRule>
  </conditionalFormatting>
  <hyperlinks>
    <hyperlink ref="G13" r:id="rId1" xr:uid="{00000000-0004-0000-0300-000000000000}"/>
    <hyperlink ref="E50" r:id="rId2" xr:uid="{00000000-0004-0000-0300-000001000000}"/>
    <hyperlink ref="C48:E48" r:id="rId3" display="A certified hood complies with Minn. R. 7011.0072." xr:uid="{00000000-0004-0000-0300-000002000000}"/>
  </hyperlinks>
  <pageMargins left="0.7" right="0.7" top="0.75" bottom="0.75" header="0.3" footer="0.3"/>
  <pageSetup scale="86" fitToHeight="2" orientation="landscape" r:id="rId4"/>
  <headerFooter>
    <oddFooter>&amp;L&amp;"Arial,Italic"&amp;8p-sbap5-40&amp;C&amp;"Arial,Italic"&amp;8https://www.pca.state.mn.us  •  Available in alternative formats  •  Use your preferred relay service&amp;R&amp;"Arial,Italic"&amp;8Page &amp;P of &amp;N</oddFooter>
  </headerFooter>
  <rowBreaks count="1" manualBreakCount="1">
    <brk id="39" min="1" max="9" man="1"/>
  </rowBreak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'Data Validation'!$B$35:$B$40</xm:f>
          </x14:formula1>
          <xm:sqref>E29:G30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1EAFF"/>
    <pageSetUpPr fitToPage="1"/>
  </sheetPr>
  <dimension ref="A1:X53"/>
  <sheetViews>
    <sheetView showGridLines="0" zoomScaleNormal="100" zoomScaleSheetLayoutView="70" workbookViewId="0">
      <selection activeCell="B2" sqref="B2:S2"/>
    </sheetView>
  </sheetViews>
  <sheetFormatPr defaultColWidth="9.28515625" defaultRowHeight="12.75"/>
  <cols>
    <col min="1" max="1" width="3.7109375" style="1" customWidth="1"/>
    <col min="2" max="2" width="9.7109375" style="1" customWidth="1"/>
    <col min="3" max="17" width="8.5703125" style="1" customWidth="1"/>
    <col min="18" max="18" width="9.28515625" style="1"/>
    <col min="19" max="19" width="7.7109375" style="1" customWidth="1"/>
    <col min="20" max="16384" width="9.28515625" style="1"/>
  </cols>
  <sheetData>
    <row r="1" spans="1:19" customFormat="1">
      <c r="A1" s="23"/>
      <c r="B1" s="228" t="str">
        <f>Instructions!O4</f>
        <v>p-sbap5-19  •  6/5/23</v>
      </c>
      <c r="C1" s="228"/>
      <c r="D1" s="228"/>
      <c r="E1" s="228"/>
      <c r="F1" s="228"/>
      <c r="G1" s="228"/>
      <c r="H1" s="228"/>
      <c r="I1" s="228"/>
      <c r="J1" s="228"/>
      <c r="K1" s="228"/>
      <c r="L1" s="228"/>
      <c r="M1" s="228"/>
      <c r="N1" s="228"/>
      <c r="O1" s="228"/>
      <c r="P1" s="228"/>
      <c r="Q1" s="228"/>
      <c r="R1" s="228"/>
      <c r="S1" s="228"/>
    </row>
    <row r="2" spans="1:19" customFormat="1" ht="20.25" customHeight="1" thickBot="1">
      <c r="A2" s="1"/>
      <c r="B2" s="229" t="s">
        <v>40</v>
      </c>
      <c r="C2" s="229"/>
      <c r="D2" s="229"/>
      <c r="E2" s="229"/>
      <c r="F2" s="229"/>
      <c r="G2" s="229"/>
      <c r="H2" s="229"/>
      <c r="I2" s="229"/>
      <c r="J2" s="229"/>
      <c r="K2" s="229"/>
      <c r="L2" s="229"/>
      <c r="M2" s="229"/>
      <c r="N2" s="229"/>
      <c r="O2" s="229"/>
      <c r="P2" s="229"/>
      <c r="Q2" s="229"/>
      <c r="R2" s="229"/>
      <c r="S2" s="229"/>
    </row>
    <row r="4" spans="1:19" ht="15">
      <c r="B4" s="53" t="s">
        <v>70</v>
      </c>
      <c r="C4" s="54"/>
      <c r="D4" s="54"/>
      <c r="E4" s="50"/>
      <c r="F4" s="50"/>
      <c r="G4" s="73"/>
      <c r="H4" s="50"/>
      <c r="I4" s="50"/>
      <c r="J4" s="50"/>
      <c r="K4" s="50"/>
      <c r="L4" s="73"/>
      <c r="M4" s="73"/>
      <c r="N4" s="50"/>
      <c r="O4" s="50"/>
      <c r="P4" s="73"/>
      <c r="Q4" s="73"/>
      <c r="R4" s="54"/>
    </row>
    <row r="5" spans="1:19" ht="12.95" customHeight="1">
      <c r="B5" s="54" t="s">
        <v>182</v>
      </c>
      <c r="C5" s="49"/>
      <c r="D5" s="49"/>
      <c r="E5" s="49"/>
      <c r="F5" s="49"/>
      <c r="G5" s="49"/>
      <c r="H5" s="49"/>
      <c r="I5" s="49"/>
      <c r="J5" s="49"/>
      <c r="K5" s="49"/>
      <c r="L5" s="49"/>
      <c r="M5" s="49"/>
      <c r="N5" s="49"/>
      <c r="O5" s="49"/>
      <c r="P5" s="49"/>
      <c r="Q5" s="49"/>
      <c r="R5" s="49"/>
    </row>
    <row r="6" spans="1:19">
      <c r="B6" s="54"/>
      <c r="C6" s="54"/>
      <c r="D6" s="54"/>
      <c r="E6" s="50"/>
      <c r="F6" s="50"/>
      <c r="G6" s="73"/>
      <c r="H6" s="145"/>
      <c r="I6" s="50"/>
      <c r="S6" s="49"/>
    </row>
    <row r="7" spans="1:19" ht="15" customHeight="1">
      <c r="B7" s="330" t="s">
        <v>72</v>
      </c>
      <c r="C7" s="330"/>
      <c r="D7" s="330"/>
      <c r="E7" s="342"/>
      <c r="F7" s="340" t="s">
        <v>65</v>
      </c>
      <c r="G7" s="341"/>
      <c r="H7" s="145"/>
      <c r="I7" s="50"/>
      <c r="J7" s="328" t="s">
        <v>73</v>
      </c>
      <c r="K7" s="328"/>
      <c r="L7" s="436" t="s">
        <v>77</v>
      </c>
      <c r="M7" s="436"/>
      <c r="N7" s="436"/>
      <c r="O7" s="436"/>
      <c r="P7" s="328" t="s">
        <v>83</v>
      </c>
      <c r="Q7" s="328"/>
      <c r="R7" s="328"/>
      <c r="S7" s="49"/>
    </row>
    <row r="8" spans="1:19" ht="15" customHeight="1">
      <c r="B8" s="56"/>
      <c r="E8" s="144" t="s">
        <v>277</v>
      </c>
      <c r="F8" s="338">
        <v>0</v>
      </c>
      <c r="G8" s="339"/>
      <c r="H8" s="1" t="s">
        <v>82</v>
      </c>
      <c r="J8" s="325" t="s">
        <v>2</v>
      </c>
      <c r="K8" s="345"/>
      <c r="L8" s="324" t="s">
        <v>178</v>
      </c>
      <c r="M8" s="325"/>
      <c r="N8" s="325"/>
      <c r="O8" s="325"/>
      <c r="P8" s="324" t="s">
        <v>193</v>
      </c>
      <c r="Q8" s="325"/>
      <c r="R8" s="325"/>
      <c r="S8" s="49"/>
    </row>
    <row r="9" spans="1:19" ht="12.75" customHeight="1">
      <c r="B9" s="56"/>
      <c r="C9" s="56"/>
      <c r="D9" s="56"/>
      <c r="G9" s="73"/>
      <c r="H9" s="145"/>
      <c r="I9" s="50"/>
      <c r="J9" s="325" t="s">
        <v>85</v>
      </c>
      <c r="K9" s="345"/>
      <c r="L9" s="324" t="s">
        <v>179</v>
      </c>
      <c r="M9" s="325"/>
      <c r="N9" s="325"/>
      <c r="O9" s="325"/>
      <c r="P9" s="324" t="s">
        <v>192</v>
      </c>
      <c r="Q9" s="325"/>
      <c r="R9" s="325"/>
      <c r="S9" s="49"/>
    </row>
    <row r="10" spans="1:19" ht="12.75" customHeight="1">
      <c r="B10" s="344" t="s">
        <v>278</v>
      </c>
      <c r="C10" s="344"/>
      <c r="D10" s="344"/>
      <c r="E10" s="344"/>
      <c r="F10" s="344"/>
      <c r="G10" s="344"/>
      <c r="H10" s="344"/>
      <c r="I10" s="126"/>
      <c r="J10" s="325" t="s">
        <v>74</v>
      </c>
      <c r="K10" s="345"/>
      <c r="L10" s="324" t="s">
        <v>181</v>
      </c>
      <c r="M10" s="325"/>
      <c r="N10" s="325"/>
      <c r="O10" s="325"/>
      <c r="P10" s="324" t="s">
        <v>191</v>
      </c>
      <c r="Q10" s="325"/>
      <c r="R10" s="325"/>
    </row>
    <row r="11" spans="1:19" ht="15">
      <c r="B11" s="344"/>
      <c r="C11" s="344"/>
      <c r="D11" s="344"/>
      <c r="E11" s="344"/>
      <c r="F11" s="344"/>
      <c r="G11" s="344"/>
      <c r="H11" s="344"/>
      <c r="I11" s="53"/>
      <c r="J11" s="327" t="s">
        <v>4</v>
      </c>
      <c r="K11" s="346"/>
      <c r="L11" s="326" t="s">
        <v>180</v>
      </c>
      <c r="M11" s="327"/>
      <c r="N11" s="327"/>
      <c r="O11" s="327"/>
      <c r="P11" s="326"/>
      <c r="Q11" s="327"/>
      <c r="R11" s="327"/>
    </row>
    <row r="12" spans="1:19" ht="15">
      <c r="B12" s="344"/>
      <c r="C12" s="344"/>
      <c r="D12" s="344"/>
      <c r="E12" s="344"/>
      <c r="F12" s="344"/>
      <c r="G12" s="344"/>
      <c r="H12" s="344"/>
      <c r="I12" s="53"/>
      <c r="J12" s="145"/>
      <c r="K12" s="145"/>
      <c r="L12" s="145"/>
      <c r="M12" s="145"/>
      <c r="N12" s="145"/>
      <c r="O12" s="145"/>
      <c r="P12" s="145"/>
      <c r="Q12" s="145"/>
      <c r="R12" s="145"/>
    </row>
    <row r="13" spans="1:19" ht="15">
      <c r="B13" s="53"/>
      <c r="C13" s="53"/>
      <c r="D13" s="53"/>
      <c r="E13" s="53"/>
      <c r="F13" s="53"/>
      <c r="G13" s="53"/>
      <c r="H13" s="53"/>
      <c r="I13" s="53"/>
      <c r="J13" s="145"/>
      <c r="K13" s="145"/>
      <c r="L13" s="145"/>
      <c r="M13" s="145"/>
      <c r="N13" s="145"/>
      <c r="O13" s="145"/>
      <c r="P13" s="145"/>
      <c r="Q13" s="145"/>
      <c r="R13" s="145"/>
    </row>
    <row r="14" spans="1:19" ht="15">
      <c r="B14" s="53" t="s">
        <v>71</v>
      </c>
      <c r="C14" s="53"/>
      <c r="D14" s="53"/>
      <c r="E14" s="53"/>
      <c r="F14" s="53"/>
      <c r="G14" s="53"/>
      <c r="H14" s="53"/>
      <c r="I14" s="53"/>
      <c r="J14" s="145"/>
      <c r="K14" s="145"/>
      <c r="L14" s="145"/>
      <c r="M14" s="145"/>
      <c r="N14" s="145"/>
      <c r="O14" s="145"/>
      <c r="P14" s="145"/>
      <c r="Q14" s="145"/>
      <c r="R14" s="145"/>
    </row>
    <row r="15" spans="1:19">
      <c r="B15" s="54" t="s">
        <v>75</v>
      </c>
      <c r="C15" s="54"/>
      <c r="D15" s="54"/>
      <c r="E15" s="54"/>
      <c r="F15" s="54"/>
      <c r="G15" s="54"/>
      <c r="H15" s="54"/>
      <c r="I15" s="54"/>
      <c r="J15" s="54"/>
      <c r="K15" s="54"/>
      <c r="L15" s="54"/>
      <c r="M15" s="54"/>
      <c r="N15" s="54"/>
      <c r="O15" s="54"/>
      <c r="P15" s="54"/>
      <c r="Q15" s="5"/>
    </row>
    <row r="16" spans="1:19">
      <c r="B16" s="54"/>
      <c r="C16" s="54"/>
      <c r="D16" s="54"/>
      <c r="E16" s="55"/>
      <c r="F16" s="55"/>
      <c r="G16" s="55"/>
      <c r="H16" s="55"/>
      <c r="S16" s="5"/>
    </row>
    <row r="17" spans="2:24" ht="12.75" customHeight="1">
      <c r="B17" s="330" t="s">
        <v>78</v>
      </c>
      <c r="C17" s="330"/>
      <c r="D17" s="330"/>
      <c r="E17" s="330"/>
      <c r="F17" s="331" t="s">
        <v>65</v>
      </c>
      <c r="G17" s="332"/>
      <c r="H17" s="54"/>
      <c r="J17" s="328" t="s">
        <v>76</v>
      </c>
      <c r="K17" s="328"/>
      <c r="L17" s="436" t="s">
        <v>66</v>
      </c>
      <c r="M17" s="436"/>
      <c r="N17" s="436"/>
      <c r="O17" s="436"/>
      <c r="P17" s="436" t="s">
        <v>84</v>
      </c>
      <c r="Q17" s="436"/>
      <c r="R17" s="436"/>
      <c r="S17" s="5"/>
    </row>
    <row r="18" spans="2:24" ht="12.75" customHeight="1">
      <c r="B18" s="330"/>
      <c r="C18" s="330"/>
      <c r="D18" s="330"/>
      <c r="E18" s="330"/>
      <c r="F18" s="333"/>
      <c r="G18" s="334"/>
      <c r="H18" s="54"/>
      <c r="J18" s="325" t="s">
        <v>185</v>
      </c>
      <c r="K18" s="345"/>
      <c r="L18" s="326" t="s">
        <v>69</v>
      </c>
      <c r="M18" s="327"/>
      <c r="N18" s="327"/>
      <c r="O18" s="346"/>
      <c r="P18" s="326" t="s">
        <v>79</v>
      </c>
      <c r="Q18" s="327"/>
      <c r="R18" s="327"/>
      <c r="S18" s="54"/>
      <c r="T18" s="5"/>
    </row>
    <row r="19" spans="2:24" ht="12.75" customHeight="1">
      <c r="B19" s="330"/>
      <c r="C19" s="330"/>
      <c r="D19" s="330"/>
      <c r="E19" s="330"/>
      <c r="F19" s="335"/>
      <c r="G19" s="336"/>
      <c r="H19" s="54"/>
      <c r="J19" s="325"/>
      <c r="K19" s="345"/>
      <c r="L19" s="437"/>
      <c r="M19" s="344"/>
      <c r="N19" s="344"/>
      <c r="O19" s="438"/>
      <c r="P19" s="437"/>
      <c r="Q19" s="344"/>
      <c r="R19" s="344"/>
      <c r="S19" s="54"/>
      <c r="T19" s="5"/>
    </row>
    <row r="20" spans="2:24" ht="12.75" customHeight="1">
      <c r="B20" s="56"/>
      <c r="C20" s="56"/>
      <c r="D20" s="56"/>
      <c r="E20" s="56"/>
      <c r="F20" s="54"/>
      <c r="G20" s="54"/>
      <c r="H20" s="54"/>
      <c r="J20" s="325"/>
      <c r="K20" s="345"/>
      <c r="L20" s="439"/>
      <c r="M20" s="440"/>
      <c r="N20" s="440"/>
      <c r="O20" s="441"/>
      <c r="P20" s="437"/>
      <c r="Q20" s="344"/>
      <c r="R20" s="344"/>
      <c r="S20" s="54"/>
      <c r="T20" s="5"/>
    </row>
    <row r="21" spans="2:24">
      <c r="C21" s="399" t="s">
        <v>64</v>
      </c>
      <c r="D21" s="399"/>
      <c r="E21" s="400"/>
      <c r="F21" s="329">
        <v>0</v>
      </c>
      <c r="G21" s="329"/>
      <c r="H21" s="1" t="s">
        <v>48</v>
      </c>
      <c r="J21" s="432" t="s">
        <v>67</v>
      </c>
      <c r="K21" s="433"/>
      <c r="L21" s="326" t="s">
        <v>68</v>
      </c>
      <c r="M21" s="327"/>
      <c r="N21" s="327"/>
      <c r="O21" s="346"/>
      <c r="P21" s="437"/>
      <c r="Q21" s="344"/>
      <c r="R21" s="344"/>
      <c r="S21" s="54"/>
      <c r="T21" s="5"/>
    </row>
    <row r="22" spans="2:24" ht="12.95" customHeight="1">
      <c r="D22" s="343"/>
      <c r="E22" s="343"/>
      <c r="F22" s="343"/>
      <c r="G22" s="343"/>
      <c r="H22" s="343"/>
      <c r="J22" s="434"/>
      <c r="K22" s="435"/>
      <c r="L22" s="437"/>
      <c r="M22" s="344"/>
      <c r="N22" s="344"/>
      <c r="O22" s="438"/>
      <c r="P22" s="437"/>
      <c r="Q22" s="344"/>
      <c r="R22" s="344"/>
    </row>
    <row r="23" spans="2:24">
      <c r="E23" s="4" t="s">
        <v>80</v>
      </c>
      <c r="F23" s="347" t="s">
        <v>65</v>
      </c>
      <c r="G23" s="347"/>
      <c r="H23" s="1" t="s">
        <v>190</v>
      </c>
    </row>
    <row r="24" spans="2:24">
      <c r="E24" s="4" t="s">
        <v>81</v>
      </c>
      <c r="F24" s="329" t="s">
        <v>65</v>
      </c>
      <c r="G24" s="329"/>
      <c r="H24" s="1" t="s">
        <v>1</v>
      </c>
      <c r="I24" s="2"/>
    </row>
    <row r="26" spans="2:24" ht="15">
      <c r="B26" s="337" t="s">
        <v>194</v>
      </c>
      <c r="C26" s="337"/>
      <c r="D26" s="337"/>
      <c r="E26" s="337"/>
      <c r="F26" s="337"/>
      <c r="G26" s="337"/>
      <c r="H26" s="337"/>
      <c r="I26" s="337"/>
      <c r="J26" s="337"/>
      <c r="K26" s="337"/>
      <c r="L26" s="337"/>
    </row>
    <row r="27" spans="2:24">
      <c r="B27" s="6" t="s">
        <v>261</v>
      </c>
      <c r="C27" s="5"/>
      <c r="D27" s="5"/>
      <c r="E27" s="5"/>
      <c r="F27" s="338" t="s">
        <v>65</v>
      </c>
      <c r="G27" s="398"/>
      <c r="H27" s="398"/>
      <c r="I27" s="398"/>
      <c r="J27" s="339"/>
      <c r="K27" s="329">
        <v>0</v>
      </c>
      <c r="L27" s="329"/>
      <c r="M27" s="1" t="str">
        <f>IF(F27='Data Validation'!E16," ",IF(F27='Data Validation'!E17,"hour/year",IF(F27='Data Validation'!E18,"lb/year")))</f>
        <v xml:space="preserve"> </v>
      </c>
    </row>
    <row r="28" spans="2:24">
      <c r="C28" s="4"/>
    </row>
    <row r="29" spans="2:24" ht="12.75" customHeight="1">
      <c r="B29" s="13" t="s">
        <v>262</v>
      </c>
      <c r="G29" s="329" t="s">
        <v>65</v>
      </c>
      <c r="H29" s="329"/>
      <c r="I29" s="329"/>
      <c r="J29" s="329"/>
      <c r="K29" s="402" t="s">
        <v>228</v>
      </c>
      <c r="L29" s="403"/>
      <c r="M29" s="404" t="s">
        <v>283</v>
      </c>
      <c r="N29" s="404"/>
      <c r="O29" s="404"/>
      <c r="P29" s="404"/>
      <c r="Q29" s="404"/>
      <c r="R29" s="404"/>
      <c r="S29" s="404"/>
      <c r="T29" s="153"/>
      <c r="U29" s="153"/>
      <c r="V29" s="153"/>
      <c r="W29" s="153"/>
      <c r="X29" s="153"/>
    </row>
    <row r="30" spans="2:24">
      <c r="B30" s="6" t="s">
        <v>263</v>
      </c>
      <c r="C30" s="6"/>
      <c r="D30" s="6"/>
      <c r="E30" s="6"/>
      <c r="F30" s="6"/>
      <c r="G30" s="329" t="s">
        <v>65</v>
      </c>
      <c r="H30" s="329"/>
      <c r="I30" s="329"/>
      <c r="J30" s="329"/>
      <c r="K30" s="402"/>
      <c r="L30" s="403"/>
      <c r="M30" s="404"/>
      <c r="N30" s="404"/>
      <c r="O30" s="404"/>
      <c r="P30" s="404"/>
      <c r="Q30" s="404"/>
      <c r="R30" s="404"/>
      <c r="S30" s="404"/>
      <c r="T30" s="153"/>
      <c r="U30" s="153"/>
      <c r="V30" s="153"/>
      <c r="W30" s="153"/>
      <c r="X30" s="153"/>
    </row>
    <row r="31" spans="2:24" ht="13.5" customHeight="1">
      <c r="B31" s="2"/>
      <c r="C31" s="2"/>
      <c r="D31" s="40"/>
      <c r="E31" s="40"/>
      <c r="F31" s="40"/>
      <c r="G31" s="40"/>
      <c r="H31" s="40"/>
      <c r="I31" s="41"/>
      <c r="J31" s="38"/>
      <c r="K31" s="70"/>
      <c r="L31" s="70"/>
      <c r="M31" s="38"/>
      <c r="N31" s="38"/>
      <c r="O31" s="70"/>
      <c r="P31" s="70"/>
    </row>
    <row r="32" spans="2:24" ht="13.5" customHeight="1">
      <c r="B32" s="2"/>
      <c r="C32" s="2"/>
      <c r="D32" s="40"/>
      <c r="E32" s="40"/>
      <c r="F32" s="40"/>
      <c r="G32" s="40"/>
      <c r="H32" s="40"/>
      <c r="I32" s="41"/>
      <c r="J32" s="143"/>
      <c r="K32" s="143"/>
      <c r="L32" s="143"/>
      <c r="M32" s="143"/>
      <c r="N32" s="143"/>
      <c r="O32" s="143"/>
      <c r="P32" s="143"/>
    </row>
    <row r="33" spans="1:19" ht="15.75" thickBot="1">
      <c r="B33" s="401" t="s">
        <v>186</v>
      </c>
      <c r="C33" s="401"/>
      <c r="D33" s="401"/>
      <c r="E33" s="401"/>
      <c r="F33" s="401"/>
      <c r="G33" s="401"/>
      <c r="H33" s="401"/>
      <c r="I33" s="401"/>
      <c r="J33" s="401"/>
      <c r="K33" s="401"/>
      <c r="L33" s="401"/>
      <c r="M33" s="401"/>
      <c r="N33" s="401"/>
      <c r="O33" s="401"/>
      <c r="P33" s="401"/>
      <c r="Q33" s="401"/>
      <c r="R33" s="401"/>
      <c r="S33" s="401"/>
    </row>
    <row r="34" spans="1:19" ht="13.5" customHeight="1">
      <c r="B34" s="374" t="s">
        <v>0</v>
      </c>
      <c r="C34" s="375"/>
      <c r="D34" s="350" t="s">
        <v>49</v>
      </c>
      <c r="E34" s="351"/>
      <c r="F34" s="350" t="s">
        <v>50</v>
      </c>
      <c r="G34" s="351"/>
      <c r="H34" s="350" t="s">
        <v>51</v>
      </c>
      <c r="I34" s="351"/>
      <c r="J34" s="350" t="s">
        <v>52</v>
      </c>
      <c r="K34" s="351"/>
      <c r="L34" s="350"/>
      <c r="M34" s="351"/>
      <c r="N34" s="350" t="s">
        <v>158</v>
      </c>
      <c r="O34" s="351"/>
      <c r="P34" s="350"/>
      <c r="Q34" s="382"/>
      <c r="R34" s="409"/>
      <c r="S34" s="410"/>
    </row>
    <row r="35" spans="1:19" ht="13.5" customHeight="1">
      <c r="B35" s="376"/>
      <c r="C35" s="373"/>
      <c r="D35" s="372" t="s">
        <v>53</v>
      </c>
      <c r="E35" s="373"/>
      <c r="F35" s="372" t="s">
        <v>60</v>
      </c>
      <c r="G35" s="373"/>
      <c r="H35" s="372" t="s">
        <v>233</v>
      </c>
      <c r="I35" s="373"/>
      <c r="J35" s="372" t="s">
        <v>234</v>
      </c>
      <c r="K35" s="373"/>
      <c r="L35" s="383" t="s">
        <v>230</v>
      </c>
      <c r="M35" s="391"/>
      <c r="N35" s="372" t="s">
        <v>229</v>
      </c>
      <c r="O35" s="373"/>
      <c r="P35" s="383" t="s">
        <v>231</v>
      </c>
      <c r="Q35" s="384"/>
      <c r="R35" s="407" t="s">
        <v>232</v>
      </c>
      <c r="S35" s="408"/>
    </row>
    <row r="36" spans="1:19" ht="13.5" customHeight="1">
      <c r="B36" s="376"/>
      <c r="C36" s="373"/>
      <c r="D36" s="372"/>
      <c r="E36" s="373"/>
      <c r="F36" s="372"/>
      <c r="G36" s="373"/>
      <c r="H36" s="372"/>
      <c r="I36" s="373"/>
      <c r="J36" s="372"/>
      <c r="K36" s="373"/>
      <c r="L36" s="383"/>
      <c r="M36" s="391"/>
      <c r="N36" s="372"/>
      <c r="O36" s="373"/>
      <c r="P36" s="383"/>
      <c r="Q36" s="384"/>
      <c r="R36" s="407"/>
      <c r="S36" s="408"/>
    </row>
    <row r="37" spans="1:19" ht="13.5" customHeight="1">
      <c r="B37" s="376"/>
      <c r="C37" s="373"/>
      <c r="D37" s="370" t="s">
        <v>59</v>
      </c>
      <c r="E37" s="371"/>
      <c r="F37" s="370" t="s">
        <v>61</v>
      </c>
      <c r="G37" s="371"/>
      <c r="H37" s="370" t="s">
        <v>54</v>
      </c>
      <c r="I37" s="371"/>
      <c r="J37" s="370" t="s">
        <v>274</v>
      </c>
      <c r="K37" s="371"/>
      <c r="L37" s="385" t="s">
        <v>55</v>
      </c>
      <c r="M37" s="392"/>
      <c r="N37" s="370" t="s">
        <v>187</v>
      </c>
      <c r="O37" s="371"/>
      <c r="P37" s="385" t="s">
        <v>56</v>
      </c>
      <c r="Q37" s="386"/>
      <c r="R37" s="411" t="s">
        <v>56</v>
      </c>
      <c r="S37" s="412"/>
    </row>
    <row r="38" spans="1:19" ht="13.5" customHeight="1">
      <c r="B38" s="376"/>
      <c r="C38" s="373"/>
      <c r="D38" s="348"/>
      <c r="E38" s="349"/>
      <c r="F38" s="348"/>
      <c r="G38" s="349"/>
      <c r="H38" s="364" t="s">
        <v>57</v>
      </c>
      <c r="I38" s="365"/>
      <c r="J38" s="444" t="s">
        <v>58</v>
      </c>
      <c r="K38" s="445"/>
      <c r="L38" s="359" t="s">
        <v>62</v>
      </c>
      <c r="M38" s="360"/>
      <c r="N38" s="405"/>
      <c r="O38" s="406"/>
      <c r="P38" s="359" t="s">
        <v>63</v>
      </c>
      <c r="Q38" s="387"/>
      <c r="R38" s="411"/>
      <c r="S38" s="412"/>
    </row>
    <row r="39" spans="1:19" ht="13.5" customHeight="1">
      <c r="B39" s="377"/>
      <c r="C39" s="378"/>
      <c r="D39" s="362">
        <f>IF(F17='Data Validation'!C5,0,IF(F17='Data Validation'!C6,F21,IF(F17='Data Validation'!C7,'Blasting charts'!E4)))</f>
        <v>0</v>
      </c>
      <c r="E39" s="363"/>
      <c r="F39" s="362">
        <f>IF(F27='Data Validation'!E16,0,IF(F27='Data Validation'!E17,K27*D39,IF(F27='Data Validation'!E18,K27)))</f>
        <v>0</v>
      </c>
      <c r="G39" s="363"/>
      <c r="H39" s="442">
        <v>8760</v>
      </c>
      <c r="I39" s="443"/>
      <c r="J39" s="388"/>
      <c r="K39" s="390"/>
      <c r="L39" s="388"/>
      <c r="M39" s="390"/>
      <c r="N39" s="430"/>
      <c r="O39" s="431"/>
      <c r="P39" s="388"/>
      <c r="Q39" s="389"/>
      <c r="R39" s="413"/>
      <c r="S39" s="414"/>
    </row>
    <row r="40" spans="1:19" ht="13.5" customHeight="1">
      <c r="B40" s="98" t="s">
        <v>183</v>
      </c>
      <c r="C40" s="99"/>
      <c r="D40" s="97"/>
      <c r="E40" s="95"/>
      <c r="F40" s="95"/>
      <c r="G40" s="95"/>
      <c r="H40" s="96"/>
      <c r="I40" s="109"/>
      <c r="J40" s="110"/>
      <c r="K40" s="110"/>
      <c r="L40" s="110"/>
      <c r="M40" s="110"/>
      <c r="N40" s="123"/>
      <c r="O40" s="123"/>
      <c r="P40" s="110"/>
      <c r="Q40" s="110"/>
      <c r="R40" s="122"/>
      <c r="S40" s="111"/>
    </row>
    <row r="41" spans="1:19" ht="13.5" customHeight="1">
      <c r="B41" s="352" t="s">
        <v>45</v>
      </c>
      <c r="C41" s="353"/>
      <c r="D41" s="51"/>
      <c r="E41" s="42"/>
      <c r="F41" s="42"/>
      <c r="G41" s="43"/>
      <c r="H41" s="43"/>
      <c r="I41" s="44"/>
      <c r="J41" s="379">
        <f>IF(F7="Choose one",0,IF(F7='Blasting charts'!B23,'Blasting charts'!C23,IF(F7='Blasting charts'!B24,'Blasting charts'!C24,IF(F7='Blasting charts'!B25,'Blasting charts'!C25,IF(F7='Blasting charts'!B26,'Blasting charts'!C26)))))</f>
        <v>0</v>
      </c>
      <c r="K41" s="380"/>
      <c r="L41" s="357">
        <f>$D$39*$H$39*J41/2000</f>
        <v>0</v>
      </c>
      <c r="M41" s="358">
        <f>D$39*H$39*J41/2000</f>
        <v>0</v>
      </c>
      <c r="N41" s="426">
        <f>'Blasting charts'!K31</f>
        <v>0</v>
      </c>
      <c r="O41" s="427"/>
      <c r="P41" s="357">
        <f>F$39*J41*(1-N41)/2000</f>
        <v>0</v>
      </c>
      <c r="Q41" s="358"/>
      <c r="R41" s="415">
        <v>1</v>
      </c>
      <c r="S41" s="416"/>
    </row>
    <row r="42" spans="1:19" ht="13.5" customHeight="1">
      <c r="B42" s="352" t="s">
        <v>46</v>
      </c>
      <c r="C42" s="353"/>
      <c r="D42" s="51"/>
      <c r="E42" s="42"/>
      <c r="F42" s="42"/>
      <c r="G42" s="43"/>
      <c r="H42" s="43"/>
      <c r="I42" s="44"/>
      <c r="J42" s="379">
        <f>IF(F7='Data Validation'!B5,0,IF(F7='Blasting charts'!B23,'Blasting charts'!D23,IF(F7='Blasting charts'!B24,'Blasting charts'!C24,IF(F7='Blasting charts'!B25,'Blasting charts'!D25,IF(F7='Blasting charts'!B26,'Blasting charts'!D26)))))</f>
        <v>0</v>
      </c>
      <c r="K42" s="380"/>
      <c r="L42" s="357">
        <f t="shared" ref="L42:L43" si="0">$D$39*$H$39*J42/2000</f>
        <v>0</v>
      </c>
      <c r="M42" s="358">
        <f t="shared" ref="M42:M43" si="1">D$39*H$39*J42/2000</f>
        <v>0</v>
      </c>
      <c r="N42" s="426">
        <f>'Blasting charts'!L31</f>
        <v>0</v>
      </c>
      <c r="O42" s="427"/>
      <c r="P42" s="357">
        <f t="shared" ref="P42:P43" si="2">F$39*J42*(1-N42)/2000</f>
        <v>0</v>
      </c>
      <c r="Q42" s="358"/>
      <c r="R42" s="415">
        <v>1</v>
      </c>
      <c r="S42" s="416"/>
    </row>
    <row r="43" spans="1:19" s="2" customFormat="1">
      <c r="A43" s="9"/>
      <c r="B43" s="354" t="s">
        <v>47</v>
      </c>
      <c r="C43" s="355"/>
      <c r="D43" s="100"/>
      <c r="E43" s="101"/>
      <c r="F43" s="101"/>
      <c r="G43" s="102"/>
      <c r="H43" s="102"/>
      <c r="I43" s="103"/>
      <c r="J43" s="424">
        <f>J42</f>
        <v>0</v>
      </c>
      <c r="K43" s="425"/>
      <c r="L43" s="357">
        <f t="shared" si="0"/>
        <v>0</v>
      </c>
      <c r="M43" s="358">
        <f t="shared" si="1"/>
        <v>0</v>
      </c>
      <c r="N43" s="428"/>
      <c r="O43" s="429"/>
      <c r="P43" s="357">
        <f t="shared" si="2"/>
        <v>0</v>
      </c>
      <c r="Q43" s="358"/>
      <c r="R43" s="417"/>
      <c r="S43" s="418"/>
    </row>
    <row r="44" spans="1:19" s="2" customFormat="1" ht="14.25">
      <c r="A44" s="9"/>
      <c r="B44" s="104" t="s">
        <v>188</v>
      </c>
      <c r="C44" s="105"/>
      <c r="D44" s="106"/>
      <c r="E44" s="107"/>
      <c r="F44" s="107"/>
      <c r="G44" s="108"/>
      <c r="H44" s="361" t="s">
        <v>189</v>
      </c>
      <c r="I44" s="361"/>
      <c r="J44" s="361" t="s">
        <v>284</v>
      </c>
      <c r="K44" s="361"/>
      <c r="L44" s="116"/>
      <c r="M44" s="116"/>
      <c r="N44" s="124"/>
      <c r="O44" s="124"/>
      <c r="P44" s="116"/>
      <c r="Q44" s="116"/>
      <c r="R44" s="112"/>
      <c r="S44" s="113"/>
    </row>
    <row r="45" spans="1:19" s="2" customFormat="1">
      <c r="A45" s="9"/>
      <c r="B45" s="356"/>
      <c r="C45" s="329"/>
      <c r="D45" s="51"/>
      <c r="E45" s="42"/>
      <c r="F45" s="42"/>
      <c r="G45" s="43"/>
      <c r="H45" s="396"/>
      <c r="I45" s="397"/>
      <c r="J45" s="366">
        <f>$J$41*H45</f>
        <v>0</v>
      </c>
      <c r="K45" s="367"/>
      <c r="L45" s="368">
        <f>$D$39*$H$39*$J45/2000</f>
        <v>0</v>
      </c>
      <c r="M45" s="369">
        <f t="shared" ref="M45" si="3">D$39*H$39*J45/2000</f>
        <v>0</v>
      </c>
      <c r="N45" s="393"/>
      <c r="O45" s="394"/>
      <c r="P45" s="368">
        <f>F$39*$J45*(1-N45)/2000</f>
        <v>0</v>
      </c>
      <c r="Q45" s="395"/>
      <c r="R45" s="112"/>
      <c r="S45" s="113"/>
    </row>
    <row r="46" spans="1:19" s="2" customFormat="1">
      <c r="A46" s="9"/>
      <c r="B46" s="356"/>
      <c r="C46" s="329"/>
      <c r="D46" s="51"/>
      <c r="E46" s="42"/>
      <c r="F46" s="42"/>
      <c r="G46" s="43"/>
      <c r="H46" s="396"/>
      <c r="I46" s="397"/>
      <c r="J46" s="366">
        <f t="shared" ref="J46:J47" si="4">$J$41*H46</f>
        <v>0</v>
      </c>
      <c r="K46" s="367"/>
      <c r="L46" s="368">
        <f t="shared" ref="L46:L47" si="5">$D$39*$H$39*$J46/2000</f>
        <v>0</v>
      </c>
      <c r="M46" s="369">
        <f t="shared" ref="M46:M47" si="6">D$39*H$39*J46/2000</f>
        <v>0</v>
      </c>
      <c r="N46" s="393"/>
      <c r="O46" s="394"/>
      <c r="P46" s="368">
        <f t="shared" ref="P46:P50" si="7">F$39*$J46*(1-N46)/2000</f>
        <v>0</v>
      </c>
      <c r="Q46" s="395"/>
      <c r="R46" s="112"/>
      <c r="S46" s="113"/>
    </row>
    <row r="47" spans="1:19" s="2" customFormat="1">
      <c r="A47" s="9"/>
      <c r="B47" s="356"/>
      <c r="C47" s="329"/>
      <c r="D47" s="51"/>
      <c r="E47" s="42"/>
      <c r="F47" s="42"/>
      <c r="G47" s="43"/>
      <c r="H47" s="396"/>
      <c r="I47" s="397"/>
      <c r="J47" s="366">
        <f t="shared" si="4"/>
        <v>0</v>
      </c>
      <c r="K47" s="367"/>
      <c r="L47" s="368">
        <f t="shared" si="5"/>
        <v>0</v>
      </c>
      <c r="M47" s="369">
        <f t="shared" si="6"/>
        <v>0</v>
      </c>
      <c r="N47" s="393"/>
      <c r="O47" s="394"/>
      <c r="P47" s="368">
        <f t="shared" si="7"/>
        <v>0</v>
      </c>
      <c r="Q47" s="395"/>
      <c r="R47" s="112"/>
      <c r="S47" s="113"/>
    </row>
    <row r="48" spans="1:19" s="2" customFormat="1">
      <c r="A48" s="9"/>
      <c r="B48" s="356"/>
      <c r="C48" s="329"/>
      <c r="D48" s="51"/>
      <c r="E48" s="42"/>
      <c r="F48" s="42"/>
      <c r="G48" s="43"/>
      <c r="H48" s="396"/>
      <c r="I48" s="397"/>
      <c r="J48" s="366">
        <f t="shared" ref="J48:J50" si="8">$J$41*H48</f>
        <v>0</v>
      </c>
      <c r="K48" s="367"/>
      <c r="L48" s="368">
        <f t="shared" ref="L48:L50" si="9">$D$39*$H$39*$J48/2000</f>
        <v>0</v>
      </c>
      <c r="M48" s="369">
        <f t="shared" ref="M48:M50" si="10">D$39*H$39*J48/2000</f>
        <v>0</v>
      </c>
      <c r="N48" s="393"/>
      <c r="O48" s="394"/>
      <c r="P48" s="368">
        <f t="shared" si="7"/>
        <v>0</v>
      </c>
      <c r="Q48" s="395"/>
      <c r="R48" s="112"/>
      <c r="S48" s="113"/>
    </row>
    <row r="49" spans="1:19" s="2" customFormat="1">
      <c r="A49" s="9"/>
      <c r="B49" s="356"/>
      <c r="C49" s="329"/>
      <c r="D49" s="51"/>
      <c r="E49" s="42"/>
      <c r="F49" s="42"/>
      <c r="G49" s="43"/>
      <c r="H49" s="396"/>
      <c r="I49" s="397"/>
      <c r="J49" s="366">
        <f t="shared" si="8"/>
        <v>0</v>
      </c>
      <c r="K49" s="367"/>
      <c r="L49" s="368">
        <f t="shared" si="9"/>
        <v>0</v>
      </c>
      <c r="M49" s="369">
        <f t="shared" si="10"/>
        <v>0</v>
      </c>
      <c r="N49" s="393"/>
      <c r="O49" s="394"/>
      <c r="P49" s="368">
        <f t="shared" si="7"/>
        <v>0</v>
      </c>
      <c r="Q49" s="395"/>
      <c r="R49" s="112"/>
      <c r="S49" s="113"/>
    </row>
    <row r="50" spans="1:19" s="2" customFormat="1" ht="13.5" thickBot="1">
      <c r="A50" s="9"/>
      <c r="B50" s="420"/>
      <c r="C50" s="421"/>
      <c r="D50" s="52"/>
      <c r="E50" s="45"/>
      <c r="F50" s="45"/>
      <c r="G50" s="46"/>
      <c r="H50" s="422"/>
      <c r="I50" s="423"/>
      <c r="J50" s="366">
        <f t="shared" si="8"/>
        <v>0</v>
      </c>
      <c r="K50" s="367"/>
      <c r="L50" s="368">
        <f t="shared" si="9"/>
        <v>0</v>
      </c>
      <c r="M50" s="369">
        <f t="shared" si="10"/>
        <v>0</v>
      </c>
      <c r="N50" s="393"/>
      <c r="O50" s="394"/>
      <c r="P50" s="368">
        <f t="shared" si="7"/>
        <v>0</v>
      </c>
      <c r="Q50" s="395"/>
      <c r="R50" s="114"/>
      <c r="S50" s="115"/>
    </row>
    <row r="51" spans="1:19" s="2" customFormat="1" ht="12.95" customHeight="1">
      <c r="A51" s="9"/>
      <c r="B51" s="419" t="s">
        <v>235</v>
      </c>
      <c r="C51" s="419"/>
      <c r="D51" s="419"/>
      <c r="E51" s="419"/>
      <c r="F51" s="419"/>
      <c r="G51" s="419"/>
      <c r="H51" s="419"/>
      <c r="I51" s="419"/>
      <c r="J51" s="419"/>
      <c r="K51" s="419"/>
      <c r="L51" s="419"/>
      <c r="M51" s="419"/>
      <c r="N51" s="419"/>
      <c r="O51" s="419"/>
      <c r="P51" s="419"/>
      <c r="Q51" s="419"/>
      <c r="R51" s="419"/>
      <c r="S51" s="419"/>
    </row>
    <row r="52" spans="1:19" ht="12.6" customHeight="1">
      <c r="B52" s="322" t="s">
        <v>236</v>
      </c>
      <c r="C52" s="322"/>
      <c r="D52" s="322"/>
      <c r="E52" s="322"/>
      <c r="F52" s="322"/>
      <c r="G52" s="322"/>
      <c r="H52" s="322"/>
      <c r="I52" s="322"/>
      <c r="J52" s="323" t="s">
        <v>327</v>
      </c>
      <c r="K52" s="323"/>
      <c r="L52" s="323"/>
      <c r="M52" s="323"/>
      <c r="N52" s="323"/>
      <c r="O52" s="323"/>
      <c r="P52" s="323"/>
      <c r="Q52" s="323"/>
      <c r="R52" s="323"/>
      <c r="S52" s="323"/>
    </row>
    <row r="53" spans="1:19" s="2" customFormat="1">
      <c r="B53" s="322" t="s">
        <v>237</v>
      </c>
      <c r="C53" s="381"/>
      <c r="D53" s="381"/>
      <c r="E53" s="381"/>
      <c r="F53" s="381"/>
      <c r="G53" s="381"/>
      <c r="H53" s="381"/>
      <c r="I53" s="381"/>
      <c r="J53" s="381"/>
      <c r="K53" s="381"/>
      <c r="L53" s="381"/>
      <c r="M53" s="381"/>
      <c r="N53" s="381"/>
      <c r="O53" s="381"/>
      <c r="P53" s="381"/>
      <c r="Q53" s="131"/>
      <c r="R53" s="131"/>
      <c r="S53" s="131"/>
    </row>
  </sheetData>
  <protectedRanges>
    <protectedRange sqref="Q1:AZ1 R2:BA2" name="Range2_1"/>
  </protectedRanges>
  <mergeCells count="144">
    <mergeCell ref="J43:K43"/>
    <mergeCell ref="N41:O41"/>
    <mergeCell ref="N42:O42"/>
    <mergeCell ref="N43:O43"/>
    <mergeCell ref="N39:O39"/>
    <mergeCell ref="B1:S1"/>
    <mergeCell ref="H44:I44"/>
    <mergeCell ref="H45:I45"/>
    <mergeCell ref="J18:K20"/>
    <mergeCell ref="J21:K22"/>
    <mergeCell ref="J7:K7"/>
    <mergeCell ref="L7:O7"/>
    <mergeCell ref="L18:O20"/>
    <mergeCell ref="L21:O22"/>
    <mergeCell ref="L17:O17"/>
    <mergeCell ref="H39:I39"/>
    <mergeCell ref="J38:K38"/>
    <mergeCell ref="H37:I37"/>
    <mergeCell ref="L9:O9"/>
    <mergeCell ref="L10:O10"/>
    <mergeCell ref="L11:O11"/>
    <mergeCell ref="J17:K17"/>
    <mergeCell ref="P18:R22"/>
    <mergeCell ref="P17:R17"/>
    <mergeCell ref="H35:I36"/>
    <mergeCell ref="P42:Q42"/>
    <mergeCell ref="R42:S42"/>
    <mergeCell ref="R43:S43"/>
    <mergeCell ref="P41:Q41"/>
    <mergeCell ref="J47:K47"/>
    <mergeCell ref="L47:M47"/>
    <mergeCell ref="B51:S51"/>
    <mergeCell ref="N45:O45"/>
    <mergeCell ref="N48:O48"/>
    <mergeCell ref="B50:C50"/>
    <mergeCell ref="H50:I50"/>
    <mergeCell ref="B48:C48"/>
    <mergeCell ref="L48:M48"/>
    <mergeCell ref="P48:Q48"/>
    <mergeCell ref="J48:K48"/>
    <mergeCell ref="B46:C46"/>
    <mergeCell ref="B47:C47"/>
    <mergeCell ref="N47:O47"/>
    <mergeCell ref="P47:Q47"/>
    <mergeCell ref="P45:Q45"/>
    <mergeCell ref="H47:I47"/>
    <mergeCell ref="H46:I46"/>
    <mergeCell ref="J46:K46"/>
    <mergeCell ref="G29:J29"/>
    <mergeCell ref="F27:J27"/>
    <mergeCell ref="C21:E21"/>
    <mergeCell ref="B33:S33"/>
    <mergeCell ref="G30:J30"/>
    <mergeCell ref="K29:L30"/>
    <mergeCell ref="M29:S30"/>
    <mergeCell ref="L46:M46"/>
    <mergeCell ref="N46:O46"/>
    <mergeCell ref="P46:Q46"/>
    <mergeCell ref="P43:Q43"/>
    <mergeCell ref="N34:O34"/>
    <mergeCell ref="N35:O36"/>
    <mergeCell ref="N37:O37"/>
    <mergeCell ref="N38:O38"/>
    <mergeCell ref="R35:S36"/>
    <mergeCell ref="R34:S34"/>
    <mergeCell ref="R37:S37"/>
    <mergeCell ref="H34:I34"/>
    <mergeCell ref="J35:K36"/>
    <mergeCell ref="J37:K37"/>
    <mergeCell ref="R38:S39"/>
    <mergeCell ref="R41:S41"/>
    <mergeCell ref="J41:K41"/>
    <mergeCell ref="J42:K42"/>
    <mergeCell ref="B53:P53"/>
    <mergeCell ref="P34:Q34"/>
    <mergeCell ref="P35:Q36"/>
    <mergeCell ref="P37:Q37"/>
    <mergeCell ref="P38:Q38"/>
    <mergeCell ref="P39:Q39"/>
    <mergeCell ref="J39:K39"/>
    <mergeCell ref="J34:K34"/>
    <mergeCell ref="L34:M34"/>
    <mergeCell ref="L35:M36"/>
    <mergeCell ref="L37:M37"/>
    <mergeCell ref="N49:O49"/>
    <mergeCell ref="N50:O50"/>
    <mergeCell ref="J50:K50"/>
    <mergeCell ref="L50:M50"/>
    <mergeCell ref="P50:Q50"/>
    <mergeCell ref="B49:C49"/>
    <mergeCell ref="J49:K49"/>
    <mergeCell ref="H48:I48"/>
    <mergeCell ref="H49:I49"/>
    <mergeCell ref="L49:M49"/>
    <mergeCell ref="P49:Q49"/>
    <mergeCell ref="L39:M39"/>
    <mergeCell ref="J9:K9"/>
    <mergeCell ref="D38:E38"/>
    <mergeCell ref="F34:G34"/>
    <mergeCell ref="B42:C42"/>
    <mergeCell ref="B43:C43"/>
    <mergeCell ref="B41:C41"/>
    <mergeCell ref="B45:C45"/>
    <mergeCell ref="L41:M41"/>
    <mergeCell ref="L42:M42"/>
    <mergeCell ref="L43:M43"/>
    <mergeCell ref="L38:M38"/>
    <mergeCell ref="J44:K44"/>
    <mergeCell ref="F38:G38"/>
    <mergeCell ref="F39:G39"/>
    <mergeCell ref="H38:I38"/>
    <mergeCell ref="J45:K45"/>
    <mergeCell ref="L45:M45"/>
    <mergeCell ref="F37:G37"/>
    <mergeCell ref="F35:G36"/>
    <mergeCell ref="D35:E36"/>
    <mergeCell ref="D37:E37"/>
    <mergeCell ref="D39:E39"/>
    <mergeCell ref="B34:C39"/>
    <mergeCell ref="D34:E34"/>
    <mergeCell ref="B52:I52"/>
    <mergeCell ref="J52:S52"/>
    <mergeCell ref="B2:S2"/>
    <mergeCell ref="P8:R8"/>
    <mergeCell ref="P9:R9"/>
    <mergeCell ref="P10:R10"/>
    <mergeCell ref="P11:R11"/>
    <mergeCell ref="P7:R7"/>
    <mergeCell ref="K27:L27"/>
    <mergeCell ref="B17:E19"/>
    <mergeCell ref="F17:G19"/>
    <mergeCell ref="B26:L26"/>
    <mergeCell ref="F8:G8"/>
    <mergeCell ref="F7:G7"/>
    <mergeCell ref="B7:E7"/>
    <mergeCell ref="D22:H22"/>
    <mergeCell ref="B10:H12"/>
    <mergeCell ref="J8:K8"/>
    <mergeCell ref="J10:K10"/>
    <mergeCell ref="J11:K11"/>
    <mergeCell ref="F21:G21"/>
    <mergeCell ref="F23:G23"/>
    <mergeCell ref="F24:G24"/>
    <mergeCell ref="L8:O8"/>
  </mergeCells>
  <conditionalFormatting sqref="F21:H21 C21">
    <cfRule type="expression" dxfId="3" priority="12">
      <formula>$F$17="Nozzle parameters"</formula>
    </cfRule>
  </conditionalFormatting>
  <conditionalFormatting sqref="C23:H24">
    <cfRule type="expression" dxfId="2" priority="3">
      <formula>$F$17="Manufacturer maximum rate"</formula>
    </cfRule>
  </conditionalFormatting>
  <conditionalFormatting sqref="D22:H22">
    <cfRule type="expression" dxfId="1" priority="1">
      <formula>$F$17="Choose one"</formula>
    </cfRule>
    <cfRule type="expression" dxfId="0" priority="2">
      <formula>OR($F$17="Nozzle parameters",$F$17="Manufacturer maximum rate")</formula>
    </cfRule>
  </conditionalFormatting>
  <hyperlinks>
    <hyperlink ref="J52" r:id="rId1" display="https://www.pca.state.mn.us/sites/default/files/aq-ei4-32.xlsx" xr:uid="{CB723561-E0D1-4EB7-9E73-CFCA5F382E9E}"/>
  </hyperlinks>
  <pageMargins left="0.7" right="0.7" top="0.75" bottom="0.75" header="0.3" footer="0.3"/>
  <pageSetup scale="79" fitToHeight="0" orientation="landscape" r:id="rId2"/>
  <rowBreaks count="1" manualBreakCount="1">
    <brk id="32" min="1" max="18" man="1"/>
  </rowBreaks>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'Data Validation'!$B$5:$B$9</xm:f>
          </x14:formula1>
          <xm:sqref>F7</xm:sqref>
        </x14:dataValidation>
        <x14:dataValidation type="list" allowBlank="1" showInputMessage="1" showErrorMessage="1" xr:uid="{00000000-0002-0000-0400-000001000000}">
          <x14:formula1>
            <xm:f>'Data Validation'!$C$5:$C$7</xm:f>
          </x14:formula1>
          <xm:sqref>F17:G19</xm:sqref>
        </x14:dataValidation>
        <x14:dataValidation type="list" allowBlank="1" showInputMessage="1" showErrorMessage="1" xr:uid="{00000000-0002-0000-0400-000002000000}">
          <x14:formula1>
            <xm:f>'Data Validation'!$E$5:$E$12</xm:f>
          </x14:formula1>
          <xm:sqref>G29:J29</xm:sqref>
        </x14:dataValidation>
        <x14:dataValidation type="list" allowBlank="1" showInputMessage="1" showErrorMessage="1" xr:uid="{00000000-0002-0000-0400-000003000000}">
          <x14:formula1>
            <xm:f>'Data Validation'!$F$5:$F$8</xm:f>
          </x14:formula1>
          <xm:sqref>G30</xm:sqref>
        </x14:dataValidation>
        <x14:dataValidation type="list" allowBlank="1" showInputMessage="1" showErrorMessage="1" xr:uid="{00000000-0002-0000-0400-000004000000}">
          <x14:formula1>
            <xm:f>'Data Validation'!$E$16:$E$18</xm:f>
          </x14:formula1>
          <xm:sqref>F27:J27</xm:sqref>
        </x14:dataValidation>
        <x14:dataValidation type="list" allowBlank="1" showInputMessage="1" showErrorMessage="1" xr:uid="{00000000-0002-0000-0400-000005000000}">
          <x14:formula1>
            <xm:f>'Data Validation'!$B$18:$B$28</xm:f>
          </x14:formula1>
          <xm:sqref>F23:G23</xm:sqref>
        </x14:dataValidation>
        <x14:dataValidation type="list" allowBlank="1" showInputMessage="1" showErrorMessage="1" xr:uid="{00000000-0002-0000-0400-000006000000}">
          <x14:formula1>
            <xm:f>'Data Validation'!$C$18:$C$30</xm:f>
          </x14:formula1>
          <xm:sqref>F24:G24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249977111117893"/>
  </sheetPr>
  <dimension ref="A1:U53"/>
  <sheetViews>
    <sheetView showGridLines="0" zoomScaleNormal="100" workbookViewId="0">
      <selection activeCell="B2" sqref="B2:N2"/>
    </sheetView>
  </sheetViews>
  <sheetFormatPr defaultRowHeight="12.75"/>
  <cols>
    <col min="1" max="1" width="3.7109375" customWidth="1"/>
    <col min="2" max="2" width="20.42578125" customWidth="1"/>
    <col min="3" max="3" width="11.28515625" customWidth="1"/>
    <col min="4" max="4" width="12.7109375" customWidth="1"/>
    <col min="5" max="10" width="11.28515625" customWidth="1"/>
    <col min="15" max="15" width="11.42578125" customWidth="1"/>
    <col min="17" max="17" width="11.5703125" bestFit="1" customWidth="1"/>
    <col min="18" max="18" width="11.28515625" bestFit="1" customWidth="1"/>
    <col min="19" max="19" width="12.28515625" bestFit="1" customWidth="1"/>
    <col min="20" max="20" width="17" bestFit="1" customWidth="1"/>
  </cols>
  <sheetData>
    <row r="1" spans="1:21">
      <c r="A1" s="23"/>
      <c r="B1" s="228" t="str">
        <f>Instructions!O4</f>
        <v>p-sbap5-19  •  6/5/23</v>
      </c>
      <c r="C1" s="228"/>
      <c r="D1" s="228"/>
      <c r="E1" s="228"/>
      <c r="F1" s="228"/>
      <c r="G1" s="228"/>
      <c r="H1" s="228"/>
      <c r="I1" s="228"/>
      <c r="J1" s="228"/>
      <c r="K1" s="228"/>
      <c r="L1" s="228"/>
      <c r="M1" s="228"/>
      <c r="N1" s="228"/>
      <c r="O1" s="186"/>
    </row>
    <row r="2" spans="1:21" ht="19.5" thickBot="1">
      <c r="A2" s="23"/>
      <c r="B2" s="229" t="s">
        <v>40</v>
      </c>
      <c r="C2" s="229"/>
      <c r="D2" s="229"/>
      <c r="E2" s="229"/>
      <c r="F2" s="229"/>
      <c r="G2" s="229"/>
      <c r="H2" s="229"/>
      <c r="I2" s="229"/>
      <c r="J2" s="229"/>
      <c r="K2" s="229"/>
      <c r="L2" s="229"/>
      <c r="M2" s="229"/>
      <c r="N2" s="229"/>
    </row>
    <row r="4" spans="1:21" ht="18">
      <c r="B4" s="35" t="s">
        <v>41</v>
      </c>
      <c r="C4" s="2"/>
      <c r="D4" s="31"/>
      <c r="E4" s="160">
        <f>IF(T7='Data Validation'!B5,0,S7*('Abrasive Blasting'!F8/99))</f>
        <v>0</v>
      </c>
      <c r="F4" s="161" t="s">
        <v>273</v>
      </c>
      <c r="G4" s="2"/>
      <c r="H4" s="2"/>
      <c r="I4" s="2"/>
      <c r="J4" s="2"/>
    </row>
    <row r="5" spans="1:21" ht="12.75" customHeight="1">
      <c r="B5" s="447" t="s">
        <v>42</v>
      </c>
      <c r="C5" s="449" t="s">
        <v>43</v>
      </c>
      <c r="D5" s="449"/>
      <c r="E5" s="449"/>
      <c r="F5" s="449"/>
      <c r="G5" s="449"/>
      <c r="H5" s="449"/>
      <c r="I5" s="449"/>
      <c r="J5" s="449"/>
      <c r="K5" s="449"/>
      <c r="L5" s="449"/>
      <c r="M5" s="449"/>
      <c r="N5" s="449"/>
      <c r="U5" s="446"/>
    </row>
    <row r="6" spans="1:21">
      <c r="B6" s="447"/>
      <c r="C6" s="449"/>
      <c r="D6" s="449"/>
      <c r="E6" s="449"/>
      <c r="F6" s="449"/>
      <c r="G6" s="449"/>
      <c r="H6" s="449"/>
      <c r="I6" s="449"/>
      <c r="J6" s="449"/>
      <c r="K6" s="449"/>
      <c r="L6" s="449"/>
      <c r="M6" s="449"/>
      <c r="N6" s="449"/>
      <c r="Q6" s="162" t="s">
        <v>269</v>
      </c>
      <c r="R6" s="162" t="s">
        <v>270</v>
      </c>
      <c r="S6" s="162" t="s">
        <v>271</v>
      </c>
      <c r="T6" s="162" t="s">
        <v>272</v>
      </c>
      <c r="U6" s="446"/>
    </row>
    <row r="7" spans="1:21" ht="15">
      <c r="B7" s="448"/>
      <c r="C7" s="36">
        <v>30</v>
      </c>
      <c r="D7" s="30">
        <v>40</v>
      </c>
      <c r="E7" s="30">
        <v>50</v>
      </c>
      <c r="F7" s="30">
        <v>60</v>
      </c>
      <c r="G7" s="30">
        <v>70</v>
      </c>
      <c r="H7" s="30">
        <v>80</v>
      </c>
      <c r="I7" s="30">
        <v>90</v>
      </c>
      <c r="J7" s="30">
        <v>100</v>
      </c>
      <c r="K7" s="30">
        <v>110</v>
      </c>
      <c r="L7" s="30">
        <v>120</v>
      </c>
      <c r="M7" s="30">
        <v>130</v>
      </c>
      <c r="N7" s="30">
        <v>140</v>
      </c>
      <c r="O7" s="30" t="s">
        <v>309</v>
      </c>
      <c r="P7" s="30" t="s">
        <v>260</v>
      </c>
      <c r="Q7" s="164">
        <f>SUM(Q8:Q21)</f>
        <v>0</v>
      </c>
      <c r="R7" s="163">
        <f>SUM(R8:R21)</f>
        <v>0</v>
      </c>
      <c r="S7" s="163">
        <f>SUM(S8:S22)</f>
        <v>0</v>
      </c>
      <c r="T7" s="165" t="str">
        <f>'Abrasive Blasting'!F7</f>
        <v>Choose one</v>
      </c>
      <c r="U7" s="159"/>
    </row>
    <row r="8" spans="1:21">
      <c r="B8" s="33">
        <v>0.125</v>
      </c>
      <c r="C8" s="32">
        <v>28</v>
      </c>
      <c r="D8" s="7">
        <v>35</v>
      </c>
      <c r="E8" s="7">
        <v>42</v>
      </c>
      <c r="F8" s="7">
        <v>49</v>
      </c>
      <c r="G8" s="7">
        <v>55</v>
      </c>
      <c r="H8" s="7">
        <v>63</v>
      </c>
      <c r="I8" s="7">
        <v>70</v>
      </c>
      <c r="J8" s="7">
        <v>77</v>
      </c>
      <c r="K8" s="152">
        <f>J8*((K$7+14)/(J$7+14))</f>
        <v>83.754385964912288</v>
      </c>
      <c r="L8" s="152">
        <f>J8*(L7+14)/(J7+14)</f>
        <v>90.508771929824562</v>
      </c>
      <c r="M8" s="152">
        <f>K8*(M7+14)/(K7+14)</f>
        <v>97.26315789473685</v>
      </c>
      <c r="N8" s="152">
        <f>L8*(N7+14)/(L7+14)</f>
        <v>104.01754385964912</v>
      </c>
      <c r="O8">
        <v>14</v>
      </c>
      <c r="P8" s="147">
        <f>(1/4)*PI()*(0.125^2)</f>
        <v>1.2271846303085129E-2</v>
      </c>
      <c r="Q8" t="str">
        <f>IF('Abrasive Blasting'!$F$23='Blasting charts'!B8,1," ")</f>
        <v xml:space="preserve"> </v>
      </c>
      <c r="R8" t="str">
        <f>IF('Abrasive Blasting'!$F$24='Blasting charts'!C$7,1," ")</f>
        <v xml:space="preserve"> </v>
      </c>
      <c r="S8">
        <f>IF(AND($Q$7=1,$R$7=1),C8,IF(AND($Q$7=1,$R$7=2),D8,IF(AND($Q$7=1,$R$7=3),E8,IF(AND($Q$7=1,$R$7=4),F8,IF(AND($Q$7=1,$R$7=5),G8,IF(AND($Q$7=1,$R$7=6),H8,IF(AND($Q$7=1,$R$7=7),I8,IF(AND($Q$7=1,$R$7=8),J8,IF(AND($Q$7=1,$R$7=9),K8,IF(AND($Q$7=1,$R$7=10),L8,IF(AND($Q$7=1,$R$7=11),M8,IF(AND($Q$7=1,$R$7=12),N8,0))))))))))))</f>
        <v>0</v>
      </c>
    </row>
    <row r="9" spans="1:21">
      <c r="B9" s="33">
        <v>0.1875</v>
      </c>
      <c r="C9" s="32">
        <v>65</v>
      </c>
      <c r="D9" s="7">
        <v>80</v>
      </c>
      <c r="E9" s="7">
        <v>94</v>
      </c>
      <c r="F9" s="7">
        <v>107</v>
      </c>
      <c r="G9" s="7">
        <v>122</v>
      </c>
      <c r="H9" s="7">
        <v>135</v>
      </c>
      <c r="I9" s="7">
        <v>149</v>
      </c>
      <c r="J9" s="7">
        <v>165</v>
      </c>
      <c r="K9" s="152">
        <f>J9*(K$7+$O9)/(J$7+$O9)</f>
        <v>177.54752851711027</v>
      </c>
      <c r="L9" s="152">
        <f>K9*(L$7+$O9)/(K$7+$O9)</f>
        <v>190.09505703422053</v>
      </c>
      <c r="M9" s="152">
        <f>L9*(M$7+$O9)/(L$7+$O9)</f>
        <v>202.6425855513308</v>
      </c>
      <c r="N9" s="152">
        <f>M9*(N$7+$O9)/(M$7+$O9)</f>
        <v>215.19011406844106</v>
      </c>
      <c r="O9">
        <f>O8/P8*P9</f>
        <v>31.500000000000004</v>
      </c>
      <c r="P9" s="147">
        <f>(1/4)*PI()*((3/16)^2)</f>
        <v>2.7611654181941541E-2</v>
      </c>
      <c r="Q9" t="str">
        <f>IF('Abrasive Blasting'!$F$23='Blasting charts'!B9,2," ")</f>
        <v xml:space="preserve"> </v>
      </c>
      <c r="R9" t="str">
        <f>IF('Abrasive Blasting'!$F$24='Blasting charts'!D$7,2," ")</f>
        <v xml:space="preserve"> </v>
      </c>
      <c r="S9">
        <f>IF(AND($Q$7=2,$R$7=1),C9,IF(AND($Q$7=2,$R$7=2),D9,IF(AND($Q$7=2,$R$7=3),E9,IF(AND($Q$7=2,$R$7=4),F9,IF(AND($Q$7=2,$R$7=5),G9,IF(AND($Q$7=2,$R$7=6),H9,IF(AND($Q$7=2,$R$7=7),I9,IF(AND($Q$7=2,$R$7=8),J9,IF(AND($Q$7=2,$R$7=9),K9,IF(AND($Q$7=2,$R$7=10),L9,IF(AND($Q$7=2,$R$7=11),M9,IF(AND($Q$7=2,$R$7=12),N9,0))))))))))))</f>
        <v>0</v>
      </c>
    </row>
    <row r="10" spans="1:21">
      <c r="B10" s="33">
        <v>0.25</v>
      </c>
      <c r="C10" s="32">
        <v>109</v>
      </c>
      <c r="D10" s="7">
        <v>138</v>
      </c>
      <c r="E10" s="7">
        <v>168</v>
      </c>
      <c r="F10" s="7">
        <v>195</v>
      </c>
      <c r="G10" s="7">
        <v>221</v>
      </c>
      <c r="H10" s="7">
        <v>255</v>
      </c>
      <c r="I10" s="7">
        <v>280</v>
      </c>
      <c r="J10" s="7">
        <v>309</v>
      </c>
      <c r="K10" s="152">
        <f t="shared" ref="K10:N17" si="0">J10*(K$7+$O10)/(J$7+$O10)</f>
        <v>328.80769230769232</v>
      </c>
      <c r="L10" s="152">
        <f t="shared" si="0"/>
        <v>348.61538461538464</v>
      </c>
      <c r="M10" s="152">
        <f t="shared" si="0"/>
        <v>368.42307692307696</v>
      </c>
      <c r="N10" s="152">
        <f t="shared" si="0"/>
        <v>388.23076923076923</v>
      </c>
      <c r="O10">
        <f t="shared" ref="O10:O17" si="1">O9/P9*P10</f>
        <v>56.000000000000007</v>
      </c>
      <c r="P10" s="147">
        <f>(1/4)*PI()*(0.25^2)</f>
        <v>4.9087385212340517E-2</v>
      </c>
      <c r="Q10" t="str">
        <f>IF('Abrasive Blasting'!$F$23='Blasting charts'!B10,3," ")</f>
        <v xml:space="preserve"> </v>
      </c>
      <c r="R10" t="str">
        <f>IF('Abrasive Blasting'!$F$24='Blasting charts'!E$7,3," ")</f>
        <v xml:space="preserve"> </v>
      </c>
      <c r="S10">
        <f>IF(AND($Q$7=3,$R$7=1),C10,IF(AND($Q$7=3,$R$7=2),D10,IF(AND($Q$7=3,$R$7=3),E10,IF(AND($Q$7=3,$R$7=4),F10,IF(AND($Q$7=3,$R$7=5),G10,IF(AND($Q$7=3,$R$7=6),H10,IF(AND($Q$7=3,$R$7=7),I10,IF(AND($Q$7=3,$R$7=8),J10,IF(AND($Q$7=3,$R$7=9),K10,IF(AND($Q$7=3,$R$7=10),L10,IF(AND($Q$7=3,$R$7=11),M10,IF(AND($Q$7=3,$R$7=12),N10,0))))))))))))</f>
        <v>0</v>
      </c>
    </row>
    <row r="11" spans="1:21">
      <c r="B11" s="33">
        <v>0.3125</v>
      </c>
      <c r="C11" s="7">
        <v>205</v>
      </c>
      <c r="D11" s="7">
        <v>247</v>
      </c>
      <c r="E11" s="7">
        <v>292</v>
      </c>
      <c r="F11" s="7">
        <v>354</v>
      </c>
      <c r="G11" s="7">
        <v>377</v>
      </c>
      <c r="H11" s="7">
        <v>420</v>
      </c>
      <c r="I11" s="7">
        <v>462</v>
      </c>
      <c r="J11" s="7">
        <v>507</v>
      </c>
      <c r="K11" s="152">
        <f t="shared" si="0"/>
        <v>534.04</v>
      </c>
      <c r="L11" s="152">
        <f t="shared" si="0"/>
        <v>561.07999999999993</v>
      </c>
      <c r="M11" s="152">
        <f t="shared" si="0"/>
        <v>588.11999999999989</v>
      </c>
      <c r="N11" s="152">
        <f t="shared" si="0"/>
        <v>615.16</v>
      </c>
      <c r="O11">
        <f t="shared" si="1"/>
        <v>87.500000000000014</v>
      </c>
      <c r="P11" s="147">
        <f>(1/4)*PI()*((5/16)^2)</f>
        <v>7.6699039394282062E-2</v>
      </c>
      <c r="Q11" t="str">
        <f>IF('Abrasive Blasting'!$F$23='Blasting charts'!B11,4," ")</f>
        <v xml:space="preserve"> </v>
      </c>
      <c r="R11" t="str">
        <f>IF('Abrasive Blasting'!$F$24='Blasting charts'!F$7,4," ")</f>
        <v xml:space="preserve"> </v>
      </c>
      <c r="S11">
        <f>IF(AND($Q$7=4,$R$7=1),C11,IF(AND($Q$7=4,$R$7=2),D11,IF(AND($Q$7=4,$R$7=3),E11,IF(AND($Q$7=4,$R$7=4),F11,IF(AND($Q$7=4,$R$7=5),G11,IF(AND($Q$7=4,$R$7=6),H11,IF(AND($Q$7=4,$R$7=7),I11,IF(AND($Q$7=4,$R$7=8),J11,IF(AND($Q$7=4,$R$7=9),K11,IF(AND($Q$7=4,$R$7=10),L11,IF(AND($Q$7=4,$R$7=11),M11,IF(AND($Q$7=4,$R$7=12),N11,0))))))))))))</f>
        <v>0</v>
      </c>
    </row>
    <row r="12" spans="1:21">
      <c r="B12" s="33">
        <v>0.375</v>
      </c>
      <c r="C12" s="7">
        <v>285</v>
      </c>
      <c r="D12" s="7">
        <v>355</v>
      </c>
      <c r="E12" s="7">
        <v>417</v>
      </c>
      <c r="F12" s="7">
        <v>477</v>
      </c>
      <c r="G12" s="7">
        <v>540</v>
      </c>
      <c r="H12" s="7">
        <v>600</v>
      </c>
      <c r="I12" s="7">
        <v>657</v>
      </c>
      <c r="J12" s="7">
        <v>720</v>
      </c>
      <c r="K12" s="152">
        <f t="shared" si="0"/>
        <v>751.85840707964599</v>
      </c>
      <c r="L12" s="152">
        <f t="shared" si="0"/>
        <v>783.71681415929197</v>
      </c>
      <c r="M12" s="152">
        <f t="shared" si="0"/>
        <v>815.57522123893796</v>
      </c>
      <c r="N12" s="152">
        <f t="shared" si="0"/>
        <v>847.43362831858394</v>
      </c>
      <c r="O12">
        <f t="shared" si="1"/>
        <v>126.00000000000001</v>
      </c>
      <c r="P12" s="147">
        <f>(1/4)*PI()*((3/8)^2)</f>
        <v>0.11044661672776616</v>
      </c>
      <c r="Q12" t="str">
        <f>IF('Abrasive Blasting'!$F$23='Blasting charts'!B12,5," ")</f>
        <v xml:space="preserve"> </v>
      </c>
      <c r="R12" t="str">
        <f>IF('Abrasive Blasting'!$F$24='Blasting charts'!G$7,5," ")</f>
        <v xml:space="preserve"> </v>
      </c>
      <c r="S12">
        <f>IF(AND($Q$7=5,$R$7=1),C12,IF(AND($Q$7=5,$R$7=2),D12,IF(AND($Q$7=5,$R$7=3),E12,IF(AND($Q$7=5,$R$7=4),F12,IF(AND($Q$7=5,$R$7=5),G12,IF(AND($Q$7=5,$R$7=6),H12,IF(AND($Q$7=5,$R$7=7),I12,IF(AND($Q$7=5,$R$7=8),J12,IF(AND($Q$7=5,$R$7=9),K12,IF(AND($Q$7=5,$R$7=10),L12,IF(AND($Q$7=5,$R$7=11),M12,IF(AND($Q$7=5,$R$7=12),N12,0))))))))))))</f>
        <v>0</v>
      </c>
    </row>
    <row r="13" spans="1:21">
      <c r="B13" s="33">
        <v>0.4375</v>
      </c>
      <c r="C13" s="7">
        <v>385</v>
      </c>
      <c r="D13" s="7">
        <v>472</v>
      </c>
      <c r="E13" s="7">
        <v>560</v>
      </c>
      <c r="F13" s="7">
        <v>645</v>
      </c>
      <c r="G13" s="7">
        <v>755</v>
      </c>
      <c r="H13" s="7">
        <v>820</v>
      </c>
      <c r="I13" s="7">
        <v>905</v>
      </c>
      <c r="J13" s="7">
        <v>940</v>
      </c>
      <c r="K13" s="152">
        <f t="shared" si="0"/>
        <v>974.62246777163909</v>
      </c>
      <c r="L13" s="152">
        <f t="shared" si="0"/>
        <v>1009.2449355432782</v>
      </c>
      <c r="M13" s="152">
        <f t="shared" si="0"/>
        <v>1043.8674033149171</v>
      </c>
      <c r="N13" s="152">
        <f t="shared" si="0"/>
        <v>1078.4898710865559</v>
      </c>
      <c r="O13">
        <f t="shared" si="1"/>
        <v>171.5</v>
      </c>
      <c r="P13" s="147">
        <f>(1/4)*PI()*((7/16)^2)</f>
        <v>0.15033011721279282</v>
      </c>
      <c r="Q13" t="str">
        <f>IF('Abrasive Blasting'!$F$23='Blasting charts'!B13,6," ")</f>
        <v xml:space="preserve"> </v>
      </c>
      <c r="R13" t="str">
        <f>IF('Abrasive Blasting'!$F$24='Blasting charts'!H$7,6," ")</f>
        <v xml:space="preserve"> </v>
      </c>
      <c r="S13">
        <f>IF(AND($Q$7=6,$R$7=1),C13,IF(AND($Q$7=6,$R$7=2),D13,IF(AND($Q$7=6,$R$7=3),E13,IF(AND($Q$7=6,$R$7=4),F13,IF(AND($Q$7=6,$R$7=5),G13,IF(AND($Q$7=6,$R$7=6),H13,IF(AND($Q$7=6,$R$7=7),I13,IF(AND($Q$7=6,$R$7=8),J13,IF(AND($Q$7=6,$R$7=9),K13,IF(AND($Q$7=6,$R$7=10),L13,IF(AND($Q$7=6,$R$7=11),M13,IF(AND($Q$7=6,$R$7=12),N13,0))))))))))))</f>
        <v>0</v>
      </c>
    </row>
    <row r="14" spans="1:21">
      <c r="B14" s="33">
        <v>0.5</v>
      </c>
      <c r="C14" s="7">
        <v>503</v>
      </c>
      <c r="D14" s="7">
        <v>615</v>
      </c>
      <c r="E14" s="7">
        <v>725</v>
      </c>
      <c r="F14" s="7">
        <v>835</v>
      </c>
      <c r="G14" s="7">
        <v>945</v>
      </c>
      <c r="H14" s="7">
        <v>1050</v>
      </c>
      <c r="I14" s="7">
        <v>1160</v>
      </c>
      <c r="J14" s="7">
        <v>1265</v>
      </c>
      <c r="K14" s="152">
        <f t="shared" si="0"/>
        <v>1304.0432098765432</v>
      </c>
      <c r="L14" s="152">
        <f t="shared" si="0"/>
        <v>1343.0864197530864</v>
      </c>
      <c r="M14" s="152">
        <f t="shared" si="0"/>
        <v>1382.1296296296296</v>
      </c>
      <c r="N14" s="152">
        <f t="shared" si="0"/>
        <v>1421.1728395061727</v>
      </c>
      <c r="O14">
        <f t="shared" si="1"/>
        <v>224.00000000000003</v>
      </c>
      <c r="P14" s="147">
        <f>(1/4)*PI()*(0.5^2)</f>
        <v>0.19634954084936207</v>
      </c>
      <c r="Q14" t="str">
        <f>IF('Abrasive Blasting'!$F$23='Blasting charts'!B14,7," ")</f>
        <v xml:space="preserve"> </v>
      </c>
      <c r="R14" t="str">
        <f>IF('Abrasive Blasting'!$F$24='Blasting charts'!I$7,7," ")</f>
        <v xml:space="preserve"> </v>
      </c>
      <c r="S14">
        <f>IF(AND($Q$7=7,$R$7=1),C14,IF(AND($Q$7=7,$R$7=2),D14,IF(AND($Q$7=7,$R$7=3),E14,IF(AND($Q$7=7,$R$7=4),F14,IF(AND($Q$7=7,$R$7=5),G14,IF(AND($Q$7=7,$R$7=6),H14,IF(AND($Q$7=7,$R$7=7),I14,IF(AND($Q$7=7,$R$7=8),J14,IF(AND($Q$7=7,$R$7=9),K14,IF(AND($Q$7=7,$R$7=10),L14,IF(AND($Q$7=7,$R$7=11),M14,IF(AND($Q$7=7,$R$7=12),N14,0))))))))))))</f>
        <v>0</v>
      </c>
    </row>
    <row r="15" spans="1:21">
      <c r="B15" s="33">
        <v>0.625</v>
      </c>
      <c r="C15" s="7">
        <v>820</v>
      </c>
      <c r="D15" s="7">
        <v>990</v>
      </c>
      <c r="E15" s="7">
        <v>1170</v>
      </c>
      <c r="F15" s="7">
        <v>1336</v>
      </c>
      <c r="G15" s="7">
        <v>1510</v>
      </c>
      <c r="H15" s="7">
        <v>1680</v>
      </c>
      <c r="I15" s="7">
        <v>1850</v>
      </c>
      <c r="J15" s="7">
        <v>2030</v>
      </c>
      <c r="K15" s="152">
        <f t="shared" si="0"/>
        <v>2075.1111111111113</v>
      </c>
      <c r="L15" s="152">
        <f t="shared" si="0"/>
        <v>2120.2222222222226</v>
      </c>
      <c r="M15" s="152">
        <f t="shared" si="0"/>
        <v>2165.3333333333339</v>
      </c>
      <c r="N15" s="152">
        <f t="shared" si="0"/>
        <v>2210.4444444444448</v>
      </c>
      <c r="O15">
        <f t="shared" si="1"/>
        <v>350.00000000000006</v>
      </c>
      <c r="P15" s="147">
        <f>(1/4)*PI()*((5/8)^2)</f>
        <v>0.30679615757712825</v>
      </c>
      <c r="Q15" t="str">
        <f>IF('Abrasive Blasting'!$F$23='Blasting charts'!B15,8," ")</f>
        <v xml:space="preserve"> </v>
      </c>
      <c r="R15" t="str">
        <f>IF('Abrasive Blasting'!$F$24='Blasting charts'!J$7,8," ")</f>
        <v xml:space="preserve"> </v>
      </c>
      <c r="S15">
        <f>IF(AND($Q$7=8,$R$7=1),C15,IF(AND($Q$7=8,$R$7=2),D15,IF(AND($Q$7=8,$R$7=3),E15,IF(AND($Q$7=8,$R$7=4),F15,IF(AND($Q$7=8,$R$7=5),G15,IF(AND($Q$7=8,$R$7=6),H15,IF(AND($Q$7=8,$R$7=7),I15,IF(AND($Q$7=8,$R$7=8),J15,IF(AND($Q$7=8,$R$7=9),K15,IF(AND($Q$7=8,$R$7=10),L15,IF(AND($Q$7=8,$R$7=11),M15,IF(AND($Q$7=8,$R$7=12),N15,0))))))))))))</f>
        <v>0</v>
      </c>
    </row>
    <row r="16" spans="1:21">
      <c r="B16" s="33">
        <v>0.75</v>
      </c>
      <c r="C16" s="7">
        <v>1140</v>
      </c>
      <c r="D16" s="7">
        <v>1420</v>
      </c>
      <c r="E16" s="7">
        <v>1670</v>
      </c>
      <c r="F16" s="7">
        <v>1915</v>
      </c>
      <c r="G16" s="7">
        <v>2160</v>
      </c>
      <c r="H16" s="7">
        <v>2400</v>
      </c>
      <c r="I16" s="7">
        <v>2630</v>
      </c>
      <c r="J16" s="7">
        <v>2880</v>
      </c>
      <c r="K16" s="152">
        <f t="shared" si="0"/>
        <v>2927.682119205298</v>
      </c>
      <c r="L16" s="152">
        <f t="shared" si="0"/>
        <v>2975.364238410596</v>
      </c>
      <c r="M16" s="152">
        <f t="shared" si="0"/>
        <v>3023.0463576158941</v>
      </c>
      <c r="N16" s="152">
        <f t="shared" si="0"/>
        <v>3070.7284768211921</v>
      </c>
      <c r="O16">
        <f t="shared" si="1"/>
        <v>504.00000000000006</v>
      </c>
      <c r="P16" s="147">
        <f>(1/4)*PI()*(0.75^2)</f>
        <v>0.44178646691106466</v>
      </c>
      <c r="Q16" t="str">
        <f>IF('Abrasive Blasting'!$F$23='Blasting charts'!B16,9," ")</f>
        <v xml:space="preserve"> </v>
      </c>
      <c r="R16" t="str">
        <f>IF('Abrasive Blasting'!$F$24='Blasting charts'!K$7,9," ")</f>
        <v xml:space="preserve"> </v>
      </c>
      <c r="S16">
        <f>IF(AND($Q$7=9,$R$7=1),C16,IF(AND($Q$7=9,$R$7=2),D16,IF(AND($Q$7=9,$R$7=3),E16,IF(AND($Q$7=9,$R$7=4),F16,IF(AND($Q$7=9,$R$7=5),G16,IF(AND($Q$7=9,$R$7=6),H16,IF(AND($Q$7=9,$R$7=7),I16,IF(AND($Q$7=9,$R$7=8),J16,IF(AND($Q$7=9,$R$7=9),K16,IF(AND($Q$7=9,$R$7=10),L16,IF(AND($Q$7=9,$R$7=11),M16,IF(AND($Q$7=9,$R$7=12),N16,0))))))))))))</f>
        <v>0</v>
      </c>
    </row>
    <row r="17" spans="2:19">
      <c r="B17" s="34">
        <v>1</v>
      </c>
      <c r="C17" s="7">
        <v>2030</v>
      </c>
      <c r="D17" s="7">
        <v>2460</v>
      </c>
      <c r="E17" s="7">
        <v>2900</v>
      </c>
      <c r="F17" s="7">
        <v>3340</v>
      </c>
      <c r="G17" s="7">
        <v>3780</v>
      </c>
      <c r="H17" s="7">
        <v>4200</v>
      </c>
      <c r="I17" s="7">
        <v>4640</v>
      </c>
      <c r="J17" s="7">
        <v>5060</v>
      </c>
      <c r="K17" s="152">
        <f t="shared" si="0"/>
        <v>5110.803212851406</v>
      </c>
      <c r="L17" s="152">
        <f t="shared" si="0"/>
        <v>5161.606425702812</v>
      </c>
      <c r="M17" s="152">
        <f t="shared" si="0"/>
        <v>5212.4096385542171</v>
      </c>
      <c r="N17" s="152">
        <f t="shared" si="0"/>
        <v>5263.212851405623</v>
      </c>
      <c r="O17">
        <f t="shared" si="1"/>
        <v>896.00000000000011</v>
      </c>
      <c r="P17" s="147">
        <f>(1/4)*PI()*(1^2)</f>
        <v>0.78539816339744828</v>
      </c>
      <c r="Q17" t="str">
        <f>IF('Abrasive Blasting'!$F$23='Blasting charts'!B17,10," ")</f>
        <v xml:space="preserve"> </v>
      </c>
      <c r="R17" t="str">
        <f>IF('Abrasive Blasting'!$F$24='Blasting charts'!L$7,10," ")</f>
        <v xml:space="preserve"> </v>
      </c>
      <c r="S17">
        <f>IF(AND($Q$7=10,$R$7=1),C17,IF(AND($Q$7=10,$R$7=2),D17,IF(AND($Q$7=10,$R$7=3),E17,IF(AND($Q$7=10,$R$7=4),F17,IF(AND($Q$7=10,$R$7=5),G17,IF(AND($Q$7=10,$R$7=6),H17,IF(AND($Q$7=10,$R$7=7),I17,IF(AND($Q$7=10,$R$7=8),J17,IF(AND($Q$7=10,$R$7=9),K17,IF(AND($Q$7=10,$R$7=10),L17,IF(AND($Q$7=10,$R$7=11),M17,IF(AND($Q$7=10,$R$7=12),N17,0))))))))))))</f>
        <v>0</v>
      </c>
    </row>
    <row r="18" spans="2:19" ht="12.75" customHeight="1">
      <c r="B18" s="233" t="s">
        <v>321</v>
      </c>
      <c r="C18" s="233"/>
      <c r="D18" s="233"/>
      <c r="E18" s="233"/>
      <c r="F18" s="233"/>
      <c r="G18" s="233"/>
      <c r="H18" s="233"/>
      <c r="I18" s="233"/>
      <c r="J18" s="233"/>
      <c r="K18" s="233"/>
      <c r="L18" s="233"/>
      <c r="M18" s="233"/>
      <c r="N18" s="233"/>
    </row>
    <row r="19" spans="2:19">
      <c r="B19" s="233"/>
      <c r="C19" s="233"/>
      <c r="D19" s="233"/>
      <c r="E19" s="233"/>
      <c r="F19" s="233"/>
      <c r="G19" s="233"/>
      <c r="H19" s="233"/>
      <c r="I19" s="233"/>
      <c r="J19" s="233"/>
      <c r="K19" s="233"/>
      <c r="L19" s="233"/>
      <c r="M19" s="233"/>
      <c r="N19" s="233"/>
      <c r="R19" t="str">
        <f>IF('Abrasive Blasting'!$F$24='Blasting charts'!M$7,11," ")</f>
        <v xml:space="preserve"> </v>
      </c>
    </row>
    <row r="20" spans="2:19">
      <c r="B20" s="233"/>
      <c r="C20" s="233"/>
      <c r="D20" s="233"/>
      <c r="E20" s="233"/>
      <c r="F20" s="233"/>
      <c r="G20" s="233"/>
      <c r="H20" s="233"/>
      <c r="I20" s="233"/>
      <c r="J20" s="233"/>
      <c r="K20" s="233"/>
      <c r="L20" s="233"/>
      <c r="M20" s="233"/>
      <c r="N20" s="233"/>
      <c r="R20" t="str">
        <f>IF('Abrasive Blasting'!$F$24='Blasting charts'!N$7,12," ")</f>
        <v xml:space="preserve"> </v>
      </c>
    </row>
    <row r="22" spans="2:19" ht="38.25">
      <c r="B22" s="177" t="s">
        <v>6</v>
      </c>
      <c r="C22" s="179" t="s">
        <v>5</v>
      </c>
      <c r="D22" s="176" t="s">
        <v>7</v>
      </c>
      <c r="F22" s="1" t="s">
        <v>8</v>
      </c>
    </row>
    <row r="23" spans="2:19">
      <c r="B23" s="178" t="s">
        <v>2</v>
      </c>
      <c r="C23" s="180">
        <v>4.1000000000000002E-2</v>
      </c>
      <c r="D23" s="173">
        <f>C23*0.7</f>
        <v>2.87E-2</v>
      </c>
      <c r="F23" s="1" t="s">
        <v>9</v>
      </c>
    </row>
    <row r="24" spans="2:19" ht="12.75" customHeight="1">
      <c r="B24" s="178" t="s">
        <v>3</v>
      </c>
      <c r="C24" s="181">
        <v>0.01</v>
      </c>
      <c r="D24" s="173">
        <f>C24*0.7</f>
        <v>6.9999999999999993E-3</v>
      </c>
      <c r="F24" s="1" t="s">
        <v>15</v>
      </c>
    </row>
    <row r="25" spans="2:19" ht="12.75" customHeight="1">
      <c r="B25" s="178" t="s">
        <v>74</v>
      </c>
      <c r="C25" s="180">
        <v>4.0000000000000001E-3</v>
      </c>
      <c r="D25" s="174">
        <f>C25*0.86</f>
        <v>3.4399999999999999E-3</v>
      </c>
    </row>
    <row r="26" spans="2:19" ht="12.75" customHeight="1">
      <c r="B26" s="178" t="s">
        <v>4</v>
      </c>
      <c r="C26" s="180">
        <v>0.01</v>
      </c>
      <c r="D26" s="7">
        <v>0.01</v>
      </c>
    </row>
    <row r="27" spans="2:19" ht="12.75" customHeight="1">
      <c r="B27" s="175"/>
      <c r="C27" s="175"/>
      <c r="D27" s="175"/>
    </row>
    <row r="30" spans="2:19" ht="30">
      <c r="B30" s="35" t="s">
        <v>195</v>
      </c>
      <c r="C30" s="35" t="s">
        <v>0</v>
      </c>
      <c r="D30" s="35" t="s">
        <v>207</v>
      </c>
      <c r="I30" s="166" t="s">
        <v>275</v>
      </c>
      <c r="J30" s="166" t="s">
        <v>276</v>
      </c>
      <c r="K30" s="37" t="s">
        <v>45</v>
      </c>
      <c r="L30" s="37" t="s">
        <v>46</v>
      </c>
    </row>
    <row r="31" spans="2:19" ht="25.5">
      <c r="B31" s="182" t="s">
        <v>65</v>
      </c>
      <c r="C31" s="184"/>
      <c r="D31" s="183" t="s">
        <v>197</v>
      </c>
      <c r="E31" s="183" t="s">
        <v>196</v>
      </c>
      <c r="F31" s="183" t="s">
        <v>198</v>
      </c>
      <c r="I31" s="167">
        <f>IF('Abrasive Blasting'!G29="Choose one",0,IF('Abrasive Blasting'!G29='Blasting charts'!B32,1,IF('Abrasive Blasting'!G29='Blasting charts'!B34,2,IF('Abrasive Blasting'!G29='Blasting charts'!B36,3,IF('Abrasive Blasting'!G29='Blasting charts'!B38,4,IF('Abrasive Blasting'!G29='Blasting charts'!B40,5,IF('Abrasive Blasting'!G29='Blasting charts'!B42,6,IF('Abrasive Blasting'!G29='Blasting charts'!B44,7))))))))</f>
        <v>0</v>
      </c>
      <c r="J31" s="168">
        <f>IF('Abrasive Blasting'!G30="Choose one",0,IF('Abrasive Blasting'!G30='Blasting charts'!D31,1,IF('Abrasive Blasting'!G30='Blasting charts'!E31,2,IF('Abrasive Blasting'!G30='Blasting charts'!F31,3))))</f>
        <v>0</v>
      </c>
      <c r="K31" s="169">
        <f>SUM(K32:K45)</f>
        <v>0</v>
      </c>
      <c r="L31" s="170">
        <f>SUM(L32:L46)</f>
        <v>0</v>
      </c>
    </row>
    <row r="32" spans="2:19" ht="12.75" customHeight="1">
      <c r="B32" s="450" t="s">
        <v>200</v>
      </c>
      <c r="C32" s="185" t="s">
        <v>45</v>
      </c>
      <c r="D32" s="171">
        <v>0.9</v>
      </c>
      <c r="E32" s="171">
        <v>0.72</v>
      </c>
      <c r="F32" s="171">
        <v>0.54</v>
      </c>
      <c r="K32">
        <f>IF(AND($I$31=1,$J$31=1),D32,IF(AND($I$31=1,$J$31=2),E32,IF(AND($I$31=1,$J$31=3),F32,0)))</f>
        <v>0</v>
      </c>
    </row>
    <row r="33" spans="2:14" ht="12.75" customHeight="1">
      <c r="B33" s="450"/>
      <c r="C33" s="185" t="s">
        <v>199</v>
      </c>
      <c r="D33" s="171">
        <v>0.78</v>
      </c>
      <c r="E33" s="171">
        <v>0.62</v>
      </c>
      <c r="F33" s="171">
        <v>0.46</v>
      </c>
      <c r="I33" s="76"/>
      <c r="L33">
        <f>IF(AND($I$31=1,$J$31=1),D33,IF(AND($I$31=1,$J$31=2),E33,IF(AND($I$31=1,$J$31=3),F33,0)))</f>
        <v>0</v>
      </c>
    </row>
    <row r="34" spans="2:14" ht="12.75" customHeight="1">
      <c r="B34" s="450" t="s">
        <v>201</v>
      </c>
      <c r="C34" s="185" t="s">
        <v>45</v>
      </c>
      <c r="D34" s="171">
        <v>0.8</v>
      </c>
      <c r="E34" s="171">
        <v>0.64</v>
      </c>
      <c r="F34" s="171">
        <v>0.48</v>
      </c>
      <c r="I34" s="76"/>
      <c r="K34">
        <f>IF(AND($I$31=2,$J$31=1),D34,IF(AND($I$31=2,$J$31=2),E34,IF(AND($I$31=2,$J$31=3),F34,0)))</f>
        <v>0</v>
      </c>
    </row>
    <row r="35" spans="2:14" ht="12.75" customHeight="1">
      <c r="B35" s="450"/>
      <c r="C35" s="185" t="s">
        <v>199</v>
      </c>
      <c r="D35" s="171">
        <v>0.6</v>
      </c>
      <c r="E35" s="171">
        <v>0.48</v>
      </c>
      <c r="F35" s="171">
        <v>0.36</v>
      </c>
      <c r="I35" s="76"/>
      <c r="L35">
        <f>IF(AND($I$31=2,$J$31=1),D35,IF(AND($I$31=2,$J$31=2),E35,IF(AND($I$31=2,$J$31=3),F35,0)))</f>
        <v>0</v>
      </c>
    </row>
    <row r="36" spans="2:14" ht="12.75" customHeight="1">
      <c r="B36" s="450" t="s">
        <v>202</v>
      </c>
      <c r="C36" s="185" t="s">
        <v>45</v>
      </c>
      <c r="D36" s="171">
        <v>0.25</v>
      </c>
      <c r="E36" s="171">
        <v>0.2</v>
      </c>
      <c r="F36" s="171">
        <v>0.15</v>
      </c>
      <c r="I36" s="76"/>
      <c r="K36">
        <f>IF(AND($I$31=3,$J$31=1),D36,IF(AND($I$31=3,$J$31=2),E36,IF(AND($I$31=3,$J$31=3),F36,0)))</f>
        <v>0</v>
      </c>
    </row>
    <row r="37" spans="2:14" ht="12.75" customHeight="1">
      <c r="B37" s="450"/>
      <c r="C37" s="185" t="s">
        <v>199</v>
      </c>
      <c r="D37" s="171">
        <v>0.25</v>
      </c>
      <c r="E37" s="171">
        <v>0.2</v>
      </c>
      <c r="F37" s="171">
        <v>0.15</v>
      </c>
      <c r="I37" s="76"/>
      <c r="L37">
        <f>IF(AND($I$31=3,$J$31=1),D37,IF(AND($I$31=3,$J$31=2),E37,IF(AND($I$31=3,$J$31=3),F37,0)))</f>
        <v>0</v>
      </c>
    </row>
    <row r="38" spans="2:14" ht="12.75" customHeight="1">
      <c r="B38" s="450" t="s">
        <v>203</v>
      </c>
      <c r="C38" s="185" t="s">
        <v>45</v>
      </c>
      <c r="D38" s="171">
        <v>0.84</v>
      </c>
      <c r="E38" s="171">
        <v>0.68</v>
      </c>
      <c r="F38" s="171">
        <v>0.51</v>
      </c>
      <c r="I38" s="76"/>
      <c r="K38">
        <f>IF(AND($I$31=4,$J$31=1),D38,IF(AND($I$31=4,$J$31=2),E38,IF(AND($I$31=4,$J$31=3),F38,0)))</f>
        <v>0</v>
      </c>
      <c r="L38" s="1"/>
      <c r="M38" s="1"/>
      <c r="N38" s="1"/>
    </row>
    <row r="39" spans="2:14" ht="15.75">
      <c r="B39" s="450"/>
      <c r="C39" s="185" t="s">
        <v>199</v>
      </c>
      <c r="D39" s="171">
        <v>0.84</v>
      </c>
      <c r="E39" s="171">
        <v>0.68</v>
      </c>
      <c r="F39" s="171">
        <v>0.51</v>
      </c>
      <c r="I39" s="76"/>
      <c r="L39">
        <f>IF(AND($I$31=4,$J$31=1),D39,IF(AND($I$31=4,$J$31=2),E39,IF(AND($I$31=4,$J$31=3),F39,0)))</f>
        <v>0</v>
      </c>
    </row>
    <row r="40" spans="2:14" ht="12.75" customHeight="1">
      <c r="B40" s="450" t="s">
        <v>204</v>
      </c>
      <c r="C40" s="185" t="s">
        <v>45</v>
      </c>
      <c r="D40" s="171">
        <v>0.85</v>
      </c>
      <c r="E40" s="171">
        <v>0.68</v>
      </c>
      <c r="F40" s="171">
        <v>0.51</v>
      </c>
      <c r="I40" s="76"/>
      <c r="K40">
        <f>IF(AND($I$31=5,$J$31=1),D40,IF(AND($I$31=5,$J$31=2),E40,IF(AND($I$31=5,$J$31=3),F40,0)))</f>
        <v>0</v>
      </c>
    </row>
    <row r="41" spans="2:14" ht="15.75">
      <c r="B41" s="450"/>
      <c r="C41" s="185" t="s">
        <v>199</v>
      </c>
      <c r="D41" s="171">
        <v>0.85</v>
      </c>
      <c r="E41" s="171">
        <v>0.68</v>
      </c>
      <c r="F41" s="171">
        <v>0.51</v>
      </c>
      <c r="I41" s="76"/>
      <c r="L41">
        <f>IF(AND($I$31=5,$J$31=1),D41,IF(AND($I$31=5,$J$31=2),E41,IF(AND($I$31=5,$J$31=3),F41,0)))</f>
        <v>0</v>
      </c>
    </row>
    <row r="42" spans="2:14" ht="12.75" customHeight="1">
      <c r="B42" s="450" t="s">
        <v>205</v>
      </c>
      <c r="C42" s="185" t="s">
        <v>45</v>
      </c>
      <c r="D42" s="172">
        <v>0.99980000000000002</v>
      </c>
      <c r="E42" s="171">
        <v>0.8</v>
      </c>
      <c r="F42" s="171">
        <v>0.6</v>
      </c>
      <c r="I42" s="76"/>
      <c r="K42">
        <f>IF(AND($I$31=6,$J$31=1),D42,IF(AND($I$31=6,$J$31=2),E42,IF(AND($I$31=6,$J$31=3),F42,0)))</f>
        <v>0</v>
      </c>
    </row>
    <row r="43" spans="2:14" ht="15.75">
      <c r="B43" s="450"/>
      <c r="C43" s="185" t="s">
        <v>199</v>
      </c>
      <c r="D43" s="172">
        <v>0.99980000000000002</v>
      </c>
      <c r="E43" s="171">
        <v>0.8</v>
      </c>
      <c r="F43" s="171">
        <v>0.6</v>
      </c>
      <c r="I43" s="76"/>
      <c r="L43">
        <f>IF(AND($I$31=6,$J$31=1),D43,IF(AND($I$31=6,$J$31=2),E43,IF(AND($I$31=6,$J$31=3),F43,0)))</f>
        <v>0</v>
      </c>
    </row>
    <row r="44" spans="2:14" ht="12.75" customHeight="1">
      <c r="B44" s="450" t="s">
        <v>206</v>
      </c>
      <c r="C44" s="185"/>
      <c r="D44" s="171"/>
      <c r="E44" s="171"/>
      <c r="F44" s="171"/>
      <c r="I44" s="76"/>
      <c r="K44">
        <f>IF($J$31=7,0,0)</f>
        <v>0</v>
      </c>
    </row>
    <row r="45" spans="2:14">
      <c r="B45" s="450"/>
      <c r="C45" s="185"/>
      <c r="D45" s="171"/>
      <c r="E45" s="171"/>
      <c r="F45" s="171"/>
      <c r="I45" s="76"/>
    </row>
    <row r="46" spans="2:14">
      <c r="B46" s="125"/>
    </row>
    <row r="47" spans="2:14">
      <c r="B47" s="130"/>
      <c r="C47" s="1"/>
    </row>
    <row r="48" spans="2:14">
      <c r="C48" s="1"/>
    </row>
    <row r="49" spans="2:5" ht="25.5">
      <c r="B49" s="1" t="s">
        <v>208</v>
      </c>
      <c r="C49" s="158" t="s">
        <v>209</v>
      </c>
      <c r="D49" s="158" t="s">
        <v>210</v>
      </c>
      <c r="E49" s="158" t="s">
        <v>211</v>
      </c>
    </row>
    <row r="50" spans="2:5">
      <c r="B50" s="1" t="s">
        <v>212</v>
      </c>
      <c r="C50" s="1" t="s">
        <v>213</v>
      </c>
      <c r="D50" s="1" t="s">
        <v>214</v>
      </c>
      <c r="E50" s="1" t="s">
        <v>215</v>
      </c>
    </row>
    <row r="51" spans="2:5">
      <c r="B51" s="1" t="s">
        <v>216</v>
      </c>
      <c r="C51" s="1" t="s">
        <v>217</v>
      </c>
      <c r="D51" s="1" t="s">
        <v>218</v>
      </c>
      <c r="E51" s="1" t="s">
        <v>219</v>
      </c>
    </row>
    <row r="52" spans="2:5">
      <c r="B52" s="1" t="s">
        <v>220</v>
      </c>
      <c r="C52" s="1" t="s">
        <v>221</v>
      </c>
      <c r="D52" s="1" t="s">
        <v>222</v>
      </c>
      <c r="E52" s="1" t="s">
        <v>223</v>
      </c>
    </row>
    <row r="53" spans="2:5">
      <c r="B53" s="1" t="s">
        <v>224</v>
      </c>
      <c r="C53" s="1" t="s">
        <v>225</v>
      </c>
      <c r="D53" s="1" t="s">
        <v>226</v>
      </c>
      <c r="E53" s="1" t="s">
        <v>227</v>
      </c>
    </row>
  </sheetData>
  <sheetProtection algorithmName="SHA-512" hashValue="V3f/RmWICKg15QWmDlSwvrhVPNJ/g/OJVwpdVaihTG+2lv3z8pqpIbGtNGWOLm4thi2GS6tU1mlRG7E6FDrI3g==" saltValue="PfIiqaEePCUjwX04PbpnOA==" spinCount="100000" sheet="1" objects="1" scenarios="1"/>
  <protectedRanges>
    <protectedRange sqref="Q2:AQ2 Q1:AR1 P1 O2:P2" name="Range2_1"/>
  </protectedRanges>
  <mergeCells count="13">
    <mergeCell ref="B44:B45"/>
    <mergeCell ref="B32:B33"/>
    <mergeCell ref="B34:B35"/>
    <mergeCell ref="B36:B37"/>
    <mergeCell ref="B38:B39"/>
    <mergeCell ref="B40:B41"/>
    <mergeCell ref="B42:B43"/>
    <mergeCell ref="B18:N20"/>
    <mergeCell ref="U5:U6"/>
    <mergeCell ref="B5:B7"/>
    <mergeCell ref="B2:N2"/>
    <mergeCell ref="B1:N1"/>
    <mergeCell ref="C5:N6"/>
  </mergeCells>
  <pageMargins left="0.25" right="0.25" top="0.75" bottom="0.75" header="0.3" footer="0.3"/>
  <pageSetup scale="82" fitToWidth="2" fitToHeight="0" orientation="landscape" horizontalDpi="90" verticalDpi="90" r:id="rId1"/>
  <rowBreaks count="1" manualBreakCount="1">
    <brk id="29" max="16383" man="1"/>
  </rowBreaks>
  <colBreaks count="1" manualBreakCount="1">
    <brk id="1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I44"/>
  <sheetViews>
    <sheetView zoomScaleNormal="100" workbookViewId="0">
      <selection activeCell="B17" sqref="B17"/>
    </sheetView>
  </sheetViews>
  <sheetFormatPr defaultRowHeight="12.75"/>
  <cols>
    <col min="1" max="1" width="3.42578125" customWidth="1"/>
    <col min="2" max="2" width="16.42578125" customWidth="1"/>
    <col min="3" max="3" width="26.7109375" customWidth="1"/>
    <col min="4" max="4" width="6.7109375" customWidth="1"/>
    <col min="5" max="5" width="24.7109375" bestFit="1" customWidth="1"/>
    <col min="6" max="6" width="26" bestFit="1" customWidth="1"/>
  </cols>
  <sheetData>
    <row r="1" spans="1:9">
      <c r="A1" s="23"/>
      <c r="B1" s="228" t="str">
        <f>Instructions!O4</f>
        <v>p-sbap5-19  •  6/5/23</v>
      </c>
      <c r="C1" s="228"/>
      <c r="D1" s="228"/>
      <c r="E1" s="228"/>
      <c r="F1" s="228"/>
    </row>
    <row r="2" spans="1:9" ht="19.5" thickBot="1">
      <c r="A2" s="23"/>
      <c r="B2" s="229" t="s">
        <v>40</v>
      </c>
      <c r="C2" s="229"/>
      <c r="D2" s="229"/>
      <c r="E2" s="229"/>
      <c r="F2" s="229"/>
    </row>
    <row r="4" spans="1:9">
      <c r="B4" s="157" t="s">
        <v>44</v>
      </c>
      <c r="C4" s="157" t="s">
        <v>184</v>
      </c>
      <c r="D4" s="130"/>
      <c r="E4" s="157" t="s">
        <v>195</v>
      </c>
      <c r="F4" s="157" t="s">
        <v>265</v>
      </c>
    </row>
    <row r="5" spans="1:9">
      <c r="B5" s="1" t="s">
        <v>65</v>
      </c>
      <c r="C5" s="1" t="s">
        <v>65</v>
      </c>
      <c r="E5" s="125" t="s">
        <v>65</v>
      </c>
      <c r="F5" s="1" t="s">
        <v>65</v>
      </c>
    </row>
    <row r="6" spans="1:9">
      <c r="B6" s="1" t="s">
        <v>2</v>
      </c>
      <c r="C6" s="1" t="s">
        <v>185</v>
      </c>
      <c r="E6" s="125" t="s">
        <v>200</v>
      </c>
      <c r="F6" s="1" t="s">
        <v>197</v>
      </c>
    </row>
    <row r="7" spans="1:9">
      <c r="B7" s="1" t="s">
        <v>3</v>
      </c>
      <c r="C7" s="1" t="s">
        <v>67</v>
      </c>
      <c r="E7" s="125" t="s">
        <v>201</v>
      </c>
      <c r="F7" s="1" t="s">
        <v>196</v>
      </c>
    </row>
    <row r="8" spans="1:9">
      <c r="B8" s="1" t="s">
        <v>74</v>
      </c>
      <c r="E8" s="125" t="s">
        <v>202</v>
      </c>
      <c r="F8" s="1" t="s">
        <v>198</v>
      </c>
    </row>
    <row r="9" spans="1:9" s="23" customFormat="1" ht="15.95" customHeight="1">
      <c r="B9" s="1" t="s">
        <v>4</v>
      </c>
      <c r="E9" s="125" t="s">
        <v>203</v>
      </c>
      <c r="F9" s="8"/>
    </row>
    <row r="10" spans="1:9" s="23" customFormat="1">
      <c r="E10" s="125" t="s">
        <v>204</v>
      </c>
      <c r="F10" s="7"/>
    </row>
    <row r="11" spans="1:9" s="23" customFormat="1">
      <c r="E11" s="125" t="s">
        <v>205</v>
      </c>
      <c r="F11" s="7"/>
    </row>
    <row r="12" spans="1:9" s="23" customFormat="1">
      <c r="E12" s="125" t="s">
        <v>206</v>
      </c>
      <c r="F12" s="7"/>
      <c r="I12" s="17"/>
    </row>
    <row r="13" spans="1:9" s="23" customFormat="1">
      <c r="F13" s="146"/>
    </row>
    <row r="14" spans="1:9" s="23" customFormat="1">
      <c r="D14" s="7"/>
      <c r="E14" s="7"/>
      <c r="F14" s="7"/>
      <c r="G14" s="148"/>
      <c r="I14" s="17"/>
    </row>
    <row r="15" spans="1:9" s="23" customFormat="1">
      <c r="D15" s="7"/>
      <c r="E15" s="7"/>
      <c r="F15" s="7"/>
      <c r="G15" s="148"/>
      <c r="I15" s="17"/>
    </row>
    <row r="16" spans="1:9" s="23" customFormat="1" ht="14.25">
      <c r="B16" s="154" t="s">
        <v>41</v>
      </c>
      <c r="D16" s="7"/>
      <c r="E16" s="1" t="s">
        <v>65</v>
      </c>
      <c r="F16" s="7"/>
      <c r="G16" s="148"/>
      <c r="I16" s="17"/>
    </row>
    <row r="17" spans="2:9" s="23" customFormat="1">
      <c r="B17" s="155" t="s">
        <v>268</v>
      </c>
      <c r="C17" s="156" t="s">
        <v>267</v>
      </c>
      <c r="D17" s="7"/>
      <c r="E17" s="1" t="s">
        <v>256</v>
      </c>
      <c r="G17" s="148"/>
      <c r="I17" s="17"/>
    </row>
    <row r="18" spans="2:9" s="23" customFormat="1">
      <c r="B18" s="132" t="s">
        <v>65</v>
      </c>
      <c r="C18" s="133" t="s">
        <v>65</v>
      </c>
      <c r="D18" s="7"/>
      <c r="E18" s="1" t="s">
        <v>264</v>
      </c>
      <c r="G18" s="148"/>
      <c r="I18" s="17"/>
    </row>
    <row r="19" spans="2:9" s="23" customFormat="1">
      <c r="B19" s="149">
        <v>0.125</v>
      </c>
      <c r="C19" s="8">
        <v>30</v>
      </c>
      <c r="D19" s="7"/>
      <c r="E19" s="7"/>
      <c r="F19" s="7"/>
      <c r="G19" s="148"/>
      <c r="I19" s="17"/>
    </row>
    <row r="20" spans="2:9" s="23" customFormat="1">
      <c r="B20" s="149">
        <v>0.1875</v>
      </c>
      <c r="C20" s="8">
        <v>40</v>
      </c>
      <c r="D20" s="7"/>
      <c r="E20" s="7"/>
      <c r="F20" s="7"/>
      <c r="G20" s="148"/>
      <c r="I20" s="17"/>
    </row>
    <row r="21" spans="2:9" s="23" customFormat="1">
      <c r="B21" s="149">
        <v>0.25</v>
      </c>
      <c r="C21" s="8">
        <v>50</v>
      </c>
      <c r="D21" s="7"/>
      <c r="E21" s="7"/>
      <c r="F21" s="7"/>
      <c r="G21" s="148"/>
      <c r="I21" s="17"/>
    </row>
    <row r="22" spans="2:9" s="23" customFormat="1">
      <c r="B22" s="149">
        <v>0.3125</v>
      </c>
      <c r="C22" s="8">
        <v>60</v>
      </c>
      <c r="D22" s="7"/>
      <c r="G22" s="17"/>
    </row>
    <row r="23" spans="2:9" s="23" customFormat="1" ht="14.25" customHeight="1">
      <c r="B23" s="149">
        <v>0.375</v>
      </c>
      <c r="C23" s="8">
        <v>70</v>
      </c>
    </row>
    <row r="24" spans="2:9" s="23" customFormat="1">
      <c r="B24" s="149">
        <v>0.4375</v>
      </c>
      <c r="C24" s="8">
        <v>80</v>
      </c>
    </row>
    <row r="25" spans="2:9" s="23" customFormat="1">
      <c r="B25" s="149">
        <v>0.5</v>
      </c>
      <c r="C25" s="8">
        <v>90</v>
      </c>
    </row>
    <row r="26" spans="2:9" s="23" customFormat="1">
      <c r="B26" s="149">
        <v>0.625</v>
      </c>
      <c r="C26" s="8">
        <v>100</v>
      </c>
    </row>
    <row r="27" spans="2:9" s="23" customFormat="1">
      <c r="B27" s="149">
        <v>0.75</v>
      </c>
      <c r="C27" s="8">
        <v>110</v>
      </c>
    </row>
    <row r="28" spans="2:9" s="23" customFormat="1">
      <c r="B28" s="150">
        <v>1</v>
      </c>
      <c r="C28" s="8">
        <v>120</v>
      </c>
      <c r="D28"/>
    </row>
    <row r="29" spans="2:9" s="23" customFormat="1">
      <c r="B29" s="151"/>
      <c r="C29" s="8">
        <v>130</v>
      </c>
    </row>
    <row r="30" spans="2:9" s="23" customFormat="1">
      <c r="C30" s="8">
        <v>140</v>
      </c>
    </row>
    <row r="33" spans="2:5">
      <c r="B33" s="1" t="s">
        <v>266</v>
      </c>
      <c r="C33" s="23"/>
      <c r="D33" s="146"/>
      <c r="E33" s="452" t="s">
        <v>162</v>
      </c>
    </row>
    <row r="34" spans="2:5">
      <c r="B34" s="454" t="s">
        <v>171</v>
      </c>
      <c r="C34" s="454"/>
      <c r="D34" s="454"/>
      <c r="E34" s="452"/>
    </row>
    <row r="35" spans="2:5">
      <c r="B35" s="455" t="s">
        <v>161</v>
      </c>
      <c r="C35" s="455"/>
      <c r="D35" s="455"/>
      <c r="E35" s="453"/>
    </row>
    <row r="36" spans="2:5">
      <c r="B36" s="451" t="s">
        <v>172</v>
      </c>
      <c r="C36" s="451"/>
      <c r="D36" s="451"/>
      <c r="E36" s="93">
        <v>0</v>
      </c>
    </row>
    <row r="37" spans="2:5">
      <c r="B37" s="451" t="s">
        <v>173</v>
      </c>
      <c r="C37" s="451"/>
      <c r="D37" s="451"/>
      <c r="E37" s="93">
        <v>3.57</v>
      </c>
    </row>
    <row r="38" spans="2:5">
      <c r="B38" s="451" t="s">
        <v>174</v>
      </c>
      <c r="C38" s="451"/>
      <c r="D38" s="451"/>
      <c r="E38" s="93">
        <v>1.1399999999999999</v>
      </c>
    </row>
    <row r="39" spans="2:5">
      <c r="B39" s="451" t="s">
        <v>175</v>
      </c>
      <c r="C39" s="451"/>
      <c r="D39" s="451"/>
      <c r="E39" s="93">
        <v>14.29</v>
      </c>
    </row>
    <row r="40" spans="2:5">
      <c r="B40" s="451" t="s">
        <v>176</v>
      </c>
      <c r="C40" s="451"/>
      <c r="D40" s="451"/>
      <c r="E40" s="93">
        <v>4.54</v>
      </c>
    </row>
    <row r="41" spans="2:5">
      <c r="B41" s="451"/>
      <c r="C41" s="451"/>
      <c r="D41" s="451"/>
      <c r="E41" s="25"/>
    </row>
    <row r="42" spans="2:5">
      <c r="B42" s="451" t="s">
        <v>177</v>
      </c>
      <c r="C42" s="451"/>
      <c r="D42" s="451"/>
      <c r="E42" s="92"/>
    </row>
    <row r="43" spans="2:5">
      <c r="B43" s="451" t="str">
        <f>'Mechanical Finishing'!E29</f>
        <v>Choose control equipment type</v>
      </c>
      <c r="C43" s="451"/>
      <c r="D43" s="451"/>
      <c r="E43" s="94" t="str">
        <f>IF(B43=B35,"--",IF(B43=B36,E36,IF(B43=B37,E37,IF(B43=B38,E38,IF(B43=B39,E39,IF(B43=B40,E40))))))</f>
        <v>--</v>
      </c>
    </row>
    <row r="44" spans="2:5">
      <c r="C44" s="23"/>
      <c r="D44" s="23"/>
    </row>
  </sheetData>
  <sheetProtection algorithmName="SHA-512" hashValue="g52uXFoaeQQ81u9emDBxTOg2rXjS+5E6JrXNsteX4mLj5m2gDtMEJyuNm8WRhRHqaYnic1G8+Y7M6ypSZnlOJg==" saltValue="RF18MMuhoWO0/AEw7O0HzA==" spinCount="100000" sheet="1" objects="1" scenarios="1"/>
  <protectedRanges>
    <protectedRange sqref="G1:AP2" name="Range2_1"/>
  </protectedRanges>
  <mergeCells count="13">
    <mergeCell ref="B1:F1"/>
    <mergeCell ref="B2:F2"/>
    <mergeCell ref="B34:D34"/>
    <mergeCell ref="B35:D35"/>
    <mergeCell ref="B41:D41"/>
    <mergeCell ref="B42:D42"/>
    <mergeCell ref="B43:D43"/>
    <mergeCell ref="E33:E35"/>
    <mergeCell ref="B36:D36"/>
    <mergeCell ref="B37:D37"/>
    <mergeCell ref="B38:D38"/>
    <mergeCell ref="B39:D39"/>
    <mergeCell ref="B40:D40"/>
  </mergeCells>
  <pageMargins left="0.7" right="0.7" top="0.75" bottom="0.75" header="0.3" footer="0.3"/>
  <pageSetup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Dust control</vt:lpstr>
      <vt:lpstr>Standards</vt:lpstr>
      <vt:lpstr>Mechanical Finishing</vt:lpstr>
      <vt:lpstr>Abrasive Blasting</vt:lpstr>
      <vt:lpstr>Blasting charts</vt:lpstr>
      <vt:lpstr>Data Validation</vt:lpstr>
      <vt:lpstr>'Abrasive Blasting'!Print_Area</vt:lpstr>
      <vt:lpstr>'Blasting charts'!Print_Area</vt:lpstr>
      <vt:lpstr>'Data Validation'!Print_Area</vt:lpstr>
      <vt:lpstr>'Dust control'!Print_Area</vt:lpstr>
      <vt:lpstr>Instructions!Print_Area</vt:lpstr>
      <vt:lpstr>'Mechanical Finishing'!Print_Area</vt:lpstr>
      <vt:lpstr>Standards!Print_Area</vt:lpstr>
    </vt:vector>
  </TitlesOfParts>
  <Manager>Chris Klucas (SS)</Manager>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Abrasive blasting air emissions calculator</dc:title>
  <dc:subject>Determine potential emissions for blasting activities using this spreadsheet calculator.</dc:subject>
  <dc:creator>Minesota Pollution Control Agency - Emily Ohde (Sandra Simbeck)</dc:creator>
  <cp:keywords>Minnesota Pollution Control Agency,p-sbap5-19,potential,actual,emissions,calculator,abrasive,blast,small business,pte,air emissions calculator</cp:keywords>
  <dc:description/>
  <cp:lastModifiedBy>Simbeck, Sandra</cp:lastModifiedBy>
  <cp:lastPrinted>2023-06-05T19:15:29Z</cp:lastPrinted>
  <dcterms:created xsi:type="dcterms:W3CDTF">1999-08-02T19:26:55Z</dcterms:created>
  <dcterms:modified xsi:type="dcterms:W3CDTF">2023-06-06T17:48:06Z</dcterms:modified>
  <cp:category>planning, small business assistance program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ebe8739c-c6af-4bf8-afab-3031cb4bf09a</vt:lpwstr>
  </property>
</Properties>
</file>