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rswans\Desktop\Swanson.Regina.RS\Publication Support Team\PST# - Jennifer K\"/>
    </mc:Choice>
  </mc:AlternateContent>
  <xr:revisionPtr revIDLastSave="0" documentId="8_{B49B6544-FF74-4FA6-B987-03FC23B56C04}" xr6:coauthVersionLast="47" xr6:coauthVersionMax="47" xr10:uidLastSave="{00000000-0000-0000-0000-000000000000}"/>
  <bookViews>
    <workbookView xWindow="-120" yWindow="-120" windowWidth="29040" windowHeight="15840" activeTab="4" xr2:uid="{00000000-000D-0000-FFFF-FFFF00000000}"/>
  </bookViews>
  <sheets>
    <sheet name="Introduction" sheetId="1" r:id="rId1"/>
    <sheet name="Dairy" sheetId="2" r:id="rId2"/>
    <sheet name="Poultry" sheetId="3" r:id="rId3"/>
    <sheet name="Swine" sheetId="4" r:id="rId4"/>
    <sheet name="Alfalfa acres" sheetId="5" r:id="rId5"/>
    <sheet name="GWP conversion" sheetId="6" r:id="rId6"/>
    <sheet name="Notes" sheetId="7" r:id="rId7"/>
  </sheets>
  <externalReferences>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6" l="1"/>
  <c r="B4" i="6"/>
  <c r="K7" i="5"/>
  <c r="M5" i="5"/>
  <c r="L5" i="5"/>
  <c r="K5" i="5"/>
  <c r="I5" i="5"/>
  <c r="I7" i="5" s="1"/>
  <c r="H5" i="5"/>
  <c r="G5" i="5"/>
  <c r="G7" i="5" s="1"/>
  <c r="E5" i="5"/>
  <c r="C7" i="5" s="1"/>
  <c r="D5" i="5"/>
  <c r="M4" i="5"/>
  <c r="M7" i="5" s="1"/>
  <c r="L4" i="5"/>
  <c r="L7" i="5" s="1"/>
  <c r="K4" i="5"/>
  <c r="H4" i="5"/>
  <c r="H7" i="5" s="1"/>
  <c r="D4" i="5"/>
  <c r="D7" i="5" s="1"/>
  <c r="F53" i="4"/>
  <c r="P53" i="4" s="1"/>
  <c r="E53" i="4"/>
  <c r="O53" i="4" s="1"/>
  <c r="D53" i="4"/>
  <c r="N53" i="4" s="1"/>
  <c r="P51" i="4"/>
  <c r="O51" i="4"/>
  <c r="N51" i="4"/>
  <c r="K51" i="4"/>
  <c r="J51" i="4"/>
  <c r="I51" i="4"/>
  <c r="F49" i="4"/>
  <c r="P49" i="4" s="1"/>
  <c r="E49" i="4"/>
  <c r="O49" i="4" s="1"/>
  <c r="D49" i="4"/>
  <c r="N49" i="4" s="1"/>
  <c r="N48" i="4"/>
  <c r="I48" i="4"/>
  <c r="F48" i="4"/>
  <c r="P48" i="4" s="1"/>
  <c r="E48" i="4"/>
  <c r="O48" i="4" s="1"/>
  <c r="D48" i="4"/>
  <c r="P46" i="4"/>
  <c r="O46" i="4"/>
  <c r="N46" i="4"/>
  <c r="K46" i="4"/>
  <c r="J46" i="4"/>
  <c r="I46" i="4"/>
  <c r="N42" i="4"/>
  <c r="I42" i="4"/>
  <c r="F42" i="4"/>
  <c r="K42" i="4" s="1"/>
  <c r="E42" i="4"/>
  <c r="O42" i="4" s="1"/>
  <c r="D42" i="4"/>
  <c r="P40" i="4"/>
  <c r="O40" i="4"/>
  <c r="N40" i="4"/>
  <c r="K40" i="4"/>
  <c r="J40" i="4"/>
  <c r="I40" i="4"/>
  <c r="N39" i="4"/>
  <c r="I39" i="4"/>
  <c r="F39" i="4"/>
  <c r="P39" i="4" s="1"/>
  <c r="E39" i="4"/>
  <c r="O39" i="4" s="1"/>
  <c r="D39" i="4"/>
  <c r="F38" i="4"/>
  <c r="P38" i="4" s="1"/>
  <c r="E38" i="4"/>
  <c r="D38" i="4"/>
  <c r="N38" i="4" s="1"/>
  <c r="K37" i="4"/>
  <c r="F37" i="4"/>
  <c r="D37" i="4"/>
  <c r="N36" i="4"/>
  <c r="K36" i="4"/>
  <c r="J36" i="4"/>
  <c r="I36" i="4"/>
  <c r="F36" i="4"/>
  <c r="E36" i="4"/>
  <c r="D36" i="4"/>
  <c r="P35" i="4"/>
  <c r="O35" i="4"/>
  <c r="N35" i="4"/>
  <c r="K35" i="4"/>
  <c r="J35" i="4"/>
  <c r="I35" i="4"/>
  <c r="N31" i="4"/>
  <c r="I31" i="4"/>
  <c r="F31" i="4"/>
  <c r="P31" i="4" s="1"/>
  <c r="E31" i="4"/>
  <c r="O31" i="4" s="1"/>
  <c r="D31" i="4"/>
  <c r="P29" i="4"/>
  <c r="O29" i="4"/>
  <c r="K29" i="4"/>
  <c r="J29" i="4"/>
  <c r="I29" i="4"/>
  <c r="F29" i="4"/>
  <c r="E29" i="4"/>
  <c r="D29" i="4"/>
  <c r="N29" i="4" s="1"/>
  <c r="D28" i="4"/>
  <c r="D30" i="4" s="1"/>
  <c r="D32" i="4" s="1"/>
  <c r="P27" i="4"/>
  <c r="O27" i="4"/>
  <c r="N27" i="4"/>
  <c r="K27" i="4"/>
  <c r="J27" i="4"/>
  <c r="I27" i="4"/>
  <c r="P26" i="4"/>
  <c r="O26" i="4"/>
  <c r="N26" i="4"/>
  <c r="K26" i="4"/>
  <c r="J26" i="4"/>
  <c r="I26" i="4"/>
  <c r="N25" i="4"/>
  <c r="I25" i="4"/>
  <c r="F25" i="4"/>
  <c r="P25" i="4" s="1"/>
  <c r="E25" i="4"/>
  <c r="O25" i="4" s="1"/>
  <c r="D25" i="4"/>
  <c r="P24" i="4"/>
  <c r="P37" i="4" s="1"/>
  <c r="N24" i="4"/>
  <c r="N37" i="4" s="1"/>
  <c r="K24" i="4"/>
  <c r="J24" i="4"/>
  <c r="J37" i="4" s="1"/>
  <c r="I24" i="4"/>
  <c r="I37" i="4" s="1"/>
  <c r="E24" i="4"/>
  <c r="E37" i="4" s="1"/>
  <c r="K23" i="4"/>
  <c r="J23" i="4"/>
  <c r="I23" i="4"/>
  <c r="I28" i="4" s="1"/>
  <c r="I30" i="4" s="1"/>
  <c r="I32" i="4" s="1"/>
  <c r="F23" i="4"/>
  <c r="F28" i="4" s="1"/>
  <c r="F30" i="4" s="1"/>
  <c r="F32" i="4" s="1"/>
  <c r="F33" i="4" s="1"/>
  <c r="E23" i="4"/>
  <c r="E28" i="4" s="1"/>
  <c r="E30" i="4" s="1"/>
  <c r="E32" i="4" s="1"/>
  <c r="E33" i="4" s="1"/>
  <c r="D23" i="4"/>
  <c r="P22" i="4"/>
  <c r="O22" i="4"/>
  <c r="N22" i="4"/>
  <c r="K22" i="4"/>
  <c r="J22" i="4"/>
  <c r="I22" i="4"/>
  <c r="P18" i="4"/>
  <c r="O18" i="4"/>
  <c r="N18" i="4"/>
  <c r="K18" i="4"/>
  <c r="J18" i="4"/>
  <c r="I18" i="4"/>
  <c r="F18" i="4"/>
  <c r="E18" i="4"/>
  <c r="D18" i="4"/>
  <c r="P17" i="4"/>
  <c r="O17" i="4"/>
  <c r="N17" i="4"/>
  <c r="K17" i="4"/>
  <c r="J17" i="4"/>
  <c r="I17" i="4"/>
  <c r="P16" i="4"/>
  <c r="P19" i="4" s="1"/>
  <c r="P20" i="4" s="1"/>
  <c r="K16" i="4"/>
  <c r="K19" i="4" s="1"/>
  <c r="K20" i="4" s="1"/>
  <c r="J16" i="4"/>
  <c r="J19" i="4" s="1"/>
  <c r="J20" i="4" s="1"/>
  <c r="I16" i="4"/>
  <c r="I19" i="4" s="1"/>
  <c r="F16" i="4"/>
  <c r="F19" i="4" s="1"/>
  <c r="F20" i="4" s="1"/>
  <c r="E16" i="4"/>
  <c r="E19" i="4" s="1"/>
  <c r="E20" i="4" s="1"/>
  <c r="D16" i="4"/>
  <c r="D19" i="4" s="1"/>
  <c r="P15" i="4"/>
  <c r="O15" i="4"/>
  <c r="N15" i="4"/>
  <c r="K15" i="4"/>
  <c r="J15" i="4"/>
  <c r="I15" i="4"/>
  <c r="P13" i="4"/>
  <c r="K13" i="4"/>
  <c r="F13" i="4"/>
  <c r="G13" i="4" s="1"/>
  <c r="E13" i="4"/>
  <c r="D13" i="4"/>
  <c r="P12" i="4"/>
  <c r="O12" i="4"/>
  <c r="N12" i="4"/>
  <c r="K12" i="4"/>
  <c r="J12" i="4"/>
  <c r="J13" i="4" s="1"/>
  <c r="I12" i="4"/>
  <c r="I13" i="4" s="1"/>
  <c r="P11" i="4"/>
  <c r="P23" i="4" s="1"/>
  <c r="O11" i="4"/>
  <c r="O16" i="4" s="1"/>
  <c r="O19" i="4" s="1"/>
  <c r="O20" i="4" s="1"/>
  <c r="N11" i="4"/>
  <c r="N16" i="4" s="1"/>
  <c r="N19" i="4" s="1"/>
  <c r="L11" i="4"/>
  <c r="G11" i="4"/>
  <c r="P10" i="4"/>
  <c r="O10" i="4"/>
  <c r="N10" i="4"/>
  <c r="K10" i="4"/>
  <c r="J10" i="4"/>
  <c r="I10" i="4"/>
  <c r="S6" i="4"/>
  <c r="T5" i="4"/>
  <c r="T4" i="4"/>
  <c r="M46" i="3"/>
  <c r="L46" i="3"/>
  <c r="E46" i="3"/>
  <c r="I46" i="3" s="1"/>
  <c r="D46" i="3"/>
  <c r="H46" i="3" s="1"/>
  <c r="M44" i="3"/>
  <c r="L44" i="3"/>
  <c r="I44" i="3"/>
  <c r="H44" i="3"/>
  <c r="M42" i="3"/>
  <c r="L42" i="3"/>
  <c r="I42" i="3"/>
  <c r="D42" i="3"/>
  <c r="H42" i="3" s="1"/>
  <c r="M41" i="3"/>
  <c r="I41" i="3"/>
  <c r="D41" i="3"/>
  <c r="H41" i="3" s="1"/>
  <c r="H35" i="3"/>
  <c r="E35" i="3"/>
  <c r="M35" i="3" s="1"/>
  <c r="D35" i="3"/>
  <c r="L35" i="3" s="1"/>
  <c r="M33" i="3"/>
  <c r="L33" i="3"/>
  <c r="I33" i="3"/>
  <c r="H33" i="3"/>
  <c r="H32" i="3"/>
  <c r="E32" i="3"/>
  <c r="M32" i="3" s="1"/>
  <c r="D32" i="3"/>
  <c r="L32" i="3" s="1"/>
  <c r="M31" i="3"/>
  <c r="L31" i="3"/>
  <c r="E31" i="3"/>
  <c r="I31" i="3" s="1"/>
  <c r="D31" i="3"/>
  <c r="H31" i="3" s="1"/>
  <c r="M30" i="3"/>
  <c r="L30" i="3"/>
  <c r="I30" i="3"/>
  <c r="H30" i="3"/>
  <c r="H40" i="3" s="1"/>
  <c r="H45" i="3" s="1"/>
  <c r="H47" i="3" s="1"/>
  <c r="E30" i="3"/>
  <c r="D30" i="3"/>
  <c r="L29" i="3"/>
  <c r="I29" i="3"/>
  <c r="H29" i="3"/>
  <c r="H34" i="3" s="1"/>
  <c r="H36" i="3" s="1"/>
  <c r="E29" i="3"/>
  <c r="E34" i="3" s="1"/>
  <c r="D29" i="3"/>
  <c r="I24" i="3"/>
  <c r="E24" i="3"/>
  <c r="M24" i="3" s="1"/>
  <c r="D24" i="3"/>
  <c r="H24" i="3" s="1"/>
  <c r="M22" i="3"/>
  <c r="L22" i="3"/>
  <c r="E22" i="3"/>
  <c r="I22" i="3" s="1"/>
  <c r="D22" i="3"/>
  <c r="H22" i="3" s="1"/>
  <c r="L20" i="3"/>
  <c r="I20" i="3"/>
  <c r="M20" i="3" s="1"/>
  <c r="H20" i="3"/>
  <c r="M19" i="3"/>
  <c r="L19" i="3"/>
  <c r="I19" i="3"/>
  <c r="H19" i="3"/>
  <c r="I18" i="3"/>
  <c r="E18" i="3"/>
  <c r="M18" i="3" s="1"/>
  <c r="D18" i="3"/>
  <c r="H18" i="3" s="1"/>
  <c r="M17" i="3"/>
  <c r="L17" i="3"/>
  <c r="I17" i="3"/>
  <c r="H17" i="3"/>
  <c r="M16" i="3"/>
  <c r="L16" i="3"/>
  <c r="I16" i="3"/>
  <c r="I21" i="3" s="1"/>
  <c r="I23" i="3" s="1"/>
  <c r="I25" i="3" s="1"/>
  <c r="I26" i="3" s="1"/>
  <c r="H16" i="3"/>
  <c r="H21" i="3" s="1"/>
  <c r="H23" i="3" s="1"/>
  <c r="H25" i="3" s="1"/>
  <c r="E16" i="3"/>
  <c r="E21" i="3" s="1"/>
  <c r="E23" i="3" s="1"/>
  <c r="E25" i="3" s="1"/>
  <c r="E26" i="3" s="1"/>
  <c r="D16" i="3"/>
  <c r="D21" i="3" s="1"/>
  <c r="D23" i="3" s="1"/>
  <c r="D25" i="3" s="1"/>
  <c r="I12" i="3"/>
  <c r="H12" i="3"/>
  <c r="J12" i="3" s="1"/>
  <c r="E12" i="3"/>
  <c r="D12" i="3"/>
  <c r="F12" i="3" s="1"/>
  <c r="M11" i="3"/>
  <c r="M12" i="3" s="1"/>
  <c r="L11" i="3"/>
  <c r="L12" i="3" s="1"/>
  <c r="N12" i="3" s="1"/>
  <c r="I11" i="3"/>
  <c r="H11" i="3"/>
  <c r="N10" i="3"/>
  <c r="M10" i="3"/>
  <c r="M29" i="3" s="1"/>
  <c r="L10" i="3"/>
  <c r="J10" i="3"/>
  <c r="F10" i="3"/>
  <c r="M9" i="3"/>
  <c r="L9" i="3"/>
  <c r="I9" i="3"/>
  <c r="H9" i="3"/>
  <c r="P5" i="3"/>
  <c r="Q4" i="3"/>
  <c r="Q3" i="3"/>
  <c r="P53" i="2"/>
  <c r="J53" i="2"/>
  <c r="F53" i="2"/>
  <c r="K53" i="2" s="1"/>
  <c r="E53" i="2"/>
  <c r="O53" i="2" s="1"/>
  <c r="D53" i="2"/>
  <c r="N53" i="2" s="1"/>
  <c r="P51" i="2"/>
  <c r="O51" i="2"/>
  <c r="N51" i="2"/>
  <c r="K51" i="2"/>
  <c r="J51" i="2"/>
  <c r="I51" i="2"/>
  <c r="P49" i="2"/>
  <c r="J49" i="2"/>
  <c r="F49" i="2"/>
  <c r="K49" i="2" s="1"/>
  <c r="E49" i="2"/>
  <c r="O49" i="2" s="1"/>
  <c r="D49" i="2"/>
  <c r="N49" i="2" s="1"/>
  <c r="K48" i="2"/>
  <c r="F48" i="2"/>
  <c r="P48" i="2" s="1"/>
  <c r="E48" i="2"/>
  <c r="O48" i="2" s="1"/>
  <c r="D48" i="2"/>
  <c r="N48" i="2" s="1"/>
  <c r="P42" i="2"/>
  <c r="O42" i="2"/>
  <c r="J42" i="2"/>
  <c r="F42" i="2"/>
  <c r="K42" i="2" s="1"/>
  <c r="E42" i="2"/>
  <c r="D42" i="2"/>
  <c r="I42" i="2" s="1"/>
  <c r="P40" i="2"/>
  <c r="O40" i="2"/>
  <c r="N40" i="2"/>
  <c r="K40" i="2"/>
  <c r="J40" i="2"/>
  <c r="I40" i="2"/>
  <c r="P39" i="2"/>
  <c r="O39" i="2"/>
  <c r="J39" i="2"/>
  <c r="F39" i="2"/>
  <c r="K39" i="2" s="1"/>
  <c r="E39" i="2"/>
  <c r="D39" i="2"/>
  <c r="I39" i="2" s="1"/>
  <c r="E38" i="2"/>
  <c r="J38" i="2" s="1"/>
  <c r="J41" i="2" s="1"/>
  <c r="J43" i="2" s="1"/>
  <c r="J44" i="2" s="1"/>
  <c r="D38" i="2"/>
  <c r="I38" i="2" s="1"/>
  <c r="O37" i="2"/>
  <c r="N37" i="2"/>
  <c r="J37" i="2"/>
  <c r="F37" i="2"/>
  <c r="F38" i="2" s="1"/>
  <c r="E37" i="2"/>
  <c r="K36" i="2"/>
  <c r="J36" i="2"/>
  <c r="I36" i="2"/>
  <c r="I41" i="2" s="1"/>
  <c r="I43" i="2" s="1"/>
  <c r="F36" i="2"/>
  <c r="E36" i="2"/>
  <c r="D36" i="2"/>
  <c r="P31" i="2"/>
  <c r="O31" i="2"/>
  <c r="K31" i="2"/>
  <c r="J31" i="2"/>
  <c r="F31" i="2"/>
  <c r="E31" i="2"/>
  <c r="D31" i="2"/>
  <c r="I31" i="2" s="1"/>
  <c r="N29" i="2"/>
  <c r="F29" i="2"/>
  <c r="K29" i="2" s="1"/>
  <c r="E29" i="2"/>
  <c r="J29" i="2" s="1"/>
  <c r="D29" i="2"/>
  <c r="I29" i="2" s="1"/>
  <c r="P27" i="2"/>
  <c r="O27" i="2"/>
  <c r="N27" i="2"/>
  <c r="K27" i="2"/>
  <c r="J27" i="2"/>
  <c r="I27" i="2"/>
  <c r="P26" i="2"/>
  <c r="O26" i="2"/>
  <c r="N26" i="2"/>
  <c r="K26" i="2"/>
  <c r="J26" i="2"/>
  <c r="I26" i="2"/>
  <c r="D25" i="2"/>
  <c r="I25" i="2" s="1"/>
  <c r="I28" i="2" s="1"/>
  <c r="P24" i="2"/>
  <c r="P37" i="2" s="1"/>
  <c r="N24" i="2"/>
  <c r="I24" i="2"/>
  <c r="I37" i="2" s="1"/>
  <c r="F24" i="2"/>
  <c r="F25" i="2" s="1"/>
  <c r="E24" i="2"/>
  <c r="E25" i="2" s="1"/>
  <c r="D24" i="2"/>
  <c r="D37" i="2" s="1"/>
  <c r="D41" i="2" s="1"/>
  <c r="D43" i="2" s="1"/>
  <c r="K23" i="2"/>
  <c r="J23" i="2"/>
  <c r="I23" i="2"/>
  <c r="F23" i="2"/>
  <c r="E23" i="2"/>
  <c r="D23" i="2"/>
  <c r="D28" i="2" s="1"/>
  <c r="D30" i="2" s="1"/>
  <c r="D32" i="2" s="1"/>
  <c r="I19" i="2"/>
  <c r="L19" i="2" s="1"/>
  <c r="P18" i="2"/>
  <c r="O18" i="2"/>
  <c r="N18" i="2"/>
  <c r="K18" i="2"/>
  <c r="J18" i="2"/>
  <c r="I18" i="2"/>
  <c r="F18" i="2"/>
  <c r="E18" i="2"/>
  <c r="D18" i="2"/>
  <c r="P17" i="2"/>
  <c r="O17" i="2"/>
  <c r="N17" i="2"/>
  <c r="K17" i="2"/>
  <c r="K19" i="2" s="1"/>
  <c r="K20" i="2" s="1"/>
  <c r="J17" i="2"/>
  <c r="I17" i="2"/>
  <c r="K16" i="2"/>
  <c r="J16" i="2"/>
  <c r="J19" i="2" s="1"/>
  <c r="J20" i="2" s="1"/>
  <c r="I16" i="2"/>
  <c r="F16" i="2"/>
  <c r="F19" i="2" s="1"/>
  <c r="F20" i="2" s="1"/>
  <c r="E16" i="2"/>
  <c r="E19" i="2" s="1"/>
  <c r="E20" i="2" s="1"/>
  <c r="D16" i="2"/>
  <c r="D19" i="2" s="1"/>
  <c r="Q15" i="2"/>
  <c r="Q22" i="2" s="1"/>
  <c r="Q35" i="2" s="1"/>
  <c r="P15" i="2"/>
  <c r="P22" i="2" s="1"/>
  <c r="P35" i="2" s="1"/>
  <c r="O15" i="2"/>
  <c r="O22" i="2" s="1"/>
  <c r="O35" i="2" s="1"/>
  <c r="N15" i="2"/>
  <c r="N22" i="2" s="1"/>
  <c r="N35" i="2" s="1"/>
  <c r="L15" i="2"/>
  <c r="L22" i="2" s="1"/>
  <c r="L35" i="2" s="1"/>
  <c r="K15" i="2"/>
  <c r="K22" i="2" s="1"/>
  <c r="K35" i="2" s="1"/>
  <c r="J15" i="2"/>
  <c r="J22" i="2" s="1"/>
  <c r="J35" i="2" s="1"/>
  <c r="I15" i="2"/>
  <c r="I22" i="2" s="1"/>
  <c r="I35" i="2" s="1"/>
  <c r="G15" i="2"/>
  <c r="G22" i="2" s="1"/>
  <c r="G35" i="2" s="1"/>
  <c r="F15" i="2"/>
  <c r="F22" i="2" s="1"/>
  <c r="F35" i="2" s="1"/>
  <c r="E15" i="2"/>
  <c r="E22" i="2" s="1"/>
  <c r="E35" i="2" s="1"/>
  <c r="D15" i="2"/>
  <c r="D22" i="2" s="1"/>
  <c r="D35" i="2" s="1"/>
  <c r="J13" i="2"/>
  <c r="I13" i="2"/>
  <c r="F13" i="2"/>
  <c r="E13" i="2"/>
  <c r="D13" i="2"/>
  <c r="G13" i="2" s="1"/>
  <c r="P12" i="2"/>
  <c r="K12" i="2"/>
  <c r="K13" i="2" s="1"/>
  <c r="L13" i="2" s="1"/>
  <c r="Q11" i="2"/>
  <c r="P11" i="2"/>
  <c r="P23" i="2" s="1"/>
  <c r="O11" i="2"/>
  <c r="O16" i="2" s="1"/>
  <c r="O19" i="2" s="1"/>
  <c r="O20" i="2" s="1"/>
  <c r="N11" i="2"/>
  <c r="N36" i="2" s="1"/>
  <c r="L11" i="2"/>
  <c r="G11" i="2"/>
  <c r="E7" i="5" l="1"/>
  <c r="I41" i="4"/>
  <c r="I43" i="4" s="1"/>
  <c r="D33" i="4"/>
  <c r="G33" i="4" s="1"/>
  <c r="G4" i="4" s="1"/>
  <c r="G32" i="4"/>
  <c r="L19" i="4"/>
  <c r="I20" i="4"/>
  <c r="L20" i="4" s="1"/>
  <c r="L3" i="4" s="1"/>
  <c r="N41" i="4"/>
  <c r="N43" i="4" s="1"/>
  <c r="N20" i="4"/>
  <c r="Q20" i="4" s="1"/>
  <c r="Q3" i="4" s="1"/>
  <c r="Q19" i="4"/>
  <c r="P28" i="4"/>
  <c r="P30" i="4" s="1"/>
  <c r="P32" i="4" s="1"/>
  <c r="P33" i="4" s="1"/>
  <c r="D20" i="4"/>
  <c r="G20" i="4" s="1"/>
  <c r="G3" i="4" s="1"/>
  <c r="G19" i="4"/>
  <c r="L13" i="4"/>
  <c r="I33" i="4"/>
  <c r="J25" i="4"/>
  <c r="J28" i="4" s="1"/>
  <c r="J30" i="4" s="1"/>
  <c r="J32" i="4" s="1"/>
  <c r="J31" i="4"/>
  <c r="I38" i="4"/>
  <c r="I47" i="4" s="1"/>
  <c r="I52" i="4" s="1"/>
  <c r="I54" i="4" s="1"/>
  <c r="J39" i="4"/>
  <c r="J41" i="4" s="1"/>
  <c r="J42" i="4"/>
  <c r="J48" i="4"/>
  <c r="I49" i="4"/>
  <c r="I53" i="4"/>
  <c r="K48" i="4"/>
  <c r="J49" i="4"/>
  <c r="J53" i="4"/>
  <c r="K25" i="4"/>
  <c r="K28" i="4" s="1"/>
  <c r="K30" i="4" s="1"/>
  <c r="K38" i="4"/>
  <c r="K41" i="4" s="1"/>
  <c r="K43" i="4" s="1"/>
  <c r="K44" i="4" s="1"/>
  <c r="N23" i="4"/>
  <c r="N28" i="4" s="1"/>
  <c r="N30" i="4" s="1"/>
  <c r="N32" i="4" s="1"/>
  <c r="O24" i="4"/>
  <c r="O37" i="4" s="1"/>
  <c r="O36" i="4"/>
  <c r="K49" i="4"/>
  <c r="K53" i="4"/>
  <c r="O23" i="4"/>
  <c r="P36" i="4"/>
  <c r="D41" i="4"/>
  <c r="D43" i="4" s="1"/>
  <c r="K31" i="4"/>
  <c r="K39" i="4"/>
  <c r="N13" i="4"/>
  <c r="Q13" i="4" s="1"/>
  <c r="E41" i="4"/>
  <c r="E43" i="4" s="1"/>
  <c r="E44" i="4" s="1"/>
  <c r="P42" i="4"/>
  <c r="Q11" i="4"/>
  <c r="O13" i="4"/>
  <c r="F41" i="4"/>
  <c r="F43" i="4" s="1"/>
  <c r="F44" i="4" s="1"/>
  <c r="H26" i="3"/>
  <c r="J26" i="3" s="1"/>
  <c r="J3" i="3" s="1"/>
  <c r="J25" i="3"/>
  <c r="E36" i="3"/>
  <c r="E37" i="3" s="1"/>
  <c r="E40" i="3"/>
  <c r="E45" i="3" s="1"/>
  <c r="E47" i="3" s="1"/>
  <c r="E48" i="3" s="1"/>
  <c r="H48" i="3"/>
  <c r="M21" i="3"/>
  <c r="M23" i="3" s="1"/>
  <c r="M25" i="3" s="1"/>
  <c r="M26" i="3" s="1"/>
  <c r="H37" i="3"/>
  <c r="M34" i="3"/>
  <c r="M36" i="3" s="1"/>
  <c r="M37" i="3" s="1"/>
  <c r="M40" i="3"/>
  <c r="M45" i="3" s="1"/>
  <c r="M47" i="3" s="1"/>
  <c r="M48" i="3" s="1"/>
  <c r="I34" i="3"/>
  <c r="I40" i="3" s="1"/>
  <c r="I45" i="3" s="1"/>
  <c r="I47" i="3" s="1"/>
  <c r="L40" i="3"/>
  <c r="L45" i="3" s="1"/>
  <c r="L47" i="3" s="1"/>
  <c r="F25" i="3"/>
  <c r="D26" i="3"/>
  <c r="F26" i="3" s="1"/>
  <c r="F3" i="3" s="1"/>
  <c r="L34" i="3"/>
  <c r="L36" i="3" s="1"/>
  <c r="L41" i="3"/>
  <c r="L18" i="3"/>
  <c r="L21" i="3" s="1"/>
  <c r="L23" i="3" s="1"/>
  <c r="L25" i="3" s="1"/>
  <c r="I32" i="3"/>
  <c r="I35" i="3"/>
  <c r="L24" i="3"/>
  <c r="D34" i="3"/>
  <c r="D36" i="3" s="1"/>
  <c r="E28" i="2"/>
  <c r="E30" i="2" s="1"/>
  <c r="E32" i="2" s="1"/>
  <c r="E33" i="2" s="1"/>
  <c r="O25" i="2"/>
  <c r="J25" i="2"/>
  <c r="P25" i="2"/>
  <c r="F28" i="2"/>
  <c r="F30" i="2" s="1"/>
  <c r="F32" i="2" s="1"/>
  <c r="F33" i="2" s="1"/>
  <c r="K25" i="2"/>
  <c r="D20" i="2"/>
  <c r="G20" i="2" s="1"/>
  <c r="G3" i="2" s="1"/>
  <c r="G19" i="2"/>
  <c r="I44" i="2"/>
  <c r="P38" i="2"/>
  <c r="K38" i="2"/>
  <c r="D33" i="2"/>
  <c r="J28" i="2"/>
  <c r="J30" i="2" s="1"/>
  <c r="J32" i="2" s="1"/>
  <c r="J33" i="2" s="1"/>
  <c r="I30" i="2"/>
  <c r="I32" i="2" s="1"/>
  <c r="D47" i="2"/>
  <c r="D52" i="2" s="1"/>
  <c r="D54" i="2" s="1"/>
  <c r="J47" i="2"/>
  <c r="P28" i="2"/>
  <c r="P30" i="2" s="1"/>
  <c r="P32" i="2" s="1"/>
  <c r="P33" i="2" s="1"/>
  <c r="K28" i="2"/>
  <c r="K30" i="2" s="1"/>
  <c r="K32" i="2" s="1"/>
  <c r="K33" i="2" s="1"/>
  <c r="D44" i="2"/>
  <c r="N13" i="2"/>
  <c r="P16" i="2"/>
  <c r="P19" i="2" s="1"/>
  <c r="P20" i="2" s="1"/>
  <c r="I20" i="2"/>
  <c r="L20" i="2" s="1"/>
  <c r="L3" i="2" s="1"/>
  <c r="O36" i="2"/>
  <c r="K41" i="2"/>
  <c r="K43" i="2" s="1"/>
  <c r="K44" i="2" s="1"/>
  <c r="I47" i="2"/>
  <c r="O13" i="2"/>
  <c r="K24" i="2"/>
  <c r="K37" i="2" s="1"/>
  <c r="K47" i="2" s="1"/>
  <c r="K52" i="2" s="1"/>
  <c r="K54" i="2" s="1"/>
  <c r="K55" i="2" s="1"/>
  <c r="O29" i="2"/>
  <c r="P36" i="2"/>
  <c r="N38" i="2"/>
  <c r="N41" i="2" s="1"/>
  <c r="N43" i="2" s="1"/>
  <c r="I48" i="2"/>
  <c r="P13" i="2"/>
  <c r="N23" i="2"/>
  <c r="N25" i="2"/>
  <c r="P29" i="2"/>
  <c r="N31" i="2"/>
  <c r="O38" i="2"/>
  <c r="N39" i="2"/>
  <c r="N42" i="2"/>
  <c r="J48" i="2"/>
  <c r="I49" i="2"/>
  <c r="I53" i="2"/>
  <c r="O23" i="2"/>
  <c r="O28" i="2" s="1"/>
  <c r="O30" i="2" s="1"/>
  <c r="O32" i="2" s="1"/>
  <c r="O33" i="2" s="1"/>
  <c r="E41" i="2"/>
  <c r="E43" i="2" s="1"/>
  <c r="E44" i="2" s="1"/>
  <c r="F41" i="2"/>
  <c r="F43" i="2" s="1"/>
  <c r="F44" i="2" s="1"/>
  <c r="N16" i="2"/>
  <c r="N19" i="2" s="1"/>
  <c r="I55" i="4" l="1"/>
  <c r="J33" i="4"/>
  <c r="L32" i="4"/>
  <c r="J43" i="4"/>
  <c r="J44" i="4" s="1"/>
  <c r="J47" i="4"/>
  <c r="J52" i="4" s="1"/>
  <c r="J54" i="4" s="1"/>
  <c r="J55" i="4" s="1"/>
  <c r="N44" i="4"/>
  <c r="Q44" i="4" s="1"/>
  <c r="Q5" i="4" s="1"/>
  <c r="D44" i="4"/>
  <c r="G44" i="4" s="1"/>
  <c r="G5" i="4" s="1"/>
  <c r="G43" i="4"/>
  <c r="K47" i="4"/>
  <c r="K52" i="4" s="1"/>
  <c r="K54" i="4" s="1"/>
  <c r="K55" i="4" s="1"/>
  <c r="I44" i="4"/>
  <c r="L44" i="4" s="1"/>
  <c r="L5" i="4" s="1"/>
  <c r="L43" i="4"/>
  <c r="E47" i="4"/>
  <c r="E52" i="4" s="1"/>
  <c r="E54" i="4" s="1"/>
  <c r="E55" i="4" s="1"/>
  <c r="N33" i="4"/>
  <c r="P41" i="4"/>
  <c r="P43" i="4" s="1"/>
  <c r="P44" i="4" s="1"/>
  <c r="O41" i="4"/>
  <c r="O43" i="4" s="1"/>
  <c r="O44" i="4" s="1"/>
  <c r="N47" i="4"/>
  <c r="N52" i="4" s="1"/>
  <c r="N54" i="4" s="1"/>
  <c r="K32" i="4"/>
  <c r="K33" i="4" s="1"/>
  <c r="F47" i="4"/>
  <c r="F52" i="4" s="1"/>
  <c r="F54" i="4" s="1"/>
  <c r="F55" i="4" s="1"/>
  <c r="O28" i="4"/>
  <c r="O30" i="4" s="1"/>
  <c r="O32" i="4" s="1"/>
  <c r="O33" i="4" s="1"/>
  <c r="D47" i="4"/>
  <c r="D52" i="4" s="1"/>
  <c r="D54" i="4" s="1"/>
  <c r="L33" i="4"/>
  <c r="L4" i="4" s="1"/>
  <c r="N25" i="3"/>
  <c r="L26" i="3"/>
  <c r="N26" i="3" s="1"/>
  <c r="N3" i="3" s="1"/>
  <c r="I48" i="3"/>
  <c r="J47" i="3"/>
  <c r="J48" i="3"/>
  <c r="J5" i="3" s="1"/>
  <c r="F36" i="3"/>
  <c r="D37" i="3"/>
  <c r="F37" i="3" s="1"/>
  <c r="F4" i="3" s="1"/>
  <c r="N47" i="3"/>
  <c r="L48" i="3"/>
  <c r="N48" i="3" s="1"/>
  <c r="N5" i="3" s="1"/>
  <c r="I36" i="3"/>
  <c r="D40" i="3"/>
  <c r="D45" i="3" s="1"/>
  <c r="D47" i="3" s="1"/>
  <c r="N36" i="3"/>
  <c r="L37" i="3"/>
  <c r="N37" i="3" s="1"/>
  <c r="N4" i="3" s="1"/>
  <c r="N44" i="2"/>
  <c r="P41" i="2"/>
  <c r="P43" i="2" s="1"/>
  <c r="P44" i="2" s="1"/>
  <c r="D55" i="2"/>
  <c r="N47" i="2"/>
  <c r="N52" i="2" s="1"/>
  <c r="N54" i="2" s="1"/>
  <c r="J52" i="2"/>
  <c r="J54" i="2" s="1"/>
  <c r="J55" i="2" s="1"/>
  <c r="Q13" i="2"/>
  <c r="I33" i="2"/>
  <c r="L33" i="2" s="1"/>
  <c r="L4" i="2" s="1"/>
  <c r="L32" i="2"/>
  <c r="L43" i="2"/>
  <c r="F47" i="2"/>
  <c r="F52" i="2" s="1"/>
  <c r="F54" i="2" s="1"/>
  <c r="F55" i="2" s="1"/>
  <c r="L44" i="2"/>
  <c r="L5" i="2" s="1"/>
  <c r="O41" i="2"/>
  <c r="O43" i="2" s="1"/>
  <c r="O44" i="2" s="1"/>
  <c r="N20" i="2"/>
  <c r="Q20" i="2" s="1"/>
  <c r="Q3" i="2" s="1"/>
  <c r="Q19" i="2"/>
  <c r="G43" i="2"/>
  <c r="G32" i="2"/>
  <c r="E47" i="2"/>
  <c r="E52" i="2" s="1"/>
  <c r="E54" i="2" s="1"/>
  <c r="E55" i="2" s="1"/>
  <c r="N28" i="2"/>
  <c r="N30" i="2" s="1"/>
  <c r="N32" i="2" s="1"/>
  <c r="I52" i="2"/>
  <c r="I54" i="2" s="1"/>
  <c r="G44" i="2"/>
  <c r="G5" i="2" s="1"/>
  <c r="G33" i="2"/>
  <c r="G4" i="2" s="1"/>
  <c r="O47" i="4" l="1"/>
  <c r="O52" i="4" s="1"/>
  <c r="O54" i="4" s="1"/>
  <c r="O55" i="4" s="1"/>
  <c r="P47" i="4"/>
  <c r="P52" i="4" s="1"/>
  <c r="P54" i="4" s="1"/>
  <c r="P55" i="4" s="1"/>
  <c r="L55" i="4"/>
  <c r="L6" i="4" s="1"/>
  <c r="L8" i="4" s="1"/>
  <c r="N55" i="4"/>
  <c r="D55" i="4"/>
  <c r="G55" i="4" s="1"/>
  <c r="G6" i="4" s="1"/>
  <c r="G8" i="4" s="1"/>
  <c r="G54" i="4"/>
  <c r="Q32" i="4"/>
  <c r="Q33" i="4"/>
  <c r="Q4" i="4" s="1"/>
  <c r="Q43" i="4"/>
  <c r="L54" i="4"/>
  <c r="F7" i="3"/>
  <c r="F47" i="3"/>
  <c r="D48" i="3"/>
  <c r="F48" i="3" s="1"/>
  <c r="F5" i="3" s="1"/>
  <c r="I37" i="3"/>
  <c r="J37" i="3" s="1"/>
  <c r="J4" i="3" s="1"/>
  <c r="J7" i="3" s="1"/>
  <c r="J36" i="3"/>
  <c r="N7" i="3"/>
  <c r="L8" i="2"/>
  <c r="G55" i="2"/>
  <c r="G6" i="2" s="1"/>
  <c r="G8" i="2" s="1"/>
  <c r="G54" i="2"/>
  <c r="L54" i="2"/>
  <c r="I55" i="2"/>
  <c r="L55" i="2" s="1"/>
  <c r="L6" i="2" s="1"/>
  <c r="Q44" i="2"/>
  <c r="Q5" i="2" s="1"/>
  <c r="N33" i="2"/>
  <c r="Q33" i="2" s="1"/>
  <c r="Q4" i="2" s="1"/>
  <c r="Q32" i="2"/>
  <c r="O47" i="2"/>
  <c r="O52" i="2" s="1"/>
  <c r="O54" i="2" s="1"/>
  <c r="O55" i="2" s="1"/>
  <c r="N55" i="2"/>
  <c r="P47" i="2"/>
  <c r="P52" i="2" s="1"/>
  <c r="P54" i="2" s="1"/>
  <c r="P55" i="2" s="1"/>
  <c r="Q43" i="2"/>
  <c r="Q54" i="4" l="1"/>
  <c r="Q55" i="4"/>
  <c r="Q6" i="4" s="1"/>
  <c r="Q8" i="4"/>
  <c r="Q8" i="2"/>
  <c r="Q54" i="2"/>
  <c r="Q55" i="2"/>
  <c r="Q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Krueger</author>
    <author>Grosenheider, Kim</author>
    <author>Ness, Jenna</author>
    <author>tc={31DE50FA-BBA0-406A-983E-22DDCE9C4BFD}</author>
    <author>EU01228273</author>
  </authors>
  <commentList>
    <comment ref="S7" authorId="0" shapeId="0" xr:uid="{242735D0-6C2B-4827-BD4B-D4631BAA2D58}">
      <text>
        <r>
          <rPr>
            <b/>
            <sz val="9"/>
            <color indexed="81"/>
            <rFont val="Tahoma"/>
            <family val="2"/>
          </rPr>
          <t>Jennifer Krueger:</t>
        </r>
        <r>
          <rPr>
            <sz val="9"/>
            <color indexed="81"/>
            <rFont val="Tahoma"/>
            <family val="2"/>
          </rPr>
          <t xml:space="preserve">
Updated from 25 to 28</t>
        </r>
      </text>
    </comment>
    <comment ref="G8" authorId="1" shapeId="0" xr:uid="{3E9ED886-41B9-496A-B973-80709D785404}">
      <text>
        <r>
          <rPr>
            <b/>
            <sz val="9"/>
            <color indexed="81"/>
            <rFont val="Tahoma"/>
            <family val="2"/>
          </rPr>
          <t>EXISTING EMISSIONS</t>
        </r>
        <r>
          <rPr>
            <sz val="9"/>
            <color indexed="81"/>
            <rFont val="Tahoma"/>
            <family val="2"/>
          </rPr>
          <t xml:space="preserve">
</t>
        </r>
      </text>
    </comment>
    <comment ref="L8" authorId="1" shapeId="0" xr:uid="{3318A4BA-7D66-47E6-91D7-03337E8DC153}">
      <text>
        <r>
          <rPr>
            <b/>
            <sz val="9"/>
            <color indexed="81"/>
            <rFont val="Tahoma"/>
            <family val="2"/>
          </rPr>
          <t>PROJECT EMISSIONS</t>
        </r>
        <r>
          <rPr>
            <sz val="9"/>
            <color indexed="81"/>
            <rFont val="Tahoma"/>
            <family val="2"/>
          </rPr>
          <t xml:space="preserve">
</t>
        </r>
      </text>
    </comment>
    <comment ref="Q8" authorId="2" shapeId="0" xr:uid="{ADECDE49-95AD-4164-818A-B8D9F35C6FE2}">
      <text>
        <r>
          <rPr>
            <b/>
            <sz val="9"/>
            <color indexed="81"/>
            <rFont val="Tahoma"/>
            <family val="2"/>
          </rPr>
          <t>TOTAL EMISSIONS</t>
        </r>
      </text>
    </comment>
    <comment ref="S8" authorId="0" shapeId="0" xr:uid="{8B29E5F4-0D31-4CC7-8718-55F4F12005A0}">
      <text>
        <r>
          <rPr>
            <b/>
            <sz val="9"/>
            <color indexed="81"/>
            <rFont val="Tahoma"/>
            <family val="2"/>
          </rPr>
          <t>Jennifer Krueger:</t>
        </r>
        <r>
          <rPr>
            <sz val="9"/>
            <color indexed="81"/>
            <rFont val="Tahoma"/>
            <family val="2"/>
          </rPr>
          <t xml:space="preserve">
Updated from 298 to 265</t>
        </r>
      </text>
    </comment>
    <comment ref="B11" authorId="0" shapeId="0" xr:uid="{B27BED35-BA0C-4717-A1DE-2A71E59B168E}">
      <text>
        <r>
          <rPr>
            <sz val="9"/>
            <color indexed="81"/>
            <rFont val="Tahoma"/>
            <family val="2"/>
          </rPr>
          <t xml:space="preserve">Enter number of animals for the existing facility here. If a new facility, type 0. </t>
        </r>
      </text>
    </comment>
    <comment ref="B12" authorId="0" shapeId="0" xr:uid="{74866018-7C23-4C48-AA82-2BAE8535F128}">
      <text>
        <r>
          <rPr>
            <sz val="9"/>
            <color indexed="81"/>
            <rFont val="Tahoma"/>
            <family val="2"/>
          </rPr>
          <t>Enter 1.0 for Jersey Bred or 1.4 for Holstein Bred.</t>
        </r>
      </text>
    </comment>
    <comment ref="B16" authorId="0" shapeId="0" xr:uid="{B00CD05C-9EBC-4D57-B66A-18274821668A}">
      <text>
        <r>
          <rPr>
            <sz val="9"/>
            <color indexed="81"/>
            <rFont val="Tahoma"/>
            <family val="2"/>
          </rPr>
          <t>Note: these values will auto populate.</t>
        </r>
      </text>
    </comment>
    <comment ref="B17" authorId="2" shapeId="0" xr:uid="{A49E012A-0630-4BF9-8C61-0FE23A386124}">
      <text>
        <r>
          <rPr>
            <sz val="9"/>
            <color indexed="81"/>
            <rFont val="Tahoma"/>
            <family val="2"/>
          </rPr>
          <t>Note: Do not change the emission factor in this row.</t>
        </r>
      </text>
    </comment>
    <comment ref="E17" authorId="3" shapeId="0" xr:uid="{31DE50FA-BBA0-406A-983E-22DDCE9C4BFD}">
      <text>
        <t>[Threaded comment]
Your version of Excel allows you to read this threaded comment; however, any edits to it will get removed if the file is opened in a newer version of Excel. Learn more: https://go.microsoft.com/fwlink/?linkid=870924
Comment:
    Is this an average of the choices from the table A-149? If so, should be 54
"Heifer" is not listed, just "Replacements: 7-11 months" (factor 43) and "Replacements: 12-23 months" (factor 65)
43+65=108; 108/2=54
Reply:
    Table A-144</t>
      </text>
    </comment>
    <comment ref="S17" authorId="2" shapeId="0" xr:uid="{40904BC0-CB69-467C-AE01-15558B6FD9C7}">
      <text>
        <r>
          <rPr>
            <sz val="8"/>
            <color indexed="81"/>
            <rFont val="Tahoma"/>
            <family val="2"/>
          </rPr>
          <t xml:space="preserve">Heifer is calculated based on weighted average of month categories, e.g. 43*5 (months in that category) + 65*12. Total / 17 (total months) for average
</t>
        </r>
      </text>
    </comment>
    <comment ref="B24" authorId="0" shapeId="0" xr:uid="{28914ACA-335F-4F00-B102-9AC566FFB48B}">
      <text>
        <r>
          <rPr>
            <sz val="9"/>
            <color indexed="81"/>
            <rFont val="Tahoma"/>
            <family val="2"/>
          </rPr>
          <t>Note:  You may either use this default value or enter site-specific animal liveweight in kg. To convert from pounts to kilograms divide by 2.205.</t>
        </r>
      </text>
    </comment>
    <comment ref="B25" authorId="4" shapeId="0" xr:uid="{34710FA4-2771-4783-9EF6-E308D39E4E65}">
      <text>
        <r>
          <rPr>
            <sz val="9"/>
            <color indexed="81"/>
            <rFont val="Tahoma"/>
            <family val="2"/>
          </rPr>
          <t>Table A-158 divided by liveweight for cow and heifer. Table A-157 for calves multiplied by 365 for a year, divide that by 1000 to get per kg of live weight.</t>
        </r>
      </text>
    </comment>
    <comment ref="S25" authorId="2" shapeId="0" xr:uid="{F0732C5E-FBD1-4382-936B-6DB4226862AC}">
      <text>
        <r>
          <rPr>
            <sz val="8"/>
            <color indexed="81"/>
            <rFont val="Tahoma"/>
            <family val="2"/>
          </rPr>
          <t>Table A-157 divided by liveweight for cow and heifer. Table A-158 for calves multiplied by 365 for a year, divide that by 1000 to get per kg of live weight.</t>
        </r>
      </text>
    </comment>
    <comment ref="B29" authorId="0" shapeId="0" xr:uid="{F5659811-4AF0-4905-94BA-E2A43A547802}">
      <text>
        <r>
          <rPr>
            <sz val="9"/>
            <color indexed="81"/>
            <rFont val="Tahoma"/>
            <family val="2"/>
          </rPr>
          <t>Enter the emission factor  from column W (rows 10-25).</t>
        </r>
      </text>
    </comment>
    <comment ref="S38" authorId="2" shapeId="0" xr:uid="{8E488BE8-2F70-4C8A-AAD1-3CA5F5C928CF}">
      <text>
        <r>
          <rPr>
            <sz val="8"/>
            <color indexed="81"/>
            <rFont val="Tahoma"/>
            <family val="2"/>
          </rPr>
          <t>For cow and heifer on Table A-157, divide the number by the corresponding liveweight in row 44 for the final number. 
For calves on Table A-158, divide by 1000 to get 1kg of weight, then multiply by 365 to get per year.</t>
        </r>
      </text>
    </comment>
    <comment ref="B39" authorId="0" shapeId="0" xr:uid="{3CB2FAB9-1736-4AE8-80DC-C1F2FCA11AAE}">
      <text>
        <r>
          <rPr>
            <sz val="9"/>
            <color indexed="81"/>
            <rFont val="Tahoma"/>
            <family val="2"/>
          </rPr>
          <t>Enter the emission factor  from column W (28-40).</t>
        </r>
      </text>
    </comment>
    <comment ref="W43" authorId="2" shapeId="0" xr:uid="{E1DE9D21-5546-4CF0-BA0B-9FD8558011DB}">
      <text>
        <r>
          <rPr>
            <sz val="9"/>
            <color indexed="81"/>
            <rFont val="Tahoma"/>
            <family val="2"/>
          </rPr>
          <t>Keep in mind that data for nitrogen losses due to leaching were not available, so the values represent only nitrogen losses due to runoff.
Source: EPA (2002b, 2005). This note is provided at the bottom of Table A-185.</t>
        </r>
      </text>
    </comment>
    <comment ref="B48" authorId="0" shapeId="0" xr:uid="{266C58B3-D51D-423E-B8AA-80A90C2BDA09}">
      <text>
        <r>
          <rPr>
            <sz val="9"/>
            <color indexed="81"/>
            <rFont val="Tahoma"/>
            <family val="2"/>
          </rPr>
          <t>Enter the % from column W (45-55).</t>
        </r>
      </text>
    </comment>
    <comment ref="B49" authorId="0" shapeId="0" xr:uid="{29F3C133-7739-438A-B79F-DA800AEE9521}">
      <text>
        <r>
          <rPr>
            <sz val="9"/>
            <color indexed="81"/>
            <rFont val="Tahoma"/>
            <family val="2"/>
          </rPr>
          <t>Enter the % from column X (45-55).</t>
        </r>
      </text>
    </comment>
    <comment ref="B50" authorId="1" shapeId="0" xr:uid="{A590E079-0A82-479B-8B1E-5A5C5FB4D65D}">
      <text>
        <r>
          <rPr>
            <sz val="9"/>
            <color indexed="81"/>
            <rFont val="Tahoma"/>
            <family val="2"/>
          </rPr>
          <t>Note: Do not change the emission factor in this row.</t>
        </r>
      </text>
    </comment>
    <comment ref="S50" authorId="2" shapeId="0" xr:uid="{44F33A6B-3590-411A-AFFB-B4E2E66812B2}">
      <text>
        <r>
          <rPr>
            <sz val="9"/>
            <color indexed="81"/>
            <rFont val="Tahoma"/>
            <family val="2"/>
          </rPr>
          <t>Emission factor for volatilization as explained on page 316 and shown in equation on page 318 of USEPA, Inventory of US Sources and Sinks of Greenhouse Gases (2024).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Grosenheider, Kim</author>
    <author>Ness, Jenna</author>
  </authors>
  <commentList>
    <comment ref="F7" authorId="0" shapeId="0" xr:uid="{CD51C3E6-F161-45F0-A172-692F54D9FC79}">
      <text>
        <r>
          <rPr>
            <b/>
            <sz val="9"/>
            <color indexed="81"/>
            <rFont val="Tahoma"/>
            <family val="2"/>
          </rPr>
          <t>EXISTING EMISSIONS</t>
        </r>
        <r>
          <rPr>
            <sz val="9"/>
            <color indexed="81"/>
            <rFont val="Tahoma"/>
            <family val="2"/>
          </rPr>
          <t xml:space="preserve">
</t>
        </r>
      </text>
    </comment>
    <comment ref="J7" authorId="0" shapeId="0" xr:uid="{3DE541A1-456D-4022-B857-6B10DCE77489}">
      <text>
        <r>
          <rPr>
            <b/>
            <sz val="9"/>
            <color indexed="81"/>
            <rFont val="Tahoma"/>
            <family val="2"/>
          </rPr>
          <t>PROJECT EMISSIONS</t>
        </r>
        <r>
          <rPr>
            <sz val="9"/>
            <color indexed="81"/>
            <rFont val="Tahoma"/>
            <family val="2"/>
          </rPr>
          <t xml:space="preserve">
</t>
        </r>
      </text>
    </comment>
    <comment ref="N7" authorId="1" shapeId="0" xr:uid="{C5DAEF84-71C6-4B73-8A12-1341473E1308}">
      <text>
        <r>
          <rPr>
            <b/>
            <sz val="9"/>
            <color indexed="81"/>
            <rFont val="Tahoma"/>
            <family val="2"/>
          </rPr>
          <t>TOTAL EMISSIONS</t>
        </r>
      </text>
    </comment>
    <comment ref="D10" authorId="1" shapeId="0" xr:uid="{717E87A2-32DA-4B96-AA14-8EC6FF9AC491}">
      <text>
        <r>
          <rPr>
            <sz val="9"/>
            <color indexed="81"/>
            <rFont val="Tahoma"/>
            <family val="2"/>
          </rPr>
          <t>Enter number of animals for the existing facility. If a new facility, type 0.</t>
        </r>
      </text>
    </comment>
    <comment ref="E10" authorId="0" shapeId="0" xr:uid="{19AAF225-D114-4468-A1D2-BFC85385FC53}">
      <text>
        <r>
          <rPr>
            <sz val="9"/>
            <color indexed="81"/>
            <rFont val="Tahoma"/>
            <family val="2"/>
          </rPr>
          <t>Enter number of animals for the existing facility. If a new facility, type 0.</t>
        </r>
      </text>
    </comment>
    <comment ref="H10" authorId="1" shapeId="0" xr:uid="{5FDC25A5-9D1F-4886-98B9-32AB98446B70}">
      <text>
        <r>
          <rPr>
            <sz val="9"/>
            <color indexed="81"/>
            <rFont val="Tahoma"/>
            <family val="2"/>
          </rPr>
          <t>Enter the number of animals for the project.</t>
        </r>
      </text>
    </comment>
    <comment ref="I10" authorId="0" shapeId="0" xr:uid="{7BE4C439-2574-45E3-A4EF-BCBED6A40125}">
      <text>
        <r>
          <rPr>
            <sz val="9"/>
            <color indexed="81"/>
            <rFont val="Tahoma"/>
            <family val="2"/>
          </rPr>
          <t>Enter the number of animals for the project.</t>
        </r>
      </text>
    </comment>
    <comment ref="L10" authorId="1" shapeId="0" xr:uid="{BA3F7144-A7E5-4DB9-B623-17BA0C5C3F8F}">
      <text>
        <r>
          <rPr>
            <sz val="9"/>
            <color indexed="81"/>
            <rFont val="Tahoma"/>
            <family val="2"/>
          </rPr>
          <t>Note: these values will add up automatically.</t>
        </r>
      </text>
    </comment>
    <comment ref="M10" authorId="0" shapeId="0" xr:uid="{AF263854-2A78-4E34-BE15-E6CE86B7B12C}">
      <text>
        <r>
          <rPr>
            <sz val="9"/>
            <color indexed="81"/>
            <rFont val="Tahoma"/>
            <family val="2"/>
          </rPr>
          <t>Note: these values will add up automatically.</t>
        </r>
      </text>
    </comment>
    <comment ref="D17" authorId="0" shapeId="0" xr:uid="{ACF14918-CD27-455A-8FC5-AD854D07968E}">
      <text>
        <r>
          <rPr>
            <sz val="9"/>
            <color indexed="81"/>
            <rFont val="Tahoma"/>
            <family val="2"/>
          </rPr>
          <t xml:space="preserve">Note:  You may either use this default value or enter site-specific </t>
        </r>
        <r>
          <rPr>
            <b/>
            <u/>
            <sz val="9"/>
            <color indexed="81"/>
            <rFont val="Tahoma"/>
            <family val="2"/>
          </rPr>
          <t>animal liveweight in kg</t>
        </r>
        <r>
          <rPr>
            <sz val="9"/>
            <color indexed="81"/>
            <rFont val="Tahoma"/>
            <family val="2"/>
          </rPr>
          <t>. To convert from pounts to kilograms divide by 2.205.</t>
        </r>
      </text>
    </comment>
    <comment ref="E17" authorId="0" shapeId="0" xr:uid="{6C05EC91-1133-4E42-9573-FA27F8BB851D}">
      <text>
        <r>
          <rPr>
            <sz val="9"/>
            <color indexed="81"/>
            <rFont val="Tahoma"/>
            <family val="2"/>
          </rPr>
          <t xml:space="preserve">Note:  You may either use this default value or enter site-specific </t>
        </r>
        <r>
          <rPr>
            <b/>
            <u/>
            <sz val="9"/>
            <color indexed="81"/>
            <rFont val="Tahoma"/>
            <family val="2"/>
          </rPr>
          <t>animal liveweight in kg</t>
        </r>
        <r>
          <rPr>
            <sz val="9"/>
            <color indexed="81"/>
            <rFont val="Tahoma"/>
            <family val="2"/>
          </rPr>
          <t>. To convert from pounts to kilograms divide by 2.205.</t>
        </r>
      </text>
    </comment>
    <comment ref="H17" authorId="0" shapeId="0" xr:uid="{9A5B61AB-CF5B-425A-926F-82839BCECAD0}">
      <text>
        <r>
          <rPr>
            <sz val="9"/>
            <color indexed="81"/>
            <rFont val="Tahoma"/>
            <family val="2"/>
          </rPr>
          <t xml:space="preserve">Note:  You may either use this default value or enter site-specific </t>
        </r>
        <r>
          <rPr>
            <b/>
            <u/>
            <sz val="9"/>
            <color indexed="81"/>
            <rFont val="Tahoma"/>
            <family val="2"/>
          </rPr>
          <t>animal liveweight in kg</t>
        </r>
        <r>
          <rPr>
            <sz val="9"/>
            <color indexed="81"/>
            <rFont val="Tahoma"/>
            <family val="2"/>
          </rPr>
          <t>. To convert from pounts to kilograms divide by 2.205.</t>
        </r>
      </text>
    </comment>
    <comment ref="I17" authorId="0" shapeId="0" xr:uid="{ACEEE298-CF7D-4F9F-8564-5C2E0DD837C8}">
      <text>
        <r>
          <rPr>
            <sz val="9"/>
            <color indexed="81"/>
            <rFont val="Tahoma"/>
            <family val="2"/>
          </rPr>
          <t xml:space="preserve">Note:  You may either use this default value or enter site-specific </t>
        </r>
        <r>
          <rPr>
            <b/>
            <u/>
            <sz val="9"/>
            <color indexed="81"/>
            <rFont val="Tahoma"/>
            <family val="2"/>
          </rPr>
          <t>animal liveweight in kg</t>
        </r>
        <r>
          <rPr>
            <sz val="9"/>
            <color indexed="81"/>
            <rFont val="Tahoma"/>
            <family val="2"/>
          </rPr>
          <t>. To convert from pounts to kilograms divide by 2.205.</t>
        </r>
      </text>
    </comment>
    <comment ref="L17" authorId="0" shapeId="0" xr:uid="{4BB64D24-33C6-4871-8F23-38B8BA07A7F1}">
      <text>
        <r>
          <rPr>
            <sz val="9"/>
            <color indexed="81"/>
            <rFont val="Tahoma"/>
            <family val="2"/>
          </rPr>
          <t xml:space="preserve">Note:  You may either use this default value or enter site-specific </t>
        </r>
        <r>
          <rPr>
            <b/>
            <u/>
            <sz val="9"/>
            <color indexed="81"/>
            <rFont val="Tahoma"/>
            <family val="2"/>
          </rPr>
          <t>animal liveweight in kg</t>
        </r>
        <r>
          <rPr>
            <sz val="9"/>
            <color indexed="81"/>
            <rFont val="Tahoma"/>
            <family val="2"/>
          </rPr>
          <t>. To convert from pounts to kilograms divide by 2.205.</t>
        </r>
      </text>
    </comment>
    <comment ref="M17" authorId="0" shapeId="0" xr:uid="{782101E6-11A4-4B6A-9E1F-9E057A9579AA}">
      <text>
        <r>
          <rPr>
            <sz val="9"/>
            <color indexed="81"/>
            <rFont val="Tahoma"/>
            <family val="2"/>
          </rPr>
          <t xml:space="preserve">Note:  You may either use this default value or enter site-specific </t>
        </r>
        <r>
          <rPr>
            <b/>
            <u/>
            <sz val="9"/>
            <color indexed="81"/>
            <rFont val="Tahoma"/>
            <family val="2"/>
          </rPr>
          <t>animal liveweight in kg</t>
        </r>
        <r>
          <rPr>
            <sz val="9"/>
            <color indexed="81"/>
            <rFont val="Tahoma"/>
            <family val="2"/>
          </rPr>
          <t>. To convert from pounts to kilograms divide by 2.205.</t>
        </r>
      </text>
    </comment>
    <comment ref="P18" authorId="1" shapeId="0" xr:uid="{34CB1C80-FE40-4BA1-937E-24F5885D6321}">
      <text>
        <r>
          <rPr>
            <sz val="9"/>
            <color indexed="81"/>
            <rFont val="Tahoma"/>
            <family val="2"/>
          </rPr>
          <t>Table A-157 multiplied by 365 for a year, divide that by 1000 to get per kg of live weight.</t>
        </r>
      </text>
    </comment>
    <comment ref="D22" authorId="1" shapeId="0" xr:uid="{106D3CDB-6BBA-4EC6-B363-A6F480D23918}">
      <text>
        <r>
          <rPr>
            <sz val="9"/>
            <color indexed="81"/>
            <rFont val="Tahoma"/>
            <family val="2"/>
          </rPr>
          <t>Enter the emission factor  from column T (rows 20-38).</t>
        </r>
      </text>
    </comment>
    <comment ref="E22" authorId="0" shapeId="0" xr:uid="{D24945EA-53B9-47C9-AA58-63FF7120BA06}">
      <text>
        <r>
          <rPr>
            <sz val="9"/>
            <color indexed="81"/>
            <rFont val="Tahoma"/>
            <family val="2"/>
          </rPr>
          <t>Enter the emission factor from column T (rows 20-38).</t>
        </r>
      </text>
    </comment>
    <comment ref="H22" authorId="0" shapeId="0" xr:uid="{E2B8730E-761D-4D4D-A493-3564366A9601}">
      <text>
        <r>
          <rPr>
            <sz val="9"/>
            <color indexed="81"/>
            <rFont val="Tahoma"/>
            <family val="2"/>
          </rPr>
          <t>Enter the emission factor from column T (rows 20-38).</t>
        </r>
      </text>
    </comment>
    <comment ref="I22" authorId="0" shapeId="0" xr:uid="{1ADE8ED5-609F-41F4-852E-BCA7970689F7}">
      <text>
        <r>
          <rPr>
            <sz val="9"/>
            <color indexed="81"/>
            <rFont val="Tahoma"/>
            <family val="2"/>
          </rPr>
          <t>Enter the emission factor  from column T (rows 20-38).</t>
        </r>
      </text>
    </comment>
    <comment ref="L22" authorId="0" shapeId="0" xr:uid="{F39F146C-D95F-41B6-8D6C-4FEE5592C021}">
      <text>
        <r>
          <rPr>
            <sz val="9"/>
            <color indexed="81"/>
            <rFont val="Tahoma"/>
            <family val="2"/>
          </rPr>
          <t>Enter the emission factor from column T (rows 20-38).</t>
        </r>
      </text>
    </comment>
    <comment ref="M22" authorId="0" shapeId="0" xr:uid="{7B29F095-6644-4721-97AB-48C02CB48FD9}">
      <text>
        <r>
          <rPr>
            <sz val="9"/>
            <color indexed="81"/>
            <rFont val="Tahoma"/>
            <family val="2"/>
          </rPr>
          <t>Enter the emission factor from column T (rows 20-38).</t>
        </r>
      </text>
    </comment>
    <comment ref="P31" authorId="1" shapeId="0" xr:uid="{7EE05DE0-981E-4B27-B4F6-32B320B8EAFA}">
      <text>
        <r>
          <rPr>
            <sz val="9"/>
            <color indexed="81"/>
            <rFont val="Tahoma"/>
            <family val="2"/>
          </rPr>
          <t>Divide by 1000 to get 1kg of weight, then multiply by 365 to get per year.</t>
        </r>
      </text>
    </comment>
    <comment ref="D32" authorId="0" shapeId="0" xr:uid="{0579EB5C-5A0A-4C44-A6BF-5F4FAEB2A449}">
      <text>
        <r>
          <rPr>
            <sz val="9"/>
            <color indexed="81"/>
            <rFont val="Tahoma"/>
            <family val="2"/>
          </rPr>
          <t>Enter the emission factor  from column T (rows 42-57).</t>
        </r>
      </text>
    </comment>
    <comment ref="E32" authorId="0" shapeId="0" xr:uid="{955C12AB-7550-4494-813A-5264F5C4257A}">
      <text>
        <r>
          <rPr>
            <sz val="9"/>
            <color indexed="81"/>
            <rFont val="Tahoma"/>
            <family val="2"/>
          </rPr>
          <t>Enter the emission factor  from column T (rows 42-57).</t>
        </r>
      </text>
    </comment>
    <comment ref="H32" authorId="0" shapeId="0" xr:uid="{FDD60B0D-2867-4225-8C13-7638B3CB0BAC}">
      <text>
        <r>
          <rPr>
            <sz val="9"/>
            <color indexed="81"/>
            <rFont val="Tahoma"/>
            <family val="2"/>
          </rPr>
          <t>Enter the emission factor  from column T (rows 42-57).</t>
        </r>
      </text>
    </comment>
    <comment ref="I32" authorId="0" shapeId="0" xr:uid="{73D31D2E-FB65-4875-8DBC-B99B0C5B74CD}">
      <text>
        <r>
          <rPr>
            <sz val="9"/>
            <color indexed="81"/>
            <rFont val="Tahoma"/>
            <family val="2"/>
          </rPr>
          <t>Enter the emission factor  from column T (rows 42-57).</t>
        </r>
      </text>
    </comment>
    <comment ref="L32" authorId="0" shapeId="0" xr:uid="{E7F492BD-6C2F-48DD-BBEA-92A2765633AA}">
      <text>
        <r>
          <rPr>
            <sz val="9"/>
            <color indexed="81"/>
            <rFont val="Tahoma"/>
            <family val="2"/>
          </rPr>
          <t>Enter the emission factor  from column T (rows 42-57).</t>
        </r>
      </text>
    </comment>
    <comment ref="M32" authorId="0" shapeId="0" xr:uid="{10DDF5CD-6CEE-40D4-8158-0391875569A5}">
      <text>
        <r>
          <rPr>
            <sz val="9"/>
            <color indexed="81"/>
            <rFont val="Tahoma"/>
            <family val="2"/>
          </rPr>
          <t>Enter the emission factor  from column T (rows 42-57).</t>
        </r>
      </text>
    </comment>
    <comment ref="D41" authorId="1" shapeId="0" xr:uid="{7DFA30AF-DB54-4D8D-B027-52E19F7AEA85}">
      <text>
        <r>
          <rPr>
            <sz val="9"/>
            <color indexed="81"/>
            <rFont val="Tahoma"/>
            <family val="2"/>
          </rPr>
          <t>Enter the % from column T (rows 61-66).</t>
        </r>
      </text>
    </comment>
    <comment ref="E41" authorId="1" shapeId="0" xr:uid="{BE5041EE-43EB-47E9-AF97-1FB111623B51}">
      <text>
        <r>
          <rPr>
            <sz val="9"/>
            <color indexed="81"/>
            <rFont val="Tahoma"/>
            <family val="2"/>
          </rPr>
          <t>Enter the % from column T (rows 61-66).</t>
        </r>
      </text>
    </comment>
    <comment ref="H41" authorId="0" shapeId="0" xr:uid="{DFE41C09-74C1-4267-B5BC-4D609968D5B7}">
      <text>
        <r>
          <rPr>
            <sz val="9"/>
            <color indexed="81"/>
            <rFont val="Tahoma"/>
            <family val="2"/>
          </rPr>
          <t>Enter the % from column T (rows 61-66).</t>
        </r>
      </text>
    </comment>
    <comment ref="I41" authorId="0" shapeId="0" xr:uid="{7291A0D4-5A38-4E99-A632-E5122662242F}">
      <text>
        <r>
          <rPr>
            <sz val="9"/>
            <color indexed="81"/>
            <rFont val="Tahoma"/>
            <family val="2"/>
          </rPr>
          <t>Enter the % from column T (rows 61-66).</t>
        </r>
      </text>
    </comment>
    <comment ref="L41" authorId="0" shapeId="0" xr:uid="{076D54E8-3BD5-4672-B75C-A62763CCD2DB}">
      <text>
        <r>
          <rPr>
            <sz val="9"/>
            <color indexed="81"/>
            <rFont val="Tahoma"/>
            <family val="2"/>
          </rPr>
          <t>Enter the % from column T (rows 61-66).</t>
        </r>
      </text>
    </comment>
    <comment ref="M41" authorId="0" shapeId="0" xr:uid="{014CA0A5-4993-4323-9AD5-A285D14AE978}">
      <text>
        <r>
          <rPr>
            <sz val="9"/>
            <color indexed="81"/>
            <rFont val="Tahoma"/>
            <family val="2"/>
          </rPr>
          <t>Enter the % from column T (rows 61-66).</t>
        </r>
      </text>
    </comment>
    <comment ref="D42" authorId="0" shapeId="0" xr:uid="{29BBEDAF-D7ED-476C-A863-96BB34DF0E53}">
      <text>
        <r>
          <rPr>
            <sz val="9"/>
            <color indexed="81"/>
            <rFont val="Tahoma"/>
            <family val="2"/>
          </rPr>
          <t>Enter the % from column U (rows 61-66).</t>
        </r>
      </text>
    </comment>
    <comment ref="E42" authorId="0" shapeId="0" xr:uid="{25C1C2C5-6620-4D3E-9FD9-E0BA9E4C91B0}">
      <text>
        <r>
          <rPr>
            <sz val="9"/>
            <color indexed="81"/>
            <rFont val="Tahoma"/>
            <family val="2"/>
          </rPr>
          <t>Enter the % from column U (rows 61-66)</t>
        </r>
      </text>
    </comment>
    <comment ref="H42" authorId="0" shapeId="0" xr:uid="{F4BB7FBD-5EAE-43EC-902B-D9879EAC91FE}">
      <text>
        <r>
          <rPr>
            <sz val="9"/>
            <color indexed="81"/>
            <rFont val="Tahoma"/>
            <family val="2"/>
          </rPr>
          <t>Enter the % from column U (rows 61-66)</t>
        </r>
      </text>
    </comment>
    <comment ref="I42" authorId="0" shapeId="0" xr:uid="{B476B590-EC0D-439D-A4F7-96D6324B8565}">
      <text>
        <r>
          <rPr>
            <sz val="9"/>
            <color indexed="81"/>
            <rFont val="Tahoma"/>
            <family val="2"/>
          </rPr>
          <t>Enter the % from column U (rows 61-66)</t>
        </r>
      </text>
    </comment>
    <comment ref="L42" authorId="0" shapeId="0" xr:uid="{ECC6AFB4-5673-46DD-8656-6BEEAF78CA3E}">
      <text>
        <r>
          <rPr>
            <sz val="9"/>
            <color indexed="81"/>
            <rFont val="Tahoma"/>
            <family val="2"/>
          </rPr>
          <t>Enter the % from column U (rows 61-66)</t>
        </r>
      </text>
    </comment>
    <comment ref="M42" authorId="0" shapeId="0" xr:uid="{3BE61157-7EEE-43B3-8AF8-B10F4AA7BA33}">
      <text>
        <r>
          <rPr>
            <sz val="9"/>
            <color indexed="81"/>
            <rFont val="Tahoma"/>
            <family val="2"/>
          </rPr>
          <t>Enter the % from column U (rows 61-66)</t>
        </r>
      </text>
    </comment>
    <comment ref="P43" authorId="1" shapeId="0" xr:uid="{605C2C5B-A073-4D8B-8BF8-64D3FC7352AB}">
      <text>
        <r>
          <rPr>
            <sz val="9"/>
            <color indexed="81"/>
            <rFont val="Tahoma"/>
            <family val="2"/>
          </rPr>
          <t>Emission factor for volatilization as explained on page 316 and shown in equation on page 318 of USEPA, Inventory of US Sources and Sinks of Greenhouse Gases (2024).</t>
        </r>
      </text>
    </comment>
    <comment ref="U43" authorId="0" shapeId="0" xr:uid="{393D2764-CB0B-457D-A7EF-8C7F6FA935AF}">
      <text>
        <r>
          <rPr>
            <sz val="9"/>
            <color indexed="81"/>
            <rFont val="Tahoma"/>
            <family val="2"/>
          </rPr>
          <t xml:space="preserve">Note:  It is most important to chose emission factor based on manure storage type. It may be necessary to chose an emission factor for another animal type.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Grosenheider, Kim</author>
    <author>Ness, Jenna</author>
  </authors>
  <commentList>
    <comment ref="G8" authorId="0" shapeId="0" xr:uid="{EF3B0EA2-75CA-45B9-B985-F2A736AC6B10}">
      <text>
        <r>
          <rPr>
            <b/>
            <sz val="9"/>
            <color indexed="81"/>
            <rFont val="Tahoma"/>
            <family val="2"/>
          </rPr>
          <t>EXISTING EMISSIONS</t>
        </r>
      </text>
    </comment>
    <comment ref="L8" authorId="0" shapeId="0" xr:uid="{2900FD4E-AA7E-4D75-804A-22BA51B95768}">
      <text>
        <r>
          <rPr>
            <b/>
            <sz val="9"/>
            <color indexed="81"/>
            <rFont val="Tahoma"/>
            <family val="2"/>
          </rPr>
          <t>PROJECT EMISSIONS</t>
        </r>
        <r>
          <rPr>
            <sz val="9"/>
            <color indexed="81"/>
            <rFont val="Tahoma"/>
            <family val="2"/>
          </rPr>
          <t xml:space="preserve">
</t>
        </r>
      </text>
    </comment>
    <comment ref="Q8" authorId="1" shapeId="0" xr:uid="{5FC27FB7-F03A-4981-B5C6-F2F8B786EC5F}">
      <text>
        <r>
          <rPr>
            <b/>
            <sz val="9"/>
            <color indexed="81"/>
            <rFont val="Tahoma"/>
            <family val="2"/>
          </rPr>
          <t>TOTAL EMISSIONS</t>
        </r>
      </text>
    </comment>
    <comment ref="D11" authorId="1" shapeId="0" xr:uid="{D6E32A94-A6DC-43D5-B532-936EA448873E}">
      <text>
        <r>
          <rPr>
            <sz val="9"/>
            <color indexed="81"/>
            <rFont val="Tahoma"/>
            <family val="2"/>
          </rPr>
          <t>Enter the number of animals for the existing facility here. If a new facility, type 0 for all.</t>
        </r>
      </text>
    </comment>
    <comment ref="E11" authorId="0" shapeId="0" xr:uid="{C815871D-91A1-41FF-A95A-C556FC87CD47}">
      <text>
        <r>
          <rPr>
            <sz val="9"/>
            <color indexed="81"/>
            <rFont val="Tahoma"/>
            <family val="2"/>
          </rPr>
          <t>Enter the number of animals for the existing facility here. If a new facility, type 0 for all.</t>
        </r>
      </text>
    </comment>
    <comment ref="F11" authorId="0" shapeId="0" xr:uid="{E03EBA0E-0025-4E50-AC38-65B334967FD2}">
      <text>
        <r>
          <rPr>
            <sz val="9"/>
            <color indexed="81"/>
            <rFont val="Tahoma"/>
            <family val="2"/>
          </rPr>
          <t>Enter the number of animals for the existing facility here. If a new facility, type 0 for all.</t>
        </r>
      </text>
    </comment>
    <comment ref="I11" authorId="1" shapeId="0" xr:uid="{AB936C8C-6A97-4C9D-A34F-3889C389718A}">
      <text>
        <r>
          <rPr>
            <sz val="9"/>
            <color indexed="81"/>
            <rFont val="Tahoma"/>
            <family val="2"/>
          </rPr>
          <t>Enter the number of animals for the project additions here.</t>
        </r>
      </text>
    </comment>
    <comment ref="J11" authorId="0" shapeId="0" xr:uid="{B488687C-5573-4A6B-94B4-36B1A26E21A8}">
      <text>
        <r>
          <rPr>
            <sz val="9"/>
            <color indexed="81"/>
            <rFont val="Tahoma"/>
            <family val="2"/>
          </rPr>
          <t>Enter the number of animals for the project additions here.</t>
        </r>
      </text>
    </comment>
    <comment ref="K11" authorId="0" shapeId="0" xr:uid="{F420F7BE-A418-4900-823B-FCF7E6F4E07E}">
      <text>
        <r>
          <rPr>
            <sz val="9"/>
            <color indexed="81"/>
            <rFont val="Tahoma"/>
            <family val="2"/>
          </rPr>
          <t>Enter the number of animals for the project additions here.</t>
        </r>
      </text>
    </comment>
    <comment ref="N11" authorId="1" shapeId="0" xr:uid="{65C010E7-29FF-4485-B35B-D5EE1678D1E7}">
      <text>
        <r>
          <rPr>
            <sz val="9"/>
            <color indexed="81"/>
            <rFont val="Tahoma"/>
            <family val="2"/>
          </rPr>
          <t>Note: these values will auto populate.</t>
        </r>
      </text>
    </comment>
    <comment ref="O11" authorId="0" shapeId="0" xr:uid="{7C5FF475-5E29-499B-8CB2-564D4FB06576}">
      <text>
        <r>
          <rPr>
            <sz val="9"/>
            <color indexed="81"/>
            <rFont val="Tahoma"/>
            <family val="2"/>
          </rPr>
          <t>Note: these values will auto populate.</t>
        </r>
      </text>
    </comment>
    <comment ref="P11" authorId="0" shapeId="0" xr:uid="{9A02907E-A4CF-4467-9818-8F84CE866A67}">
      <text>
        <r>
          <rPr>
            <sz val="9"/>
            <color indexed="81"/>
            <rFont val="Tahoma"/>
            <family val="2"/>
          </rPr>
          <t>Note: these values will auto populate.</t>
        </r>
      </text>
    </comment>
    <comment ref="D16" authorId="0" shapeId="0" xr:uid="{E31B5461-2C6F-4153-ACD6-7A1164508EE1}">
      <text>
        <r>
          <rPr>
            <sz val="9"/>
            <color indexed="81"/>
            <rFont val="Tahoma"/>
            <family val="2"/>
          </rPr>
          <t>Note: these values will auto populate.</t>
        </r>
      </text>
    </comment>
    <comment ref="E16" authorId="1" shapeId="0" xr:uid="{67165E01-9842-4535-B383-6FF018B3CC17}">
      <text>
        <r>
          <rPr>
            <sz val="9"/>
            <color indexed="81"/>
            <rFont val="Tahoma"/>
            <family val="2"/>
          </rPr>
          <t>Note: these values will auto populate.</t>
        </r>
      </text>
    </comment>
    <comment ref="F16" authorId="0" shapeId="0" xr:uid="{B7F515ED-AAF6-43C8-A378-3D87EA61129F}">
      <text>
        <r>
          <rPr>
            <sz val="9"/>
            <color indexed="81"/>
            <rFont val="Tahoma"/>
            <family val="2"/>
          </rPr>
          <t>Note: these values will auto populate.</t>
        </r>
      </text>
    </comment>
    <comment ref="I16" authorId="0" shapeId="0" xr:uid="{683FE7FB-4858-45C2-B703-53CF34A13A58}">
      <text>
        <r>
          <rPr>
            <sz val="9"/>
            <color indexed="81"/>
            <rFont val="Tahoma"/>
            <family val="2"/>
          </rPr>
          <t>Note: these values will auto populate.</t>
        </r>
      </text>
    </comment>
    <comment ref="J16" authorId="0" shapeId="0" xr:uid="{506E8FA8-CB69-4C73-AFBE-05AB1B6FBA4A}">
      <text>
        <r>
          <rPr>
            <sz val="9"/>
            <color indexed="81"/>
            <rFont val="Tahoma"/>
            <family val="2"/>
          </rPr>
          <t>Note: these values will auto populate</t>
        </r>
        <r>
          <rPr>
            <b/>
            <sz val="9"/>
            <color indexed="81"/>
            <rFont val="Tahoma"/>
            <family val="2"/>
          </rPr>
          <t>.</t>
        </r>
      </text>
    </comment>
    <comment ref="K16" authorId="0" shapeId="0" xr:uid="{9787E7E8-EF6D-499A-BFE9-DC89DD97CAF0}">
      <text>
        <r>
          <rPr>
            <sz val="9"/>
            <color indexed="81"/>
            <rFont val="Tahoma"/>
            <family val="2"/>
          </rPr>
          <t>Note: these values will auto populate.</t>
        </r>
      </text>
    </comment>
    <comment ref="N16" authorId="0" shapeId="0" xr:uid="{0273DC1C-AFEF-49B4-ADAC-C6A605B66B7D}">
      <text>
        <r>
          <rPr>
            <sz val="9"/>
            <color indexed="81"/>
            <rFont val="Tahoma"/>
            <family val="2"/>
          </rPr>
          <t>Note: these values will auto populate.</t>
        </r>
      </text>
    </comment>
    <comment ref="O16" authorId="0" shapeId="0" xr:uid="{E1C432B7-E63F-493A-ACBF-F5E3F6977DE1}">
      <text>
        <r>
          <rPr>
            <sz val="9"/>
            <color indexed="81"/>
            <rFont val="Tahoma"/>
            <family val="2"/>
          </rPr>
          <t>Note: these values will auto populate.</t>
        </r>
      </text>
    </comment>
    <comment ref="P16" authorId="0" shapeId="0" xr:uid="{98B35DE0-A7C8-4D13-8B8C-D655376E4DFF}">
      <text>
        <r>
          <rPr>
            <sz val="9"/>
            <color indexed="81"/>
            <rFont val="Tahoma"/>
            <family val="2"/>
          </rPr>
          <t xml:space="preserve">Note: these values will auto populate.
</t>
        </r>
      </text>
    </comment>
    <comment ref="B17" authorId="1" shapeId="0" xr:uid="{797AA8D4-C4A3-4B97-BD42-1964A1E3A23D}">
      <text>
        <r>
          <rPr>
            <sz val="9"/>
            <color indexed="81"/>
            <rFont val="Tahoma"/>
            <family val="2"/>
          </rPr>
          <t>Note: Do not change the emission factor in this row.</t>
        </r>
      </text>
    </comment>
    <comment ref="D24" authorId="0" shapeId="0" xr:uid="{5DBF4BD2-A4C9-40BA-8D42-DEBFDDEB7E26}">
      <text>
        <r>
          <rPr>
            <sz val="9"/>
            <color indexed="81"/>
            <rFont val="Tahoma"/>
            <family val="2"/>
          </rPr>
          <t xml:space="preserve">Note:  You may either use this default value or enter site-specific animal </t>
        </r>
        <r>
          <rPr>
            <b/>
            <u/>
            <sz val="9"/>
            <color indexed="81"/>
            <rFont val="Tahoma"/>
            <family val="2"/>
          </rPr>
          <t>liveweight in kg</t>
        </r>
        <r>
          <rPr>
            <sz val="9"/>
            <color indexed="81"/>
            <rFont val="Tahoma"/>
            <family val="2"/>
          </rPr>
          <t>. To convert from pounts to kilograms divide by 2.205.</t>
        </r>
      </text>
    </comment>
    <comment ref="E24" authorId="0" shapeId="0" xr:uid="{2295B383-9C81-4BDE-9517-61DF7707F6CE}">
      <text>
        <r>
          <rPr>
            <sz val="9"/>
            <color indexed="81"/>
            <rFont val="Tahoma"/>
            <family val="2"/>
          </rPr>
          <t xml:space="preserve">Note:  You may either use this default value or enter site-specific animal </t>
        </r>
        <r>
          <rPr>
            <b/>
            <u/>
            <sz val="9"/>
            <color indexed="81"/>
            <rFont val="Tahoma"/>
            <family val="2"/>
          </rPr>
          <t>liveweight in kg</t>
        </r>
        <r>
          <rPr>
            <sz val="9"/>
            <color indexed="81"/>
            <rFont val="Tahoma"/>
            <family val="2"/>
          </rPr>
          <t>. To convert from pounts to kilograms divide by 2.205.</t>
        </r>
      </text>
    </comment>
    <comment ref="F24" authorId="0" shapeId="0" xr:uid="{1D822E8C-3AF4-404C-A5A6-1BC03D80F8FC}">
      <text>
        <r>
          <rPr>
            <sz val="9"/>
            <color indexed="81"/>
            <rFont val="Tahoma"/>
            <family val="2"/>
          </rPr>
          <t xml:space="preserve">Note:  You may either use this default value or enter site-specific animal </t>
        </r>
        <r>
          <rPr>
            <b/>
            <u/>
            <sz val="9"/>
            <color indexed="81"/>
            <rFont val="Tahoma"/>
            <family val="2"/>
          </rPr>
          <t>liveweight in kg</t>
        </r>
        <r>
          <rPr>
            <sz val="9"/>
            <color indexed="81"/>
            <rFont val="Tahoma"/>
            <family val="2"/>
          </rPr>
          <t xml:space="preserve">. To convert from pounts to kilograms divide by 2.205.
</t>
        </r>
      </text>
    </comment>
    <comment ref="I24" authorId="0" shapeId="0" xr:uid="{C69675C8-C9DB-4812-B07A-45C813A5AE62}">
      <text>
        <r>
          <rPr>
            <sz val="9"/>
            <color indexed="81"/>
            <rFont val="Tahoma"/>
            <family val="2"/>
          </rPr>
          <t xml:space="preserve">Note:  You may either use this default value or enter site-specific animal </t>
        </r>
        <r>
          <rPr>
            <b/>
            <u/>
            <sz val="9"/>
            <color indexed="81"/>
            <rFont val="Tahoma"/>
            <family val="2"/>
          </rPr>
          <t>liveweight in kg</t>
        </r>
        <r>
          <rPr>
            <sz val="9"/>
            <color indexed="81"/>
            <rFont val="Tahoma"/>
            <family val="2"/>
          </rPr>
          <t>. To convert from pounts to kilograms divide by 2.205.</t>
        </r>
      </text>
    </comment>
    <comment ref="J24" authorId="0" shapeId="0" xr:uid="{0D2ABF07-E622-4F51-9E5F-7AEDCCD4EF2F}">
      <text>
        <r>
          <rPr>
            <sz val="9"/>
            <color indexed="81"/>
            <rFont val="Tahoma"/>
            <family val="2"/>
          </rPr>
          <t xml:space="preserve">Note:  You may either use this default value or enter site-specific animal </t>
        </r>
        <r>
          <rPr>
            <b/>
            <u/>
            <sz val="9"/>
            <color indexed="81"/>
            <rFont val="Tahoma"/>
            <family val="2"/>
          </rPr>
          <t>liveweight in kg</t>
        </r>
        <r>
          <rPr>
            <sz val="9"/>
            <color indexed="81"/>
            <rFont val="Tahoma"/>
            <family val="2"/>
          </rPr>
          <t>. To convert from pounts to kilograms divide by 2.205.</t>
        </r>
      </text>
    </comment>
    <comment ref="K24" authorId="0" shapeId="0" xr:uid="{00656B91-48FC-4695-B20D-814B6FB5B0CF}">
      <text>
        <r>
          <rPr>
            <sz val="9"/>
            <color indexed="81"/>
            <rFont val="Tahoma"/>
            <family val="2"/>
          </rPr>
          <t xml:space="preserve">Note:  You may either use this default value or enter site-specific animal </t>
        </r>
        <r>
          <rPr>
            <b/>
            <u/>
            <sz val="9"/>
            <color indexed="81"/>
            <rFont val="Tahoma"/>
            <family val="2"/>
          </rPr>
          <t>liveweight in kg</t>
        </r>
        <r>
          <rPr>
            <sz val="9"/>
            <color indexed="81"/>
            <rFont val="Tahoma"/>
            <family val="2"/>
          </rPr>
          <t>. To convert from pounts to kilograms divide by 2.205.</t>
        </r>
      </text>
    </comment>
    <comment ref="N24" authorId="0" shapeId="0" xr:uid="{3DE1D572-6921-4FB6-AA74-43137D86A341}">
      <text>
        <r>
          <rPr>
            <sz val="9"/>
            <color indexed="81"/>
            <rFont val="Tahoma"/>
            <family val="2"/>
          </rPr>
          <t xml:space="preserve">Note:  You may either use this default value or enter site-specific animal </t>
        </r>
        <r>
          <rPr>
            <b/>
            <u/>
            <sz val="9"/>
            <color indexed="81"/>
            <rFont val="Tahoma"/>
            <family val="2"/>
          </rPr>
          <t>liveweight in kg</t>
        </r>
        <r>
          <rPr>
            <sz val="9"/>
            <color indexed="81"/>
            <rFont val="Tahoma"/>
            <family val="2"/>
          </rPr>
          <t>. To convert from pounts to kilograms divide by 2.205.</t>
        </r>
      </text>
    </comment>
    <comment ref="O24" authorId="0" shapeId="0" xr:uid="{88D688B6-FF83-4233-8F5C-591102DEEE00}">
      <text>
        <r>
          <rPr>
            <sz val="9"/>
            <color indexed="81"/>
            <rFont val="Tahoma"/>
            <family val="2"/>
          </rPr>
          <t xml:space="preserve">Note:  You may either use this default value or enter site-specific animal </t>
        </r>
        <r>
          <rPr>
            <b/>
            <u/>
            <sz val="9"/>
            <color indexed="81"/>
            <rFont val="Tahoma"/>
            <family val="2"/>
          </rPr>
          <t>liveweight in kg</t>
        </r>
        <r>
          <rPr>
            <sz val="9"/>
            <color indexed="81"/>
            <rFont val="Tahoma"/>
            <family val="2"/>
          </rPr>
          <t>. To convert from pounts to kilograms divide by 2.205.</t>
        </r>
      </text>
    </comment>
    <comment ref="P24" authorId="0" shapeId="0" xr:uid="{F89D97C8-E2FB-4DCF-87E0-3396CC5880F9}">
      <text>
        <r>
          <rPr>
            <sz val="9"/>
            <color indexed="81"/>
            <rFont val="Tahoma"/>
            <family val="2"/>
          </rPr>
          <t xml:space="preserve">Note:  You may either use this default value or enter site-specific animal </t>
        </r>
        <r>
          <rPr>
            <b/>
            <u/>
            <sz val="9"/>
            <color indexed="81"/>
            <rFont val="Tahoma"/>
            <family val="2"/>
          </rPr>
          <t>liveweight in kg</t>
        </r>
        <r>
          <rPr>
            <sz val="9"/>
            <color indexed="81"/>
            <rFont val="Tahoma"/>
            <family val="2"/>
          </rPr>
          <t>. To convert from pounts to kilograms divide by 2.205.</t>
        </r>
      </text>
    </comment>
    <comment ref="S25" authorId="1" shapeId="0" xr:uid="{5287EA8F-DE0E-4764-A745-A28EB6F4EDC2}">
      <text>
        <r>
          <rPr>
            <sz val="9"/>
            <color indexed="81"/>
            <rFont val="Tahoma"/>
            <family val="2"/>
          </rPr>
          <t>Table A-157 multiplied by 365 for a year, divide that by 1000 to get per kg of live weight.</t>
        </r>
      </text>
    </comment>
    <comment ref="D29" authorId="1" shapeId="0" xr:uid="{9C6303E7-48DE-46F7-B483-1CA9BCE093C1}">
      <text>
        <r>
          <rPr>
            <sz val="9"/>
            <color indexed="81"/>
            <rFont val="Tahoma"/>
            <family val="2"/>
          </rPr>
          <t>Enter the emission factor from column W (rows 20-30).</t>
        </r>
      </text>
    </comment>
    <comment ref="E29" authorId="0" shapeId="0" xr:uid="{F2FF5E0C-16D4-431C-A24B-47C83F0173E6}">
      <text>
        <r>
          <rPr>
            <sz val="9"/>
            <color indexed="81"/>
            <rFont val="Tahoma"/>
            <family val="2"/>
          </rPr>
          <t>Enter the emission factor from column W (rows 20-30).</t>
        </r>
      </text>
    </comment>
    <comment ref="F29" authorId="0" shapeId="0" xr:uid="{D1A02555-BF95-4554-A05D-8477C2AA083D}">
      <text>
        <r>
          <rPr>
            <sz val="9"/>
            <color indexed="81"/>
            <rFont val="Tahoma"/>
            <family val="2"/>
          </rPr>
          <t>Enter the emission factor from column W (rows 20-30).</t>
        </r>
      </text>
    </comment>
    <comment ref="I29" authorId="1" shapeId="0" xr:uid="{E2D680EA-94AA-4C89-9D34-AE00E6DFB93C}">
      <text>
        <r>
          <rPr>
            <sz val="9"/>
            <color indexed="81"/>
            <rFont val="Tahoma"/>
            <family val="2"/>
          </rPr>
          <t>Enter the emission factor from column W (rows 20-36).</t>
        </r>
      </text>
    </comment>
    <comment ref="J29" authorId="0" shapeId="0" xr:uid="{8C7D35C0-8FF6-4A63-8388-89A53642EED9}">
      <text>
        <r>
          <rPr>
            <sz val="9"/>
            <color indexed="81"/>
            <rFont val="Tahoma"/>
            <family val="2"/>
          </rPr>
          <t>Enter the emission factor from column W (rows 20-36).</t>
        </r>
      </text>
    </comment>
    <comment ref="K29" authorId="0" shapeId="0" xr:uid="{406FB4F7-0371-41B4-8079-1A521A4C1211}">
      <text>
        <r>
          <rPr>
            <sz val="9"/>
            <color indexed="81"/>
            <rFont val="Tahoma"/>
            <family val="2"/>
          </rPr>
          <t>Enter the emission factor from column W (rows 20-36).</t>
        </r>
      </text>
    </comment>
    <comment ref="N29" authorId="1" shapeId="0" xr:uid="{E1A30136-EAEE-490B-BCB8-2E8A4D3E8863}">
      <text>
        <r>
          <rPr>
            <sz val="9"/>
            <color indexed="81"/>
            <rFont val="Tahoma"/>
            <family val="2"/>
          </rPr>
          <t>Enter the emission factor from column W (rows 20-36).</t>
        </r>
      </text>
    </comment>
    <comment ref="O29" authorId="0" shapeId="0" xr:uid="{3608EDC0-D75E-48A7-BC88-EC576A0CC8E6}">
      <text>
        <r>
          <rPr>
            <sz val="9"/>
            <color indexed="81"/>
            <rFont val="Tahoma"/>
            <family val="2"/>
          </rPr>
          <t>Enter the emission factor from column W (rows 20-36).</t>
        </r>
      </text>
    </comment>
    <comment ref="P29" authorId="0" shapeId="0" xr:uid="{FBD081DB-4A1A-48E0-9ABE-8CAE6065412B}">
      <text>
        <r>
          <rPr>
            <sz val="9"/>
            <color indexed="81"/>
            <rFont val="Tahoma"/>
            <family val="2"/>
          </rPr>
          <t xml:space="preserve">Enter the emission factor from column W (rows 20-36).
</t>
        </r>
      </text>
    </comment>
    <comment ref="S38" authorId="1" shapeId="0" xr:uid="{CC1F5A53-F32E-4E86-8CC9-15660E749CF0}">
      <text>
        <r>
          <rPr>
            <sz val="9"/>
            <color indexed="81"/>
            <rFont val="Tahoma"/>
            <family val="2"/>
          </rPr>
          <t>Divide by 1000 to get 1kg of weight, then multiply by 365 to get per year.</t>
        </r>
      </text>
    </comment>
    <comment ref="D39" authorId="1" shapeId="0" xr:uid="{AD093CF5-912B-4B9F-93DF-9999C1B2E27B}">
      <text>
        <r>
          <rPr>
            <sz val="9"/>
            <color indexed="81"/>
            <rFont val="Tahoma"/>
            <family val="2"/>
          </rPr>
          <t>Enter the emission factor from column W (rows 39-51).</t>
        </r>
      </text>
    </comment>
    <comment ref="E39" authorId="0" shapeId="0" xr:uid="{2A9FD30E-A513-4071-93E2-5A8AAE7902B7}">
      <text>
        <r>
          <rPr>
            <sz val="9"/>
            <color indexed="81"/>
            <rFont val="Tahoma"/>
            <family val="2"/>
          </rPr>
          <t>Enter the emission factor from column W (rows 39-51).</t>
        </r>
      </text>
    </comment>
    <comment ref="F39" authorId="0" shapeId="0" xr:uid="{EA8E3A55-82CA-4E8A-8983-C55EC1EEB100}">
      <text>
        <r>
          <rPr>
            <sz val="9"/>
            <color indexed="81"/>
            <rFont val="Tahoma"/>
            <family val="2"/>
          </rPr>
          <t>Enter the emission factor from column W (rows 39-51).</t>
        </r>
      </text>
    </comment>
    <comment ref="I39" authorId="1" shapeId="0" xr:uid="{3F91EF32-1244-4E22-86A8-7494CF93084D}">
      <text>
        <r>
          <rPr>
            <sz val="9"/>
            <color indexed="81"/>
            <rFont val="Tahoma"/>
            <family val="2"/>
          </rPr>
          <t>Enter the emission factor from column W (rows 39-51).</t>
        </r>
      </text>
    </comment>
    <comment ref="J39" authorId="0" shapeId="0" xr:uid="{5BDDCA9C-6A18-46B8-8620-D7C0535B25B6}">
      <text>
        <r>
          <rPr>
            <sz val="9"/>
            <color indexed="81"/>
            <rFont val="Tahoma"/>
            <family val="2"/>
          </rPr>
          <t>Enter the emission factor from column W (rows 39-51).</t>
        </r>
      </text>
    </comment>
    <comment ref="K39" authorId="0" shapeId="0" xr:uid="{6F8779A4-C70F-4183-83C9-42F531086B0C}">
      <text>
        <r>
          <rPr>
            <sz val="9"/>
            <color indexed="81"/>
            <rFont val="Tahoma"/>
            <family val="2"/>
          </rPr>
          <t>Enter the emission factor from column W (rows 39-51).</t>
        </r>
      </text>
    </comment>
    <comment ref="N39" authorId="1" shapeId="0" xr:uid="{B4BF8928-7C6A-4319-8A5E-51BA09909143}">
      <text>
        <r>
          <rPr>
            <sz val="9"/>
            <color indexed="81"/>
            <rFont val="Tahoma"/>
            <family val="2"/>
          </rPr>
          <t>Enter the emission factor from column W (rows 39-51).</t>
        </r>
      </text>
    </comment>
    <comment ref="O39" authorId="0" shapeId="0" xr:uid="{B06129F3-5CE1-44CF-9C0E-D59A2FF64620}">
      <text>
        <r>
          <rPr>
            <sz val="9"/>
            <color indexed="81"/>
            <rFont val="Tahoma"/>
            <family val="2"/>
          </rPr>
          <t>Enter the emission factor from column W (rows 39-51).</t>
        </r>
      </text>
    </comment>
    <comment ref="P39" authorId="0" shapeId="0" xr:uid="{DBEC21F1-C022-4786-B7AC-5D275F468BCD}">
      <text>
        <r>
          <rPr>
            <sz val="9"/>
            <color indexed="81"/>
            <rFont val="Tahoma"/>
            <family val="2"/>
          </rPr>
          <t>Enter the emission factor from column W (rows 39-51).</t>
        </r>
      </text>
    </comment>
    <comment ref="D48" authorId="1" shapeId="0" xr:uid="{AEDD05B9-E9ED-4564-8AD0-9620D79DFA29}">
      <text>
        <r>
          <rPr>
            <sz val="9"/>
            <color indexed="81"/>
            <rFont val="Tahoma"/>
            <family val="2"/>
          </rPr>
          <t>Enter the % from column W (55-59).</t>
        </r>
      </text>
    </comment>
    <comment ref="E48" authorId="0" shapeId="0" xr:uid="{B6DE98FB-B64D-4657-959D-69E83713F699}">
      <text>
        <r>
          <rPr>
            <sz val="9"/>
            <color indexed="81"/>
            <rFont val="Tahoma"/>
            <family val="2"/>
          </rPr>
          <t>Enter the % from column W (55-59).</t>
        </r>
      </text>
    </comment>
    <comment ref="F48" authorId="0" shapeId="0" xr:uid="{1F206037-E0E6-4667-97C2-D1CB4126CFC4}">
      <text>
        <r>
          <rPr>
            <sz val="9"/>
            <color indexed="81"/>
            <rFont val="Tahoma"/>
            <family val="2"/>
          </rPr>
          <t>Enter the % from column W (55-59).</t>
        </r>
      </text>
    </comment>
    <comment ref="I48" authorId="1" shapeId="0" xr:uid="{6D6DE9BF-BD8E-4B4E-A149-03AAA8B9F94E}">
      <text>
        <r>
          <rPr>
            <sz val="9"/>
            <color indexed="81"/>
            <rFont val="Tahoma"/>
            <family val="2"/>
          </rPr>
          <t>Enter the % from column W (55-59).</t>
        </r>
      </text>
    </comment>
    <comment ref="J48" authorId="0" shapeId="0" xr:uid="{5E22A7F1-3B90-40F6-8914-87957BFFFF7C}">
      <text>
        <r>
          <rPr>
            <sz val="9"/>
            <color indexed="81"/>
            <rFont val="Tahoma"/>
            <family val="2"/>
          </rPr>
          <t xml:space="preserve">Enter the % from column W (55-59).
</t>
        </r>
      </text>
    </comment>
    <comment ref="K48" authorId="0" shapeId="0" xr:uid="{69FF9779-1554-4D03-87C4-7CD1D0F859A2}">
      <text>
        <r>
          <rPr>
            <sz val="9"/>
            <color indexed="81"/>
            <rFont val="Tahoma"/>
            <family val="2"/>
          </rPr>
          <t xml:space="preserve">Enter the % from column W (55-59).
</t>
        </r>
      </text>
    </comment>
    <comment ref="N48" authorId="1" shapeId="0" xr:uid="{6C66C0F0-A92F-44F9-B003-1BDA47026DEC}">
      <text>
        <r>
          <rPr>
            <sz val="9"/>
            <color indexed="81"/>
            <rFont val="Tahoma"/>
            <family val="2"/>
          </rPr>
          <t>Enter the % from column W (55-59).</t>
        </r>
      </text>
    </comment>
    <comment ref="O48" authorId="0" shapeId="0" xr:uid="{1EE92E01-38A3-45F6-A3EA-16CC3871ABF7}">
      <text>
        <r>
          <rPr>
            <sz val="9"/>
            <color indexed="81"/>
            <rFont val="Tahoma"/>
            <family val="2"/>
          </rPr>
          <t>Enter the % from column W (55-59).</t>
        </r>
      </text>
    </comment>
    <comment ref="P48" authorId="0" shapeId="0" xr:uid="{5AFABD85-01EE-4139-B382-DF718BA505BD}">
      <text>
        <r>
          <rPr>
            <sz val="9"/>
            <color indexed="81"/>
            <rFont val="Tahoma"/>
            <family val="2"/>
          </rPr>
          <t>Enter the % from column W (55-59).</t>
        </r>
      </text>
    </comment>
    <comment ref="Y48" authorId="0" shapeId="0" xr:uid="{FCBD4DC1-09C7-41E2-909C-E517DD268800}">
      <text>
        <r>
          <rPr>
            <sz val="9"/>
            <color indexed="81"/>
            <rFont val="Tahoma"/>
            <family val="2"/>
          </rPr>
          <t xml:space="preserve">Note:  It is most important to chose emission factor based on manure storage type. It may be necessary to chose an emission factor for another animal type. </t>
        </r>
      </text>
    </comment>
    <comment ref="D49" authorId="0" shapeId="0" xr:uid="{7A73791E-183D-4F2C-B3E7-618AD537454D}">
      <text>
        <r>
          <rPr>
            <sz val="9"/>
            <color indexed="81"/>
            <rFont val="Tahoma"/>
            <family val="2"/>
          </rPr>
          <t xml:space="preserve">Enter the % from column X (55-59).
</t>
        </r>
      </text>
    </comment>
    <comment ref="E49" authorId="0" shapeId="0" xr:uid="{78902B4B-3981-40E9-863F-AFAF536A2AE0}">
      <text>
        <r>
          <rPr>
            <sz val="9"/>
            <color indexed="81"/>
            <rFont val="Tahoma"/>
            <family val="2"/>
          </rPr>
          <t>Enter the % from column X (55-59).</t>
        </r>
      </text>
    </comment>
    <comment ref="F49" authorId="0" shapeId="0" xr:uid="{B50B977C-E634-4A30-8350-9F11C3D77DE2}">
      <text>
        <r>
          <rPr>
            <sz val="9"/>
            <color indexed="81"/>
            <rFont val="Tahoma"/>
            <family val="2"/>
          </rPr>
          <t>Enter the % from column X (55-59).</t>
        </r>
      </text>
    </comment>
    <comment ref="I49" authorId="0" shapeId="0" xr:uid="{53B4EE02-F8E3-46C8-BBB2-22A5599243F6}">
      <text>
        <r>
          <rPr>
            <sz val="9"/>
            <color indexed="81"/>
            <rFont val="Tahoma"/>
            <family val="2"/>
          </rPr>
          <t>Enter the % from column X (55-59).</t>
        </r>
      </text>
    </comment>
    <comment ref="J49" authorId="0" shapeId="0" xr:uid="{0BB30DC6-1C41-42D6-8893-2A536C3D7C1F}">
      <text>
        <r>
          <rPr>
            <sz val="9"/>
            <color indexed="81"/>
            <rFont val="Tahoma"/>
            <family val="2"/>
          </rPr>
          <t>Enter the % from column X (55-59).</t>
        </r>
      </text>
    </comment>
    <comment ref="K49" authorId="0" shapeId="0" xr:uid="{45B23E0F-C53D-4DE2-9D81-798849A586BA}">
      <text>
        <r>
          <rPr>
            <sz val="9"/>
            <color indexed="81"/>
            <rFont val="Tahoma"/>
            <family val="2"/>
          </rPr>
          <t xml:space="preserve">Enter the % from column X (55-59).
</t>
        </r>
      </text>
    </comment>
    <comment ref="N49" authorId="0" shapeId="0" xr:uid="{49733735-0611-49E4-BFB6-7DAFFA28D46B}">
      <text>
        <r>
          <rPr>
            <sz val="9"/>
            <color indexed="81"/>
            <rFont val="Tahoma"/>
            <family val="2"/>
          </rPr>
          <t>Enter the % from column X (55-59).</t>
        </r>
      </text>
    </comment>
    <comment ref="O49" authorId="0" shapeId="0" xr:uid="{50456651-DE4E-4FFF-93D6-C7CCF35B83C4}">
      <text>
        <r>
          <rPr>
            <sz val="9"/>
            <color indexed="81"/>
            <rFont val="Tahoma"/>
            <family val="2"/>
          </rPr>
          <t>Enter the % from column X (55-59).</t>
        </r>
      </text>
    </comment>
    <comment ref="P49" authorId="0" shapeId="0" xr:uid="{2C61E4FB-8464-42C3-8176-686197F74E58}">
      <text>
        <r>
          <rPr>
            <sz val="9"/>
            <color indexed="81"/>
            <rFont val="Tahoma"/>
            <family val="2"/>
          </rPr>
          <t>Enter the % from column X (55-59).</t>
        </r>
      </text>
    </comment>
    <comment ref="B50" authorId="0" shapeId="0" xr:uid="{27DCC5EB-ECD0-4851-96B7-C788FC8A9513}">
      <text>
        <r>
          <rPr>
            <sz val="9"/>
            <color indexed="81"/>
            <rFont val="Tahoma"/>
            <family val="2"/>
          </rPr>
          <t>Note: Do not change the emission factor in this row.</t>
        </r>
      </text>
    </comment>
    <comment ref="S50" authorId="1" shapeId="0" xr:uid="{22EF58CE-D7DC-4251-8A04-E4DF9A8204A9}">
      <text>
        <r>
          <rPr>
            <sz val="9"/>
            <color indexed="81"/>
            <rFont val="Tahoma"/>
            <family val="2"/>
          </rPr>
          <t>Emission factor for volatilization as explained on page 316 and shown in equation on page 318 of USEPA, Inventory of US Sources and Sinks of Greenhouse Gases (2024).</t>
        </r>
      </text>
    </comment>
  </commentList>
</comments>
</file>

<file path=xl/sharedStrings.xml><?xml version="1.0" encoding="utf-8"?>
<sst xmlns="http://schemas.openxmlformats.org/spreadsheetml/2006/main" count="785" uniqueCount="291">
  <si>
    <t>Cells highlighted in light green and bolded are user inputs.</t>
  </si>
  <si>
    <t>Cells highlighted in dark green are the  CO2e results from the users input.</t>
  </si>
  <si>
    <t>Existing facility</t>
  </si>
  <si>
    <t>Project/Proposed changes</t>
  </si>
  <si>
    <t>Totals after construction</t>
  </si>
  <si>
    <t>List of Emission Sources (calcs below):</t>
  </si>
  <si>
    <r>
      <t>CH</t>
    </r>
    <r>
      <rPr>
        <vertAlign val="subscript"/>
        <sz val="8"/>
        <color rgb="FF000000"/>
        <rFont val="Arial"/>
        <family val="2"/>
      </rPr>
      <t>4</t>
    </r>
    <r>
      <rPr>
        <sz val="8"/>
        <color rgb="FF000000"/>
        <rFont val="Arial"/>
        <family val="2"/>
      </rPr>
      <t xml:space="preserve"> - enteric fermentation</t>
    </r>
  </si>
  <si>
    <r>
      <t>CH</t>
    </r>
    <r>
      <rPr>
        <vertAlign val="subscript"/>
        <sz val="8"/>
        <color rgb="FF000000"/>
        <rFont val="Arial"/>
        <family val="2"/>
      </rPr>
      <t>4</t>
    </r>
    <r>
      <rPr>
        <sz val="8"/>
        <color rgb="FF000000"/>
        <rFont val="Arial"/>
        <family val="2"/>
      </rPr>
      <t xml:space="preserve"> - barn and manure storage</t>
    </r>
  </si>
  <si>
    <r>
      <t>N</t>
    </r>
    <r>
      <rPr>
        <vertAlign val="subscript"/>
        <sz val="8"/>
        <color rgb="FF000000"/>
        <rFont val="Arial"/>
        <family val="2"/>
      </rPr>
      <t>2</t>
    </r>
    <r>
      <rPr>
        <sz val="8"/>
        <color rgb="FF000000"/>
        <rFont val="Arial"/>
        <family val="2"/>
      </rPr>
      <t>O - barn and manure storage</t>
    </r>
  </si>
  <si>
    <r>
      <t>N</t>
    </r>
    <r>
      <rPr>
        <vertAlign val="subscript"/>
        <sz val="8"/>
        <color rgb="FF000000"/>
        <rFont val="Arial"/>
        <family val="2"/>
      </rPr>
      <t>2</t>
    </r>
    <r>
      <rPr>
        <sz val="8"/>
        <color rgb="FF000000"/>
        <rFont val="Arial"/>
        <family val="2"/>
      </rPr>
      <t>O - manure land application</t>
    </r>
  </si>
  <si>
    <t>Global Warming Potential (conversion to CO2e)</t>
  </si>
  <si>
    <t xml:space="preserve"> </t>
  </si>
  <si>
    <t>CH4</t>
  </si>
  <si>
    <t>CH4 - barn and manure storage</t>
  </si>
  <si>
    <t>Total CO2e</t>
  </si>
  <si>
    <t>N2O</t>
  </si>
  <si>
    <t>Methane conversion factors (MCFs) by manure storage type in %</t>
  </si>
  <si>
    <t>GWP Source: International Panel on Climate Change Fifth Assessment Report.</t>
  </si>
  <si>
    <t>Cattle Specific</t>
  </si>
  <si>
    <t>Notes</t>
  </si>
  <si>
    <t>Calves</t>
  </si>
  <si>
    <t>Heifers</t>
  </si>
  <si>
    <t>Cows</t>
  </si>
  <si>
    <t>Total</t>
  </si>
  <si>
    <t>stall floor accumulation/periodic removal</t>
  </si>
  <si>
    <t>Table A-162, cool climate</t>
  </si>
  <si>
    <t>Total Head</t>
  </si>
  <si>
    <t>long-term below barn pit storage</t>
  </si>
  <si>
    <t>Table A-163, Minnesota [deep pit]</t>
  </si>
  <si>
    <t>Animal units/head</t>
  </si>
  <si>
    <t>outdoor liquid/slurry basin/tank</t>
  </si>
  <si>
    <t>Table A-163, Minnesota</t>
  </si>
  <si>
    <t>Total animal units</t>
  </si>
  <si>
    <t>any liquid/slurry</t>
  </si>
  <si>
    <t>anaerobic lagoon</t>
  </si>
  <si>
    <r>
      <t>CH</t>
    </r>
    <r>
      <rPr>
        <b/>
        <vertAlign val="subscript"/>
        <sz val="8"/>
        <color rgb="FF000000"/>
        <rFont val="Arial"/>
        <family val="2"/>
      </rPr>
      <t>4</t>
    </r>
    <r>
      <rPr>
        <b/>
        <sz val="8"/>
        <color rgb="FF000000"/>
        <rFont val="Arial"/>
        <family val="2"/>
      </rPr>
      <t xml:space="preserve"> - enteric fermentation</t>
    </r>
  </si>
  <si>
    <t>Reference Tables</t>
  </si>
  <si>
    <t>No Specified Animal Type</t>
  </si>
  <si>
    <t>A</t>
  </si>
  <si>
    <t>animal inventory (head)</t>
  </si>
  <si>
    <t>aerobic lagoon</t>
  </si>
  <si>
    <t>B</t>
  </si>
  <si>
    <t>kg CH4/head/yr (EPA)</t>
  </si>
  <si>
    <t>Minnesota-specific estimates, Table A-144 (see note).</t>
  </si>
  <si>
    <r>
      <t xml:space="preserve">stall floor accumulation/periodic removal </t>
    </r>
    <r>
      <rPr>
        <sz val="8"/>
        <color rgb="FFFF0000"/>
        <rFont val="Arial"/>
        <family val="2"/>
      </rPr>
      <t>(aka catter deep litter (&gt;1 month)</t>
    </r>
  </si>
  <si>
    <t>C</t>
  </si>
  <si>
    <t>conversion from kg to short tons</t>
  </si>
  <si>
    <t>dry lot</t>
  </si>
  <si>
    <r>
      <t>tons CH</t>
    </r>
    <r>
      <rPr>
        <vertAlign val="subscript"/>
        <sz val="8"/>
        <color rgb="FF000000"/>
        <rFont val="Arial"/>
        <family val="2"/>
      </rPr>
      <t>4</t>
    </r>
    <r>
      <rPr>
        <sz val="8"/>
        <color rgb="FF000000"/>
        <rFont val="Arial"/>
        <family val="2"/>
      </rPr>
      <t xml:space="preserve"> (A*B*C)</t>
    </r>
  </si>
  <si>
    <t>solid storage</t>
  </si>
  <si>
    <r>
      <t>short tons/yr CO</t>
    </r>
    <r>
      <rPr>
        <b/>
        <vertAlign val="subscript"/>
        <sz val="8"/>
        <color rgb="FF000000"/>
        <rFont val="Arial"/>
        <family val="2"/>
      </rPr>
      <t>2</t>
    </r>
    <r>
      <rPr>
        <b/>
        <sz val="8"/>
        <color rgb="FF000000"/>
        <rFont val="Arial"/>
        <family val="2"/>
      </rPr>
      <t>-e</t>
    </r>
  </si>
  <si>
    <t>daily haul and spread (daily spread)</t>
  </si>
  <si>
    <t>pasture</t>
  </si>
  <si>
    <r>
      <t>CH</t>
    </r>
    <r>
      <rPr>
        <b/>
        <vertAlign val="subscript"/>
        <sz val="8"/>
        <color rgb="FF000000"/>
        <rFont val="Arial"/>
        <family val="2"/>
      </rPr>
      <t>4</t>
    </r>
    <r>
      <rPr>
        <b/>
        <sz val="8"/>
        <color rgb="FF000000"/>
        <rFont val="Arial"/>
        <family val="2"/>
      </rPr>
      <t xml:space="preserve"> - barn and manure storage</t>
    </r>
  </si>
  <si>
    <t>composting - in vessel</t>
  </si>
  <si>
    <t>D</t>
  </si>
  <si>
    <t>livestock (head)</t>
  </si>
  <si>
    <t>composting - static pile</t>
  </si>
  <si>
    <t>E</t>
  </si>
  <si>
    <t>animal liveweight (kg/head)</t>
  </si>
  <si>
    <t>US average basis, Table A-130.</t>
  </si>
  <si>
    <t>composting - extensive/passive</t>
  </si>
  <si>
    <t>F</t>
  </si>
  <si>
    <t>volatile solids (vs) production rate (kg VS/kg animal liveweight/yr)</t>
  </si>
  <si>
    <t xml:space="preserve">Minnesota-specific estimates, Table A-157 and Table A-158 (see note) </t>
  </si>
  <si>
    <t>composting - intensive</t>
  </si>
  <si>
    <t>G</t>
  </si>
  <si>
    <t>rate of CH4 production (potential) (m3 CH4/kg VS)</t>
  </si>
  <si>
    <t>US average basis, Table A-156.</t>
  </si>
  <si>
    <t>N2O - barn and manure storage</t>
  </si>
  <si>
    <t>H</t>
  </si>
  <si>
    <r>
      <t>convert from m</t>
    </r>
    <r>
      <rPr>
        <vertAlign val="superscript"/>
        <sz val="8"/>
        <color rgb="FF000000"/>
        <rFont val="Arial"/>
        <family val="2"/>
      </rPr>
      <t>3</t>
    </r>
    <r>
      <rPr>
        <sz val="8"/>
        <color rgb="FF000000"/>
        <rFont val="Arial"/>
        <family val="2"/>
      </rPr>
      <t xml:space="preserve"> to kgs (kg CH</t>
    </r>
    <r>
      <rPr>
        <vertAlign val="subscript"/>
        <sz val="8"/>
        <color rgb="FF000000"/>
        <rFont val="Arial"/>
        <family val="2"/>
      </rPr>
      <t>4</t>
    </r>
    <r>
      <rPr>
        <sz val="8"/>
        <color rgb="FF000000"/>
        <rFont val="Arial"/>
        <family val="2"/>
      </rPr>
      <t>/m</t>
    </r>
    <r>
      <rPr>
        <vertAlign val="superscript"/>
        <sz val="8"/>
        <color rgb="FF000000"/>
        <rFont val="Arial"/>
        <family val="2"/>
      </rPr>
      <t>3</t>
    </r>
    <r>
      <rPr>
        <sz val="8"/>
        <color rgb="FF000000"/>
        <rFont val="Arial"/>
        <family val="2"/>
      </rPr>
      <t xml:space="preserve"> CH</t>
    </r>
    <r>
      <rPr>
        <vertAlign val="subscript"/>
        <sz val="8"/>
        <color rgb="FF000000"/>
        <rFont val="Arial"/>
        <family val="2"/>
      </rPr>
      <t>4</t>
    </r>
    <r>
      <rPr>
        <sz val="8"/>
        <color rgb="FF000000"/>
        <rFont val="Arial"/>
        <family val="2"/>
      </rPr>
      <t>)</t>
    </r>
  </si>
  <si>
    <t>Density of CH4 at 25 C, Equation A-36</t>
  </si>
  <si>
    <t>kg N2O-N/kg N produced in feedlot by manure storage type</t>
  </si>
  <si>
    <t>I</t>
  </si>
  <si>
    <r>
      <t>B</t>
    </r>
    <r>
      <rPr>
        <vertAlign val="subscript"/>
        <sz val="8"/>
        <color rgb="FF000000"/>
        <rFont val="Arial"/>
        <family val="2"/>
      </rPr>
      <t>0</t>
    </r>
    <r>
      <rPr>
        <sz val="8"/>
        <color rgb="FF000000"/>
        <rFont val="Arial"/>
        <family val="2"/>
      </rPr>
      <t xml:space="preserve"> maximum potential CH</t>
    </r>
    <r>
      <rPr>
        <vertAlign val="subscript"/>
        <sz val="8"/>
        <color rgb="FF000000"/>
        <rFont val="Arial"/>
        <family val="2"/>
      </rPr>
      <t>4</t>
    </r>
    <r>
      <rPr>
        <sz val="8"/>
        <color rgb="FF000000"/>
        <rFont val="Arial"/>
        <family val="2"/>
      </rPr>
      <t xml:space="preserve"> production (kg/yr) (D*E*F*G*H)</t>
    </r>
  </si>
  <si>
    <t>Table A-164</t>
  </si>
  <si>
    <t>J</t>
  </si>
  <si>
    <r>
      <t>methane conversion factor (MCF) (% of potential CH</t>
    </r>
    <r>
      <rPr>
        <vertAlign val="subscript"/>
        <sz val="8"/>
        <rFont val="Arial"/>
        <family val="2"/>
      </rPr>
      <t>4</t>
    </r>
    <r>
      <rPr>
        <sz val="8"/>
        <rFont val="Arial"/>
        <family val="2"/>
      </rPr>
      <t>)</t>
    </r>
  </si>
  <si>
    <t>K</t>
  </si>
  <si>
    <r>
      <t>CH</t>
    </r>
    <r>
      <rPr>
        <vertAlign val="subscript"/>
        <sz val="8"/>
        <color rgb="FF000000"/>
        <rFont val="Arial"/>
        <family val="2"/>
      </rPr>
      <t>4</t>
    </r>
    <r>
      <rPr>
        <sz val="8"/>
        <color rgb="FF000000"/>
        <rFont val="Arial"/>
        <family val="2"/>
      </rPr>
      <t xml:space="preserve"> (metric tons/yr) (I*J)</t>
    </r>
  </si>
  <si>
    <t>aerobic lagoon (natural aeration)</t>
  </si>
  <si>
    <t>L</t>
  </si>
  <si>
    <t>convert from metric tons to short tons</t>
  </si>
  <si>
    <t>outdoor liquid/slurry basin/tank, no natural crust</t>
  </si>
  <si>
    <t>M</t>
  </si>
  <si>
    <r>
      <t>CH</t>
    </r>
    <r>
      <rPr>
        <vertAlign val="subscript"/>
        <sz val="8"/>
        <color rgb="FF000000"/>
        <rFont val="Arial"/>
        <family val="2"/>
      </rPr>
      <t>4</t>
    </r>
    <r>
      <rPr>
        <sz val="8"/>
        <color rgb="FF000000"/>
        <rFont val="Arial"/>
        <family val="2"/>
      </rPr>
      <t xml:space="preserve"> (short tons/yr) (K*L)</t>
    </r>
  </si>
  <si>
    <t>Table A-164 [pit storage]</t>
  </si>
  <si>
    <t>N</t>
  </si>
  <si>
    <r>
      <t>short tons/yr CO</t>
    </r>
    <r>
      <rPr>
        <vertAlign val="subscript"/>
        <sz val="8"/>
        <color rgb="FF000000"/>
        <rFont val="Arial"/>
        <family val="2"/>
      </rPr>
      <t>2</t>
    </r>
    <r>
      <rPr>
        <sz val="8"/>
        <color rgb="FF000000"/>
        <rFont val="Arial"/>
        <family val="2"/>
      </rPr>
      <t>-e</t>
    </r>
  </si>
  <si>
    <r>
      <t>N</t>
    </r>
    <r>
      <rPr>
        <b/>
        <vertAlign val="subscript"/>
        <sz val="8"/>
        <color rgb="FF000000"/>
        <rFont val="Arial"/>
        <family val="2"/>
      </rPr>
      <t>2</t>
    </r>
    <r>
      <rPr>
        <b/>
        <sz val="8"/>
        <color rgb="FF000000"/>
        <rFont val="Arial"/>
        <family val="2"/>
      </rPr>
      <t>O - barn and manure storage</t>
    </r>
  </si>
  <si>
    <t>daily spread</t>
  </si>
  <si>
    <t>O</t>
  </si>
  <si>
    <t>P</t>
  </si>
  <si>
    <t>Q</t>
  </si>
  <si>
    <t>excreted nitrogen (N)  (kg N/kg animal liveweight/yr)</t>
  </si>
  <si>
    <t>US average basis, Table A-157 and A-158</t>
  </si>
  <si>
    <t>compost - static pile</t>
  </si>
  <si>
    <t>R</t>
  </si>
  <si>
    <t>emission factor from manure storage (kg N/kg excreted N)</t>
  </si>
  <si>
    <t>US average basis, Table A-164 see tables on the right</t>
  </si>
  <si>
    <t>composting-passive</t>
  </si>
  <si>
    <t>S</t>
  </si>
  <si>
    <r>
      <t>Convert N to N</t>
    </r>
    <r>
      <rPr>
        <vertAlign val="subscript"/>
        <sz val="8"/>
        <color rgb="FF000000"/>
        <rFont val="Arial"/>
        <family val="2"/>
      </rPr>
      <t>2</t>
    </r>
    <r>
      <rPr>
        <sz val="8"/>
        <color rgb="FF000000"/>
        <rFont val="Arial"/>
        <family val="2"/>
      </rPr>
      <t>O</t>
    </r>
  </si>
  <si>
    <t>composting-intensive</t>
  </si>
  <si>
    <t>T</t>
  </si>
  <si>
    <r>
      <t>N</t>
    </r>
    <r>
      <rPr>
        <vertAlign val="subscript"/>
        <sz val="8"/>
        <color rgb="FF000000"/>
        <rFont val="Arial"/>
        <family val="2"/>
      </rPr>
      <t>2</t>
    </r>
    <r>
      <rPr>
        <sz val="8"/>
        <color rgb="FF000000"/>
        <rFont val="Arial"/>
        <family val="2"/>
      </rPr>
      <t>O emissions (metric tons) (O*P*Q*R*S/1000)</t>
    </r>
  </si>
  <si>
    <r>
      <t>N</t>
    </r>
    <r>
      <rPr>
        <b/>
        <vertAlign val="subscript"/>
        <sz val="9"/>
        <color rgb="FF000000"/>
        <rFont val="Arial"/>
        <family val="2"/>
      </rPr>
      <t>2</t>
    </r>
    <r>
      <rPr>
        <b/>
        <sz val="9"/>
        <color rgb="FF000000"/>
        <rFont val="Arial"/>
        <family val="2"/>
      </rPr>
      <t>O - manure land application</t>
    </r>
  </si>
  <si>
    <t>U</t>
  </si>
  <si>
    <t>N losses at feedlot to volatilization and leaching/run-off (% of available N) *</t>
  </si>
  <si>
    <t>V</t>
  </si>
  <si>
    <r>
      <t>N</t>
    </r>
    <r>
      <rPr>
        <vertAlign val="subscript"/>
        <sz val="8"/>
        <color rgb="FF000000"/>
        <rFont val="Arial"/>
        <family val="2"/>
      </rPr>
      <t>2</t>
    </r>
    <r>
      <rPr>
        <sz val="8"/>
        <color rgb="FF000000"/>
        <rFont val="Arial"/>
        <family val="2"/>
      </rPr>
      <t>O emissions (short tons) (T*U)</t>
    </r>
  </si>
  <si>
    <t>run-off/leaching rate</t>
  </si>
  <si>
    <t>volatilization rate</t>
  </si>
  <si>
    <t>W</t>
  </si>
  <si>
    <t>dairy cattle</t>
  </si>
  <si>
    <t>anaerobic lagoons</t>
  </si>
  <si>
    <t>Table A-165, Midwest</t>
  </si>
  <si>
    <r>
      <t>N</t>
    </r>
    <r>
      <rPr>
        <b/>
        <vertAlign val="subscript"/>
        <sz val="8"/>
        <color rgb="FF000000"/>
        <rFont val="Arial"/>
        <family val="2"/>
      </rPr>
      <t>2</t>
    </r>
    <r>
      <rPr>
        <b/>
        <sz val="8"/>
        <color rgb="FF000000"/>
        <rFont val="Arial"/>
        <family val="2"/>
      </rPr>
      <t>O - manure land application</t>
    </r>
  </si>
  <si>
    <t>outdoor liquid/slurry storage</t>
  </si>
  <si>
    <t>X</t>
  </si>
  <si>
    <t>N remaining in manure used as fertilizer ((O*P*Q)-T*1000/S) (kg/yr)</t>
  </si>
  <si>
    <t>below barn pit storage</t>
  </si>
  <si>
    <t>Table A-165, Midwest  [deep pit]</t>
  </si>
  <si>
    <t>Y</t>
  </si>
  <si>
    <t>feedlot runoff/leaching rate (%)</t>
  </si>
  <si>
    <t>regional basis, Table A-165</t>
  </si>
  <si>
    <t>Z</t>
  </si>
  <si>
    <t>feedlot volatilization rate (%)</t>
  </si>
  <si>
    <t>AA</t>
  </si>
  <si>
    <t>emission factor (%)</t>
  </si>
  <si>
    <t>US average basis, "Nitrous Oxide Emission Factors" or "Emission Factor for Volatilization"</t>
  </si>
  <si>
    <t>daily haul and spread</t>
  </si>
  <si>
    <t>AB</t>
  </si>
  <si>
    <t>convert N to N2O</t>
  </si>
  <si>
    <t>AC</t>
  </si>
  <si>
    <r>
      <t>N</t>
    </r>
    <r>
      <rPr>
        <vertAlign val="subscript"/>
        <sz val="8"/>
        <color rgb="FF000000"/>
        <rFont val="Arial"/>
        <family val="2"/>
      </rPr>
      <t>2</t>
    </r>
    <r>
      <rPr>
        <sz val="8"/>
        <color rgb="FF000000"/>
        <rFont val="Arial"/>
        <family val="2"/>
      </rPr>
      <t>O emissions (metric tons) ([X-(X*(Y+Z))*AA*AB/1000])</t>
    </r>
  </si>
  <si>
    <t>beef cattle</t>
  </si>
  <si>
    <t>AD</t>
  </si>
  <si>
    <t>AE</t>
  </si>
  <si>
    <r>
      <t>N</t>
    </r>
    <r>
      <rPr>
        <vertAlign val="subscript"/>
        <sz val="8"/>
        <color rgb="FF000000"/>
        <rFont val="Arial"/>
        <family val="2"/>
      </rPr>
      <t>2</t>
    </r>
    <r>
      <rPr>
        <sz val="8"/>
        <color rgb="FF000000"/>
        <rFont val="Arial"/>
        <family val="2"/>
      </rPr>
      <t>O emissions (short tons) (AC*AD)</t>
    </r>
  </si>
  <si>
    <t>AF</t>
  </si>
  <si>
    <r>
      <t>* Data for nitrogen losses due to leaching were not available, so the values represent only nitrogen losses due to runoff. Ta</t>
    </r>
    <r>
      <rPr>
        <sz val="8"/>
        <rFont val="Arial"/>
        <family val="2"/>
      </rPr>
      <t>ble A-165</t>
    </r>
    <r>
      <rPr>
        <sz val="8"/>
        <color rgb="FF000000"/>
        <rFont val="Arial"/>
        <family val="2"/>
      </rPr>
      <t>. Source: EBA (2002b, 2005)</t>
    </r>
  </si>
  <si>
    <t>The source used for emission factors and equations below came from USEPA, Inventory of US Sources and Sinks of Greenhouse Gases (2024)</t>
  </si>
  <si>
    <t>Inventory of U.S. Greenhouse Gas Emissions and Sinks: 1990-2020 – Agriculture (epa.gov)</t>
  </si>
  <si>
    <t>Inventory of U.S. Greenhouse Gas Emissions and Sinks: 1990-2020 – Annexes (epa.gov)</t>
  </si>
  <si>
    <t>This tool is designed to assist project proposers of Animal Feedlots for projects to calculate Greenhouse Gas (GHG) emissions/Carbon Footprint when responding to question 18 in the Environmental Assessment Worksheet (Alternative Form for Animal Feedlots).</t>
  </si>
  <si>
    <t>The source used for emissions factors and equations come from USEPA, Inventory of US Sources and Sinks of Greenhouse Gases (2024) which can be found: https://www.epa.gov/ghgemissions/inventory-us-greenhouse-gas-emissions-and-sinks-1990-2022 (April 11, 2024).</t>
  </si>
  <si>
    <t>tons CO2-e</t>
  </si>
  <si>
    <t>Methane conversion factors (MCFs) by manure storage type</t>
  </si>
  <si>
    <t>Poultry Specific</t>
  </si>
  <si>
    <t>Pullets</t>
  </si>
  <si>
    <t>Layers</t>
  </si>
  <si>
    <t>poultry with bedding</t>
  </si>
  <si>
    <t>poultry without bedding</t>
  </si>
  <si>
    <r>
      <t>CH</t>
    </r>
    <r>
      <rPr>
        <b/>
        <vertAlign val="subscript"/>
        <sz val="10"/>
        <color rgb="FF000000"/>
        <rFont val="Arial"/>
        <family val="2"/>
      </rPr>
      <t>4</t>
    </r>
    <r>
      <rPr>
        <b/>
        <sz val="10"/>
        <color rgb="FF000000"/>
        <rFont val="Arial"/>
        <family val="2"/>
      </rPr>
      <t xml:space="preserve"> - barn and manure storage</t>
    </r>
  </si>
  <si>
    <t>US average basis, Table A-156</t>
  </si>
  <si>
    <t>Minnesota-specific estimates, Table A-157 (see note)</t>
  </si>
  <si>
    <r>
      <t>rate of CH</t>
    </r>
    <r>
      <rPr>
        <vertAlign val="subscript"/>
        <sz val="8"/>
        <color rgb="FF000000"/>
        <rFont val="Arial"/>
        <family val="2"/>
      </rPr>
      <t>4</t>
    </r>
    <r>
      <rPr>
        <sz val="8"/>
        <color rgb="FF000000"/>
        <rFont val="Arial"/>
        <family val="2"/>
      </rPr>
      <t xml:space="preserve"> production (potential) (m</t>
    </r>
    <r>
      <rPr>
        <vertAlign val="superscript"/>
        <sz val="8"/>
        <color rgb="FF000000"/>
        <rFont val="Arial"/>
        <family val="2"/>
      </rPr>
      <t>3</t>
    </r>
    <r>
      <rPr>
        <sz val="8"/>
        <color rgb="FF000000"/>
        <rFont val="Arial"/>
        <family val="2"/>
      </rPr>
      <t xml:space="preserve"> CH</t>
    </r>
    <r>
      <rPr>
        <vertAlign val="subscript"/>
        <sz val="8"/>
        <color rgb="FF000000"/>
        <rFont val="Arial"/>
        <family val="2"/>
      </rPr>
      <t>4</t>
    </r>
    <r>
      <rPr>
        <sz val="8"/>
        <color rgb="FF000000"/>
        <rFont val="Arial"/>
        <family val="2"/>
      </rPr>
      <t>/kg VS)</t>
    </r>
  </si>
  <si>
    <t xml:space="preserve">US average basis, Tables A-162 and A-163 see tables on right </t>
  </si>
  <si>
    <t>convert to short tons</t>
  </si>
  <si>
    <r>
      <t>N</t>
    </r>
    <r>
      <rPr>
        <b/>
        <vertAlign val="subscript"/>
        <sz val="10"/>
        <color rgb="FF000000"/>
        <rFont val="Arial"/>
        <family val="2"/>
      </rPr>
      <t>2</t>
    </r>
    <r>
      <rPr>
        <b/>
        <sz val="10"/>
        <color rgb="FF000000"/>
        <rFont val="Arial"/>
        <family val="2"/>
      </rPr>
      <t>O - barn and manure storage</t>
    </r>
  </si>
  <si>
    <t>US average basis, Table A-157</t>
  </si>
  <si>
    <t>US average basis, Table A-164 (see tables to the right)</t>
  </si>
  <si>
    <r>
      <t>N</t>
    </r>
    <r>
      <rPr>
        <b/>
        <vertAlign val="subscript"/>
        <sz val="10"/>
        <color rgb="FF000000"/>
        <rFont val="Arial"/>
        <family val="2"/>
      </rPr>
      <t>2</t>
    </r>
    <r>
      <rPr>
        <b/>
        <sz val="10"/>
        <color rgb="FF000000"/>
        <rFont val="Arial"/>
        <family val="2"/>
      </rPr>
      <t>O - manure land application</t>
    </r>
  </si>
  <si>
    <t>N remaining in manure used as fertilizer ((O+P+Q)-T*1000/S) (kg/yr)</t>
  </si>
  <si>
    <t>manure with bedding</t>
  </si>
  <si>
    <t xml:space="preserve">Table A-165, Midwest </t>
  </si>
  <si>
    <t>manure without bedding</t>
  </si>
  <si>
    <t>* Data for nitrogen losses due to leaching were not available, so the values represent only nitrogen losses due to runoff. Table A-165. Source: EBA (2002b, 2005)</t>
  </si>
  <si>
    <r>
      <t>tons CO</t>
    </r>
    <r>
      <rPr>
        <b/>
        <vertAlign val="subscript"/>
        <sz val="8"/>
        <color rgb="FF000000"/>
        <rFont val="Arial"/>
        <family val="2"/>
      </rPr>
      <t>2</t>
    </r>
    <r>
      <rPr>
        <b/>
        <sz val="8"/>
        <color rgb="FF000000"/>
        <rFont val="Arial"/>
        <family val="2"/>
      </rPr>
      <t>-e</t>
    </r>
  </si>
  <si>
    <t>Swine &lt; 55 lbs</t>
  </si>
  <si>
    <t>Swine 55-330 lbs</t>
  </si>
  <si>
    <t>Swine &gt; 330 lbs [breeding]</t>
  </si>
  <si>
    <t>Swine Specific</t>
  </si>
  <si>
    <r>
      <t>CH</t>
    </r>
    <r>
      <rPr>
        <b/>
        <vertAlign val="subscript"/>
        <sz val="10"/>
        <color rgb="FF000000"/>
        <rFont val="Arial"/>
        <family val="2"/>
      </rPr>
      <t>4</t>
    </r>
    <r>
      <rPr>
        <b/>
        <sz val="10"/>
        <color rgb="FF000000"/>
        <rFont val="Arial"/>
        <family val="2"/>
      </rPr>
      <t xml:space="preserve"> - enteric fermentation</t>
    </r>
  </si>
  <si>
    <r>
      <t>kg CH</t>
    </r>
    <r>
      <rPr>
        <vertAlign val="subscript"/>
        <sz val="8"/>
        <color rgb="FF000000"/>
        <rFont val="Arial"/>
        <family val="2"/>
      </rPr>
      <t>4</t>
    </r>
    <r>
      <rPr>
        <sz val="8"/>
        <color rgb="FF000000"/>
        <rFont val="Arial"/>
        <family val="2"/>
      </rPr>
      <t>/head/yr (EPA)</t>
    </r>
  </si>
  <si>
    <t>US average basis, Table A-148</t>
  </si>
  <si>
    <t xml:space="preserve">conversion to tons/head/year </t>
  </si>
  <si>
    <t>US average basis; 
for &gt;330 lbs. class, values for breeding stock used Table A-156; 
for 55-330 lbs class, values from USEPA Table A-156's 50-119 lbs, 120-179 lbs, and &gt;180 lbs categories were used when calculating a weighted average from these weight classes in USDA 2006-2018 MN's Ag Stats distribution of hogs (2022) [not in USEPA Tables] https://www.nass.usda.gov/Statistics_by_State/Minnesota/Publications/Livestock_Press_Releases/2022/MN-Hogs-12-22.pdf</t>
  </si>
  <si>
    <r>
      <t>B</t>
    </r>
    <r>
      <rPr>
        <vertAlign val="subscript"/>
        <sz val="8"/>
        <rFont val="Arial"/>
        <family val="2"/>
      </rPr>
      <t>0</t>
    </r>
    <r>
      <rPr>
        <sz val="8"/>
        <rFont val="Arial"/>
        <family val="2"/>
      </rPr>
      <t xml:space="preserve"> maximum potential CH</t>
    </r>
    <r>
      <rPr>
        <vertAlign val="subscript"/>
        <sz val="8"/>
        <rFont val="Arial"/>
        <family val="2"/>
      </rPr>
      <t>4</t>
    </r>
    <r>
      <rPr>
        <sz val="8"/>
        <rFont val="Arial"/>
        <family val="2"/>
      </rPr>
      <t xml:space="preserve"> production (kg/yr) (D*E*F*G*H)</t>
    </r>
  </si>
  <si>
    <t>US average basis, Tables A-162 and A-163</t>
  </si>
  <si>
    <r>
      <t>CH</t>
    </r>
    <r>
      <rPr>
        <vertAlign val="subscript"/>
        <sz val="8"/>
        <rFont val="Arial"/>
        <family val="2"/>
      </rPr>
      <t>4</t>
    </r>
    <r>
      <rPr>
        <sz val="8"/>
        <rFont val="Arial"/>
        <family val="2"/>
      </rPr>
      <t xml:space="preserve"> (metric tons/yr) (I*J)</t>
    </r>
  </si>
  <si>
    <t xml:space="preserve">US average basis, Table A-157 </t>
  </si>
  <si>
    <t>US average basis, Table A-164</t>
  </si>
  <si>
    <t>Table A-165, Midwest [deep pit]</t>
  </si>
  <si>
    <t>version 10/16/24</t>
  </si>
  <si>
    <t>min</t>
  </si>
  <si>
    <t>mean</t>
  </si>
  <si>
    <t>max</t>
  </si>
  <si>
    <t>Alfalfa crop (acres)</t>
  </si>
  <si>
    <t>CO2e avoidance emission factor (tons/acre/yr)</t>
  </si>
  <si>
    <t>TOTAL CO2e avoided (tons/yr) (A*B)</t>
  </si>
  <si>
    <t>Note: For the EAW, round the total CO2e to the nearest 100 ton.</t>
  </si>
  <si>
    <t xml:space="preserve">Link to September 2022 </t>
  </si>
  <si>
    <t>CO2e avoidance data source: MPCA, Greenhouse Gas Reduction Potential of Agricultural Best Management Practices, p-gen4-21, September 2022, section M</t>
  </si>
  <si>
    <t>Greenhouse gas reduction potential of agricultural best management practices (2022 Revised edition) (state.mn.us)</t>
  </si>
  <si>
    <t>10/16/2024: Updated document to the 2022- no change to CO2e avoidance emission factor</t>
  </si>
  <si>
    <t>IPCC AR4 GWP</t>
  </si>
  <si>
    <t>IPCC AR5 GWP</t>
  </si>
  <si>
    <t>IPCC AR6 GWP</t>
  </si>
  <si>
    <t>Dairy</t>
  </si>
  <si>
    <t>Poultry</t>
  </si>
  <si>
    <t>Swine</t>
  </si>
  <si>
    <t>Miscellaneous</t>
  </si>
  <si>
    <t>version 4/9/20 kg - fixed error in calculation for row 56 -- formula was (T*(R+S)*U*P) --- fixed to (T*(1-(R+S))*U*P))</t>
  </si>
  <si>
    <t>2/19/20 kg:  in cell B20 changed "CH4 - manure storage" to "CH4 - barn and manure storage" and in cell B34 "N2O - direct from feedlots" to "N2O - barn and manure storage"</t>
  </si>
  <si>
    <t>8/26/21 KG removed the worksheet/tab called “Fed GHG reporting rule” that mentions 40 CFR part 98 subp. JJ. This fed rule is on-hold because congress restricted EPA spending funds on it. Note that the 25 metric tons/yr of manure management does not include enteric fermentation or manure land application. https://www.epa.gov/ghgreporting/subpart-jj-manure-management</t>
  </si>
  <si>
    <t>version 4/10/20 kg - cells D55 and I55 were referencing the wrong cell</t>
  </si>
  <si>
    <t>4/16/20 P Ciborowski: fixed error in N2O land app emissions calc and dropped "indirect" from labeling</t>
  </si>
  <si>
    <t xml:space="preserve">4/9/20 kg: row </t>
  </si>
  <si>
    <t>version 4/17/20 kg - changed "flatulence" to "enteric fermentation"</t>
  </si>
  <si>
    <t>5/7/20 kg: PC rebuilt the CH4 barn and manure storage calcs to correct a unit conversation and to simplify. PC changed the animal live weight based on more recent data.</t>
  </si>
  <si>
    <t>version 5/7/20 kg - PC fixed/updated CH4 enteric fermentation annual rates. PC rebuilt the CH4 barn and manure storage calcs to correct a unit conversation and to simply. PC changed the animal live weight based on more recent data.</t>
  </si>
  <si>
    <t>5/4/21 4/28/21 deleted swine and cattle rates from column S "N2O - manure land application" section because they are not applicable</t>
  </si>
  <si>
    <t>5/11/20 - changed S6 to S5 in cell C27</t>
  </si>
  <si>
    <t>4/7/21 Discussion with Peter Ciborowski ERU decided to stick with standard IPCC calculations as implemented by the MPCA, which are cited in the notes in this spreadsheet. Jenna, Chuck and Kim agreed that it is okay for projects that have two manure management methods to account for those two methods in calculations, instead of requiring the use of only one. J, C, and K agreed to not allow for adjustments to enteric fermentation calculation based on breed. (The calculation is based on head, not AU/weight/breed.)</t>
  </si>
  <si>
    <t>5/5/21 added headers in column S under "Methane conversion factors (MCFs) by manure storage type" to clarify that some emission factors are based on animal type</t>
  </si>
  <si>
    <t>5/20/21 changed cells W20-22 from 0.23 to 0.25 to update reference from the 2019 GHG doc to the 2020 GHG doc</t>
  </si>
  <si>
    <t>4/28/21 changed Y55 from 0% to 27% based on Table A-194 in the 2019 reference doc</t>
  </si>
  <si>
    <t>5/5/2021 changed all Table numbers to update reference from the 2019 GHG doc to the 2020 GHG doc</t>
  </si>
  <si>
    <t>5/20/21 changed cell W23 from 0.67 to 0.69 to update reference from the 2019 GHG doc to the 2020 GHG doc and also become swine specific</t>
  </si>
  <si>
    <t>4/28/21 X37 changed from 0 to 0.01 based on Table A-193 in the 2019 reference doc</t>
  </si>
  <si>
    <t>5/5/2021 changed T21-23 from 0.23 to 0.25 to update reference from the 2019 GHG doc to the 2020 GHG doc</t>
  </si>
  <si>
    <t>5/20/21 added headers in column V under "Methane conversion factors (MCFs) by manure storage type" to clarify that some emission factors are based on animal type</t>
  </si>
  <si>
    <t>4/28/21 changed E22 from 58.66kg to 58.5kg based on heifer weighted average (for months in heifer group) calculated from Table A-176 in the 2019 reference doc</t>
  </si>
  <si>
    <t>5/5/21 added S26 and S27 from Table A-190 because they are relevant for poultry</t>
  </si>
  <si>
    <t>6/14/21 deleted all cells under the "N2O - manure land application" that were not swine specific</t>
  </si>
  <si>
    <t>4/28/21 deleted note in cell Y49 because it is no longer applicable</t>
  </si>
  <si>
    <t>5/6/21 changed S50 from "composting-extensive/passive" to "composting-passive" to match 2020 GHG doc terminology</t>
  </si>
  <si>
    <t>6/14/21 column W discovered the displayed percentage was not showing decimal points and appeared to be rounded down to 0%. Added notes to column Y since new decimal points indicated that Midwest numbers were used, not Central</t>
  </si>
  <si>
    <t>4/28/21 deleted swine and poultry rates from column W "N2O - manure land application" section because they are not applicable</t>
  </si>
  <si>
    <t>5/5/21 added headers in column S under "kg N2O-N/kg N produced in feedlot by manure storage type" to clarify that some emission factors are based on animal type</t>
  </si>
  <si>
    <t>6/14/21 changed all Table numbers to update reference from the 2019 GHG doc to the 2020 GHG doc</t>
  </si>
  <si>
    <t>5/4/2021 changed all Table numbers to update reference from the 2019 GHG doc to the 2020 GHG doc</t>
  </si>
  <si>
    <t xml:space="preserve">5/6/21 column T discovered the displayed percentage was not showing decimal points and appeared to be rounded down to 0% - added a decimal place and discovered a fix (from 0.4% to 0.0%) for poultry bedding emission factors under "runoff/leaching rate" </t>
  </si>
  <si>
    <t>6/16/21 Peter confirmed via email that the values in each tab for "excreted nitrogen (N) (kg N/kg animal liveweight/yr)" should rely on Table A-185 in the 2020 GHG doc. The methodology is to divide by 1000 to get 1kg of animal weight, and multiply by 365 to get per year. Values were updated in row 47.</t>
  </si>
  <si>
    <t>5/4/2021 changed X24 from 0.67 to 0.68 to update reference from the 2019 GHG doc to the 2020 GHG doc</t>
  </si>
  <si>
    <t>5/6/21 added pasture, solid storage, and anaerobic lagoon poultry specific options in column S under "N losses at feedlot to volatilization and leaching/run-off (% of available N)" based on 2020 GHG doc</t>
  </si>
  <si>
    <t>6/25/21 updated all Table numbers from the 2020 GHG doc to the 2021 GHG doc</t>
  </si>
  <si>
    <t>5/4/2021 changed X21-23 from 0.23 to 0.25 to update reference from the 2019 GHG doc to the 2020 GHG doc</t>
  </si>
  <si>
    <t>5/6/21 deleted "flat rate (assumed value)"  in column S under "N losses at feedlot to volatilization and leaching/run-off (% of available N)" as data was not found for it in the 2020 GHG doc, and now that more options are available it would not be consistent/fair/valuable to use an assumed rate</t>
  </si>
  <si>
    <t>5/12/22 updated all Table numbers from the 2021 GHG doc to 2022 GHG doc</t>
  </si>
  <si>
    <t>5/4/21 changed W45 from "composting-extensive/passive" to "composting-passive" to match 2020 GHG doc terminology</t>
  </si>
  <si>
    <t>6/16/21 Peter confirmed via email that the values in each tab for "excreted nitrogen (N) (kg N/kg animal liveweight/yr)" should rely on Table A-185 in the 2020 GHG doc. The methodology is to divide by 1000 to get 1kg of animal weight, and multiply by 365 to get per year. Values were updated in row 36.</t>
  </si>
  <si>
    <t>5/12/22 copied row/cell equivalents from dairy tab to the same non-animal specific numbers that were changed for CH4 and N20 barn/manure storage and N2O manure land app tables</t>
  </si>
  <si>
    <t>5/4/21 column X discovered the displayed percentage was not showing decimal points and appeared to be rounded down to 0%. Added notes to column AV since new decimal points indicated that Midwest numbers were used, not Central</t>
  </si>
  <si>
    <t>5/12/22 changed cell w23 from .69 to .68 to reflect 2020 GHG doc</t>
  </si>
  <si>
    <t>5/4/21 changed X60 to "0" as "0.4" was incorrect in both 2019 and 2020 GHG doc</t>
  </si>
  <si>
    <t>5/11/22 updated all Table numbers from the 2021 GHG doc to 2022 GHG doc</t>
  </si>
  <si>
    <t>12/22/2022 corrected row 33 density of CH4 at 25 C from 0.622 to 0.662, per Equation A-35, EPA Annex - MDK</t>
  </si>
  <si>
    <t>5/20/21 added headers in column S under "Methane conversion factors (MCFs) by manure storage type" to clarify that some emission factors are based on animal type</t>
  </si>
  <si>
    <t>5/11/22 copied row/cell equivalents from dairy tab to the same non-animal specific numbers that were changed for CH4 and N20 barn/manure storage and N2O manure land app tables</t>
  </si>
  <si>
    <t>12/22/2022 corrected row 56 equation from ((O+P+Q)-T*1000/S) (kg/yr) to ((O*P*Q)-T*1000/S) (kg/yr) - MDK</t>
  </si>
  <si>
    <t>6/16/21 Peter confirmed via email that the values in each tab for "excreted nitrogen (N) (kg N/kg animal liveweight/yr)" should rely on Table A-185 in the 2020 GHG doc. The methodology is to divide by 1000 to get 1kg of animal weight, and multiply by 365 to get per year. Values for calves were updated in row 45.</t>
  </si>
  <si>
    <t>5/11/22 discovered that row 40 (labeled Q) was historically incorrect for layers, so fixed to reflect 2020 GHG values</t>
  </si>
  <si>
    <t xml:space="preserve">12/23/2002 Added "* Data for nitrogen losses due to leaching were no available, so the values represent only nitrogen losses due to runoff. Table A-171. Source: EPA (2002b, 2005)" - MDK </t>
  </si>
  <si>
    <t>12/22/2022 corrected row 24 density of CH4 at 25 C from 0.622 to 0.662, per Equation A-35, EPA Annex - MDK</t>
  </si>
  <si>
    <t>10/16/2024 Updates (Note: data reflects years 1990-2022)</t>
  </si>
  <si>
    <t>5/9/22 updated all Table numbers from the 2021 GHG doc to 2022 GHG doc</t>
  </si>
  <si>
    <t>12/22/2022 corrected row 46 equation from ((O+P+Q)-T*1000/S) (kg/yr) to ((O*P*Q)-T*1000/S) (kg/yr) - MDK</t>
  </si>
  <si>
    <t>Changed table numbers to reflect April 11, 2024 updated Report</t>
  </si>
  <si>
    <t>5/9/22 changed kg ch4/head/yr for cows from 134 to138 to reflect 2020 GHG doc</t>
  </si>
  <si>
    <t>Changed kg N2O-N/kg N to reflect 2024 updated report for solid storage, composting-static pile, and composting-intensive</t>
  </si>
  <si>
    <t>5/9/22 changed ch4 kg/head for calves from 122 to 123 to reflect 2020 GHG doc</t>
  </si>
  <si>
    <t>Row 32: Modified cells to utilize equation to show (kg VS/kg animal liveweight/yr).</t>
  </si>
  <si>
    <t>5/9/22 changed ch4 VS row 31 for cows from 3.98 to 4.1 to reflect 2020 GHG doc</t>
  </si>
  <si>
    <t>Row 46: Modified cells to utilize equation to show  (kg N/kg animal liveweight/yr).</t>
  </si>
  <si>
    <t>5/9/22 changed ch4 VS row 31 for heifers from 3.07 to 3.08 to reflect 2020 GHG doc</t>
  </si>
  <si>
    <t>Changed methane conversion factors (MCFs) for poultry specific anaerobic lagoon from 0.670 to 0.680.</t>
  </si>
  <si>
    <t>Rows 36, 47, 57, 58: Updated notes referencing rows cited.</t>
  </si>
  <si>
    <t>5/9/22 changed stall floor accumulation/periodic removal from .21 to .20 to reflect 2020 GHG doc</t>
  </si>
  <si>
    <t>5/9/22 changed cell X28 from .21 to .20 to reflect 2020 GHG doc</t>
  </si>
  <si>
    <t>Row 22: Modified cells to utilize equation to show (kg VS/kg animal liveweight/yr).</t>
  </si>
  <si>
    <t>5/9/22 changed long-term below barn pit storage from .25 to .24 to reflect 2020 GHG doc</t>
  </si>
  <si>
    <t>Row 36: Modified cells to utilize equation to show  (kg N/kg animal liveweight/yr).</t>
  </si>
  <si>
    <t>5/9/22 changed outdoor liquid/slurry basin/tank from .25 to .24 to reflect 2020 GHG doc</t>
  </si>
  <si>
    <t>Rows 26, 37, 47, 48: Updated notes referencing rows cited.</t>
  </si>
  <si>
    <t>5/9/22 changed any liquid/slurry from .25 to .24 to reflect 2020 GHG doc</t>
  </si>
  <si>
    <t>5/9/22 changed pasture from .001 to .0047 to reflect 2020 GHG doc</t>
  </si>
  <si>
    <t>5/9/22 added rows 34, 35, and 36 for more composting options now that emission factors in 2020 GHG doc are different</t>
  </si>
  <si>
    <t>5/9/22 added row 48 for more composting options under N2O - barn and manure storage</t>
  </si>
  <si>
    <t>12/14/2022 added links to 2022 Annex Tables - MDK</t>
  </si>
  <si>
    <t>12/22/2022 corrected row 55 equation from ((O+P+Q)-T*1000/S) (kg/yr) to ((O*P*Q)-T*1000/S) (kg/yr) - MDK</t>
  </si>
  <si>
    <t>Row 22: Updated kg/CH4/head/yr from 138 to 140 for cows.</t>
  </si>
  <si>
    <t>Row 31: Changed volatile solids (vs) production rate (kg VS/kg animal liveweight/yr) for cows from 2,785 to 2,829.</t>
  </si>
  <si>
    <t>Row 31: Modified cells to utilize equation to show kg VS/kg animal liveweight/yr</t>
  </si>
  <si>
    <t>Row 45: Changed exerted nitrogen  (kg N/kg animal liveweight/yr) for cows from 156 to 158.</t>
  </si>
  <si>
    <t>Row 45: Modified cells to utilize equation for  kg N/kg animal liveweight/yr.</t>
  </si>
  <si>
    <t>Rows 35, 46, 56, 57: Updated notes referencing rows cited.</t>
  </si>
  <si>
    <t>US average basis, Tables A-162 and A-163 See tables on the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</si>
</sst>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_);_(* \(#,##0\);_(* &quot;-&quot;??_);_(@_)"/>
    <numFmt numFmtId="165" formatCode="0.000"/>
    <numFmt numFmtId="166" formatCode="_(* #,##0.0_);_(* \(#,##0.0\);_(* &quot;-&quot;??_);_(@_)"/>
    <numFmt numFmtId="167" formatCode="0.0"/>
    <numFmt numFmtId="168" formatCode="_(* #,##0.0_);_(* \(#,##0.0\);_(* &quot;-&quot;?_);_(@_)"/>
    <numFmt numFmtId="169" formatCode="_(* #,##0.0000_);_(* \(#,##0.0000\);_(* &quot;-&quot;??_);_(@_)"/>
    <numFmt numFmtId="170" formatCode="0.0000"/>
    <numFmt numFmtId="171" formatCode="_(* #,##0.000_);_(* \(#,##0.000\);_(* &quot;-&quot;??_);_(@_)"/>
    <numFmt numFmtId="172" formatCode="_(* #,##0.000_);_(* \(#,##0.000\);_(* &quot;-&quot;???_);_(@_)"/>
    <numFmt numFmtId="173" formatCode="0.0%"/>
    <numFmt numFmtId="174" formatCode="#,##0.000_);\(#,##0.000\)"/>
  </numFmts>
  <fonts count="68"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theme="1"/>
      <name val="Calibri"/>
      <family val="2"/>
    </font>
    <font>
      <sz val="8"/>
      <color rgb="FF000000"/>
      <name val="Arial"/>
      <family val="2"/>
    </font>
    <font>
      <b/>
      <sz val="8"/>
      <color rgb="FF000000"/>
      <name val="Arial"/>
      <family val="2"/>
    </font>
    <font>
      <u/>
      <sz val="11"/>
      <color theme="10"/>
      <name val="Calibri"/>
      <family val="2"/>
      <scheme val="minor"/>
    </font>
    <font>
      <b/>
      <sz val="9"/>
      <color rgb="FF000000"/>
      <name val="Arial"/>
      <family val="2"/>
    </font>
    <font>
      <sz val="9"/>
      <color rgb="FF000000"/>
      <name val="Arial"/>
      <family val="2"/>
    </font>
    <font>
      <b/>
      <u/>
      <sz val="9"/>
      <color rgb="FF000000"/>
      <name val="Arial"/>
      <family val="2"/>
    </font>
    <font>
      <vertAlign val="subscript"/>
      <sz val="8"/>
      <color rgb="FF000000"/>
      <name val="Arial"/>
      <family val="2"/>
    </font>
    <font>
      <b/>
      <sz val="10"/>
      <color rgb="FF000000"/>
      <name val="Arial"/>
      <family val="2"/>
    </font>
    <font>
      <sz val="6"/>
      <color rgb="FF000000"/>
      <name val="Arial"/>
      <family val="2"/>
    </font>
    <font>
      <b/>
      <u/>
      <sz val="8"/>
      <color rgb="FF000000"/>
      <name val="Arial"/>
      <family val="2"/>
    </font>
    <font>
      <sz val="8"/>
      <color rgb="FF70AD47"/>
      <name val="Arial"/>
      <family val="2"/>
    </font>
    <font>
      <sz val="8"/>
      <color rgb="FFFF0000"/>
      <name val="Arial"/>
      <family val="2"/>
    </font>
    <font>
      <b/>
      <vertAlign val="subscript"/>
      <sz val="8"/>
      <color rgb="FF000000"/>
      <name val="Arial"/>
      <family val="2"/>
    </font>
    <font>
      <u/>
      <sz val="11"/>
      <color rgb="FF0563C1"/>
      <name val="Calibri"/>
      <family val="2"/>
    </font>
    <font>
      <u/>
      <sz val="8"/>
      <color rgb="FF0563C1"/>
      <name val="Arial"/>
      <family val="2"/>
    </font>
    <font>
      <sz val="6"/>
      <color rgb="FF70AD47"/>
      <name val="Arial"/>
      <family val="2"/>
    </font>
    <font>
      <sz val="8"/>
      <name val="Arial"/>
      <family val="2"/>
    </font>
    <font>
      <vertAlign val="superscript"/>
      <sz val="8"/>
      <color rgb="FF000000"/>
      <name val="Arial"/>
      <family val="2"/>
    </font>
    <font>
      <sz val="6"/>
      <color rgb="FFFF0000"/>
      <name val="Arial"/>
      <family val="2"/>
    </font>
    <font>
      <vertAlign val="subscript"/>
      <sz val="8"/>
      <name val="Arial"/>
      <family val="2"/>
    </font>
    <font>
      <sz val="6"/>
      <color rgb="FF00B050"/>
      <name val="Arial"/>
      <family val="2"/>
    </font>
    <font>
      <b/>
      <vertAlign val="subscript"/>
      <sz val="9"/>
      <color rgb="FF000000"/>
      <name val="Arial"/>
      <family val="2"/>
    </font>
    <font>
      <u/>
      <sz val="8"/>
      <name val="Arial"/>
      <family val="2"/>
    </font>
    <font>
      <u/>
      <sz val="8"/>
      <color rgb="FF0563C1"/>
      <name val="Calibri"/>
      <family val="2"/>
    </font>
    <font>
      <b/>
      <sz val="9"/>
      <color indexed="81"/>
      <name val="Tahoma"/>
      <family val="2"/>
    </font>
    <font>
      <sz val="9"/>
      <color indexed="81"/>
      <name val="Tahoma"/>
      <family val="2"/>
    </font>
    <font>
      <sz val="8"/>
      <color indexed="81"/>
      <name val="Tahoma"/>
      <family val="2"/>
    </font>
    <font>
      <b/>
      <u/>
      <sz val="10"/>
      <color rgb="FF000000"/>
      <name val="Arial"/>
      <family val="2"/>
    </font>
    <font>
      <b/>
      <sz val="10"/>
      <color rgb="FF000000"/>
      <name val="Calibri"/>
      <family val="2"/>
    </font>
    <font>
      <b/>
      <sz val="8"/>
      <color rgb="FFFF0000"/>
      <name val="Arial"/>
      <family val="2"/>
    </font>
    <font>
      <b/>
      <vertAlign val="subscript"/>
      <sz val="10"/>
      <color rgb="FF000000"/>
      <name val="Arial"/>
      <family val="2"/>
    </font>
    <font>
      <sz val="5"/>
      <color rgb="FF000000"/>
      <name val="Arial"/>
      <family val="2"/>
    </font>
    <font>
      <b/>
      <sz val="10"/>
      <color rgb="FFFF0000"/>
      <name val="Calibri"/>
      <family val="2"/>
    </font>
    <font>
      <b/>
      <sz val="8"/>
      <name val="Arial"/>
      <family val="2"/>
    </font>
    <font>
      <sz val="6"/>
      <name val="Arial"/>
      <family val="2"/>
    </font>
    <font>
      <b/>
      <u/>
      <sz val="9"/>
      <color indexed="81"/>
      <name val="Tahoma"/>
      <family val="2"/>
    </font>
    <font>
      <i/>
      <sz val="8"/>
      <color rgb="FF000000"/>
      <name val="Arial"/>
      <family val="2"/>
    </font>
    <font>
      <b/>
      <sz val="11"/>
      <color rgb="FF000000"/>
      <name val="Calibri"/>
      <family val="2"/>
    </font>
    <font>
      <sz val="11"/>
      <color rgb="FF1F497D"/>
      <name val="Calibri"/>
      <family val="2"/>
    </font>
    <font>
      <b/>
      <sz val="12"/>
      <color rgb="FF000000"/>
      <name val="Calibri"/>
      <family val="2"/>
    </font>
    <font>
      <sz val="11"/>
      <name val="Calibri"/>
      <family val="2"/>
    </font>
    <font>
      <b/>
      <sz val="11"/>
      <name val="Calibri"/>
      <family val="2"/>
    </font>
    <font>
      <sz val="11"/>
      <color rgb="FFFF0000"/>
      <name val="Calibri"/>
      <family val="2"/>
    </font>
    <font>
      <sz val="8"/>
      <color rgb="FFA6192E"/>
      <name val="Arial"/>
      <family val="2"/>
    </font>
    <font>
      <sz val="6"/>
      <color rgb="FFA6192E"/>
      <name val="Arial"/>
      <family val="2"/>
    </font>
    <font>
      <sz val="6"/>
      <color rgb="FF78BE21"/>
      <name val="Arial"/>
      <family val="2"/>
    </font>
    <font>
      <sz val="8"/>
      <color rgb="FF78BE21"/>
      <name val="Arial"/>
      <family val="2"/>
    </font>
    <font>
      <sz val="11"/>
      <color rgb="FFA6192E"/>
      <name val="Calibri"/>
      <family val="2"/>
    </font>
  </fonts>
  <fills count="4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6E0B4"/>
        <bgColor rgb="FF000000"/>
      </patternFill>
    </fill>
    <fill>
      <patternFill patternType="solid">
        <fgColor rgb="FF00B050"/>
        <bgColor rgb="FF000000"/>
      </patternFill>
    </fill>
    <fill>
      <patternFill patternType="solid">
        <fgColor rgb="FFD9D9D9"/>
        <bgColor rgb="FF000000"/>
      </patternFill>
    </fill>
    <fill>
      <patternFill patternType="solid">
        <fgColor rgb="FFDBDBDB"/>
        <bgColor rgb="FF000000"/>
      </patternFill>
    </fill>
    <fill>
      <patternFill patternType="solid">
        <fgColor rgb="FFE7E6E6"/>
        <bgColor rgb="FF000000"/>
      </patternFill>
    </fill>
    <fill>
      <patternFill patternType="solid">
        <fgColor rgb="FFFFFFFF"/>
        <bgColor rgb="FF000000"/>
      </patternFill>
    </fill>
    <fill>
      <patternFill patternType="solid">
        <fgColor rgb="FFFFF2CC"/>
        <bgColor rgb="FF000000"/>
      </patternFill>
    </fill>
    <fill>
      <patternFill patternType="solid">
        <fgColor rgb="FFBDD7EE"/>
        <bgColor rgb="FF000000"/>
      </patternFill>
    </fill>
    <fill>
      <patternFill patternType="solid">
        <fgColor rgb="FFDCBCD5"/>
        <bgColor rgb="FF000000"/>
      </patternFill>
    </fill>
    <fill>
      <patternFill patternType="solid">
        <fgColor rgb="FFF7A1AD"/>
        <bgColor rgb="FF000000"/>
      </patternFill>
    </fill>
    <fill>
      <patternFill patternType="solid">
        <fgColor rgb="FFFFCC99"/>
        <bgColor rgb="FFFFFFFF"/>
      </patternFill>
    </fill>
    <fill>
      <patternFill patternType="solid">
        <fgColor rgb="FFFC9CAA"/>
        <bgColor rgb="FF000000"/>
      </patternFill>
    </fill>
    <fill>
      <patternFill patternType="solid">
        <fgColor rgb="FFDDEBF7"/>
        <bgColor rgb="FF000000"/>
      </patternFill>
    </fill>
  </fills>
  <borders count="2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rgb="FFE7E6E6"/>
      </left>
      <right style="thin">
        <color rgb="FFE7E6E6"/>
      </right>
      <top style="thin">
        <color rgb="FFE7E6E6"/>
      </top>
      <bottom style="thin">
        <color rgb="FFE7E6E6"/>
      </bottom>
      <diagonal/>
    </border>
    <border>
      <left style="medium">
        <color indexed="64"/>
      </left>
      <right/>
      <top style="thin">
        <color rgb="FFE7E6E6"/>
      </top>
      <bottom/>
      <diagonal/>
    </border>
    <border>
      <left/>
      <right/>
      <top style="thin">
        <color rgb="FFE7E6E6"/>
      </top>
      <bottom style="thin">
        <color rgb="FFE7E6E6"/>
      </bottom>
      <diagonal/>
    </border>
    <border>
      <left style="thin">
        <color rgb="FFE7E6E6"/>
      </left>
      <right style="thin">
        <color rgb="FFE7E6E6"/>
      </right>
      <top style="thin">
        <color rgb="FFE7E6E6"/>
      </top>
      <bottom/>
      <diagonal/>
    </border>
    <border>
      <left/>
      <right style="thin">
        <color rgb="FFE7E6E6"/>
      </right>
      <top style="thin">
        <color rgb="FFE7E6E6"/>
      </top>
      <bottom style="thin">
        <color rgb="FFE7E6E6"/>
      </bottom>
      <diagonal/>
    </border>
    <border>
      <left style="thin">
        <color rgb="FFE7E6E6"/>
      </left>
      <right style="thin">
        <color rgb="FFE7E6E6"/>
      </right>
      <top/>
      <bottom style="thin">
        <color rgb="FFE7E6E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4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1" fillId="0" borderId="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2" fillId="0" borderId="0" applyNumberFormat="0" applyFill="0" applyBorder="0" applyAlignment="0" applyProtection="0"/>
  </cellStyleXfs>
  <cellXfs count="207">
    <xf numFmtId="0" fontId="0" fillId="0" borderId="0" xfId="0"/>
    <xf numFmtId="0" fontId="19" fillId="0" borderId="0" xfId="0" applyFont="1" applyAlignment="1">
      <alignment horizontal="left" wrapText="1"/>
    </xf>
    <xf numFmtId="0" fontId="19" fillId="0" borderId="0" xfId="0" applyFont="1"/>
    <xf numFmtId="164" fontId="20" fillId="33" borderId="10" xfId="45" applyNumberFormat="1" applyFont="1" applyFill="1" applyBorder="1"/>
    <xf numFmtId="164" fontId="21" fillId="34" borderId="10" xfId="45" applyNumberFormat="1" applyFont="1" applyFill="1" applyBorder="1"/>
    <xf numFmtId="0" fontId="23" fillId="0" borderId="0" xfId="0" applyFont="1"/>
    <xf numFmtId="0" fontId="24" fillId="0" borderId="0" xfId="0" applyFont="1"/>
    <xf numFmtId="0" fontId="23" fillId="35" borderId="0" xfId="0" applyFont="1" applyFill="1"/>
    <xf numFmtId="0" fontId="25" fillId="0" borderId="0" xfId="0" applyFont="1" applyAlignment="1">
      <alignment horizontal="center"/>
    </xf>
    <xf numFmtId="0" fontId="24" fillId="36" borderId="0" xfId="0" applyFont="1" applyFill="1"/>
    <xf numFmtId="0" fontId="24" fillId="37" borderId="0" xfId="0" applyFont="1" applyFill="1"/>
    <xf numFmtId="0" fontId="23" fillId="38" borderId="0" xfId="0" applyFont="1" applyFill="1"/>
    <xf numFmtId="0" fontId="20" fillId="0" borderId="0" xfId="0" applyFont="1"/>
    <xf numFmtId="0" fontId="21" fillId="0" borderId="0" xfId="0" applyFont="1"/>
    <xf numFmtId="0" fontId="21" fillId="35" borderId="0" xfId="0" applyFont="1" applyFill="1"/>
    <xf numFmtId="43" fontId="20" fillId="0" borderId="0" xfId="45" applyFont="1" applyFill="1" applyBorder="1"/>
    <xf numFmtId="0" fontId="20" fillId="35" borderId="0" xfId="0" applyFont="1" applyFill="1"/>
    <xf numFmtId="0" fontId="20" fillId="36" borderId="0" xfId="0" applyFont="1" applyFill="1"/>
    <xf numFmtId="0" fontId="20" fillId="37" borderId="0" xfId="0" applyFont="1" applyFill="1"/>
    <xf numFmtId="0" fontId="20" fillId="38" borderId="0" xfId="0" applyFont="1" applyFill="1"/>
    <xf numFmtId="0" fontId="20" fillId="39" borderId="0" xfId="0" applyFont="1" applyFill="1"/>
    <xf numFmtId="2" fontId="20" fillId="39" borderId="0" xfId="0" applyNumberFormat="1" applyFont="1" applyFill="1"/>
    <xf numFmtId="0" fontId="20" fillId="40" borderId="0" xfId="0" applyFont="1" applyFill="1"/>
    <xf numFmtId="2" fontId="20" fillId="40" borderId="0" xfId="0" applyNumberFormat="1" applyFont="1" applyFill="1"/>
    <xf numFmtId="0" fontId="20" fillId="41" borderId="0" xfId="0" applyFont="1" applyFill="1"/>
    <xf numFmtId="2" fontId="20" fillId="41" borderId="0" xfId="0" applyNumberFormat="1" applyFont="1" applyFill="1"/>
    <xf numFmtId="0" fontId="20" fillId="42" borderId="0" xfId="0" applyFont="1" applyFill="1"/>
    <xf numFmtId="2" fontId="20" fillId="42" borderId="0" xfId="0" applyNumberFormat="1" applyFont="1" applyFill="1"/>
    <xf numFmtId="164" fontId="20" fillId="0" borderId="0" xfId="45" applyNumberFormat="1" applyFont="1" applyFill="1" applyBorder="1"/>
    <xf numFmtId="0" fontId="20" fillId="0" borderId="0" xfId="34" applyFont="1" applyFill="1" applyBorder="1"/>
    <xf numFmtId="0" fontId="23" fillId="40" borderId="0" xfId="0" applyFont="1" applyFill="1"/>
    <xf numFmtId="43" fontId="21" fillId="34" borderId="10" xfId="45" applyFont="1" applyFill="1" applyBorder="1"/>
    <xf numFmtId="0" fontId="21" fillId="36" borderId="0" xfId="0" applyFont="1" applyFill="1"/>
    <xf numFmtId="0" fontId="27" fillId="40" borderId="0" xfId="0" applyFont="1" applyFill="1"/>
    <xf numFmtId="0" fontId="28" fillId="0" borderId="0" xfId="0" applyFont="1"/>
    <xf numFmtId="0" fontId="29" fillId="0" borderId="0" xfId="0" applyFont="1" applyAlignment="1">
      <alignment horizontal="center"/>
    </xf>
    <xf numFmtId="0" fontId="20" fillId="35" borderId="0" xfId="0" applyFont="1" applyFill="1" applyAlignment="1">
      <alignment horizontal="center"/>
    </xf>
    <xf numFmtId="165" fontId="20" fillId="40" borderId="0" xfId="0" applyNumberFormat="1" applyFont="1" applyFill="1"/>
    <xf numFmtId="0" fontId="30" fillId="0" borderId="0" xfId="0" applyFont="1"/>
    <xf numFmtId="0" fontId="31" fillId="0" borderId="0" xfId="0" applyFont="1"/>
    <xf numFmtId="0" fontId="20" fillId="0" borderId="0" xfId="45" applyNumberFormat="1" applyFont="1" applyFill="1" applyBorder="1"/>
    <xf numFmtId="164" fontId="20" fillId="35" borderId="0" xfId="45" applyNumberFormat="1" applyFont="1" applyFill="1" applyBorder="1"/>
    <xf numFmtId="165" fontId="20" fillId="40" borderId="0" xfId="45" applyNumberFormat="1" applyFont="1" applyFill="1" applyBorder="1"/>
    <xf numFmtId="166" fontId="20" fillId="33" borderId="10" xfId="45" applyNumberFormat="1" applyFont="1" applyFill="1" applyBorder="1"/>
    <xf numFmtId="166" fontId="20" fillId="0" borderId="0" xfId="45" applyNumberFormat="1" applyFont="1" applyFill="1" applyBorder="1"/>
    <xf numFmtId="43" fontId="20" fillId="35" borderId="0" xfId="45" applyFont="1" applyFill="1" applyBorder="1"/>
    <xf numFmtId="166" fontId="20" fillId="0" borderId="0" xfId="0" applyNumberFormat="1" applyFont="1"/>
    <xf numFmtId="164" fontId="20" fillId="0" borderId="0" xfId="0" applyNumberFormat="1" applyFont="1"/>
    <xf numFmtId="167" fontId="20" fillId="0" borderId="0" xfId="0" applyNumberFormat="1" applyFont="1"/>
    <xf numFmtId="43" fontId="20" fillId="0" borderId="0" xfId="0" applyNumberFormat="1" applyFont="1"/>
    <xf numFmtId="0" fontId="27" fillId="39" borderId="0" xfId="0" applyFont="1" applyFill="1"/>
    <xf numFmtId="0" fontId="21" fillId="39" borderId="0" xfId="0" applyFont="1" applyFill="1"/>
    <xf numFmtId="0" fontId="29" fillId="35" borderId="0" xfId="0" applyFont="1" applyFill="1"/>
    <xf numFmtId="0" fontId="29" fillId="39" borderId="0" xfId="0" applyFont="1" applyFill="1" applyAlignment="1">
      <alignment horizontal="center"/>
    </xf>
    <xf numFmtId="165" fontId="20" fillId="0" borderId="0" xfId="0" applyNumberFormat="1" applyFont="1"/>
    <xf numFmtId="164" fontId="20" fillId="35" borderId="0" xfId="0" applyNumberFormat="1" applyFont="1" applyFill="1"/>
    <xf numFmtId="0" fontId="34" fillId="0" borderId="0" xfId="47" applyFont="1" applyFill="1" applyBorder="1"/>
    <xf numFmtId="168" fontId="20" fillId="0" borderId="0" xfId="45" applyNumberFormat="1" applyFont="1" applyFill="1" applyBorder="1"/>
    <xf numFmtId="167" fontId="20" fillId="0" borderId="0" xfId="45" applyNumberFormat="1" applyFont="1" applyFill="1" applyBorder="1"/>
    <xf numFmtId="167" fontId="20" fillId="35" borderId="0" xfId="0" applyNumberFormat="1" applyFont="1" applyFill="1"/>
    <xf numFmtId="169" fontId="20" fillId="0" borderId="0" xfId="45" applyNumberFormat="1" applyFont="1" applyFill="1" applyBorder="1"/>
    <xf numFmtId="43" fontId="20" fillId="35" borderId="0" xfId="0" applyNumberFormat="1" applyFont="1" applyFill="1"/>
    <xf numFmtId="43" fontId="21" fillId="0" borderId="0" xfId="45" applyFont="1" applyFill="1" applyBorder="1"/>
    <xf numFmtId="43" fontId="21" fillId="35" borderId="0" xfId="0" applyNumberFormat="1" applyFont="1" applyFill="1"/>
    <xf numFmtId="0" fontId="36" fillId="0" borderId="0" xfId="0" applyFont="1"/>
    <xf numFmtId="170" fontId="20" fillId="40" borderId="0" xfId="45" applyNumberFormat="1" applyFont="1" applyFill="1" applyBorder="1"/>
    <xf numFmtId="0" fontId="29" fillId="40" borderId="0" xfId="0" applyFont="1" applyFill="1" applyAlignment="1">
      <alignment horizontal="center"/>
    </xf>
    <xf numFmtId="43" fontId="21" fillId="0" borderId="0" xfId="0" applyNumberFormat="1" applyFont="1"/>
    <xf numFmtId="1" fontId="20" fillId="0" borderId="0" xfId="0" applyNumberFormat="1" applyFont="1"/>
    <xf numFmtId="1" fontId="21" fillId="35" borderId="0" xfId="0" applyNumberFormat="1" applyFont="1" applyFill="1"/>
    <xf numFmtId="1" fontId="20" fillId="35" borderId="0" xfId="0" applyNumberFormat="1" applyFont="1" applyFill="1"/>
    <xf numFmtId="2" fontId="20" fillId="0" borderId="0" xfId="0" applyNumberFormat="1" applyFont="1"/>
    <xf numFmtId="2" fontId="20" fillId="35" borderId="0" xfId="0" applyNumberFormat="1" applyFont="1" applyFill="1"/>
    <xf numFmtId="0" fontId="23" fillId="41" borderId="0" xfId="0" applyFont="1" applyFill="1"/>
    <xf numFmtId="0" fontId="27" fillId="41" borderId="0" xfId="0" applyFont="1" applyFill="1"/>
    <xf numFmtId="0" fontId="38" fillId="0" borderId="0" xfId="0" applyFont="1"/>
    <xf numFmtId="165" fontId="20" fillId="41" borderId="0" xfId="0" applyNumberFormat="1" applyFont="1" applyFill="1"/>
    <xf numFmtId="171" fontId="20" fillId="33" borderId="10" xfId="46" applyNumberFormat="1" applyFont="1" applyFill="1" applyBorder="1"/>
    <xf numFmtId="165" fontId="20" fillId="33" borderId="10" xfId="46" applyNumberFormat="1" applyFont="1" applyFill="1" applyBorder="1"/>
    <xf numFmtId="169" fontId="20" fillId="0" borderId="0" xfId="0" applyNumberFormat="1" applyFont="1"/>
    <xf numFmtId="165" fontId="36" fillId="41" borderId="0" xfId="0" applyNumberFormat="1" applyFont="1" applyFill="1"/>
    <xf numFmtId="0" fontId="29" fillId="41" borderId="0" xfId="0" applyFont="1" applyFill="1" applyAlignment="1">
      <alignment horizontal="center"/>
    </xf>
    <xf numFmtId="1" fontId="21" fillId="0" borderId="0" xfId="0" applyNumberFormat="1" applyFont="1"/>
    <xf numFmtId="2" fontId="36" fillId="0" borderId="0" xfId="0" applyNumberFormat="1" applyFont="1"/>
    <xf numFmtId="165" fontId="36" fillId="0" borderId="0" xfId="45" applyNumberFormat="1" applyFont="1" applyFill="1" applyBorder="1"/>
    <xf numFmtId="39" fontId="20" fillId="0" borderId="0" xfId="45" applyNumberFormat="1" applyFont="1" applyFill="1" applyBorder="1"/>
    <xf numFmtId="165" fontId="36" fillId="0" borderId="0" xfId="0" applyNumberFormat="1" applyFont="1"/>
    <xf numFmtId="43" fontId="36" fillId="0" borderId="0" xfId="0" applyNumberFormat="1" applyFont="1"/>
    <xf numFmtId="0" fontId="36" fillId="38" borderId="11" xfId="0" applyFont="1" applyFill="1" applyBorder="1"/>
    <xf numFmtId="0" fontId="40" fillId="0" borderId="0" xfId="0" applyFont="1"/>
    <xf numFmtId="0" fontId="20" fillId="0" borderId="11" xfId="0" applyFont="1" applyBorder="1"/>
    <xf numFmtId="172" fontId="20" fillId="0" borderId="0" xfId="45" applyNumberFormat="1" applyFont="1" applyFill="1" applyBorder="1"/>
    <xf numFmtId="171" fontId="20" fillId="0" borderId="0" xfId="45" applyNumberFormat="1" applyFont="1" applyFill="1" applyBorder="1"/>
    <xf numFmtId="171" fontId="20" fillId="0" borderId="0" xfId="0" applyNumberFormat="1" applyFont="1"/>
    <xf numFmtId="0" fontId="23" fillId="42" borderId="0" xfId="0" applyFont="1" applyFill="1"/>
    <xf numFmtId="0" fontId="42" fillId="0" borderId="0" xfId="0" applyFont="1" applyAlignment="1">
      <alignment horizontal="right"/>
    </xf>
    <xf numFmtId="173" fontId="20" fillId="42" borderId="0" xfId="46" applyNumberFormat="1" applyFont="1" applyFill="1" applyBorder="1"/>
    <xf numFmtId="9" fontId="20" fillId="42" borderId="0" xfId="46" applyFont="1" applyFill="1" applyBorder="1"/>
    <xf numFmtId="0" fontId="20" fillId="44" borderId="0" xfId="0" applyFont="1" applyFill="1"/>
    <xf numFmtId="0" fontId="27" fillId="42" borderId="0" xfId="0" applyFont="1" applyFill="1"/>
    <xf numFmtId="0" fontId="29" fillId="44" borderId="0" xfId="0" applyFont="1" applyFill="1" applyAlignment="1">
      <alignment horizontal="center"/>
    </xf>
    <xf numFmtId="9" fontId="20" fillId="44" borderId="0" xfId="46" applyFont="1" applyFill="1" applyBorder="1"/>
    <xf numFmtId="0" fontId="20" fillId="0" borderId="12" xfId="0" applyFont="1" applyBorder="1"/>
    <xf numFmtId="0" fontId="20" fillId="38" borderId="13" xfId="0" applyFont="1" applyFill="1" applyBorder="1"/>
    <xf numFmtId="9" fontId="20" fillId="38" borderId="11" xfId="46" applyFont="1" applyFill="1" applyBorder="1"/>
    <xf numFmtId="0" fontId="20" fillId="38" borderId="11" xfId="0" applyFont="1" applyFill="1" applyBorder="1"/>
    <xf numFmtId="0" fontId="20" fillId="35" borderId="11" xfId="0" applyFont="1" applyFill="1" applyBorder="1"/>
    <xf numFmtId="0" fontId="20" fillId="0" borderId="13" xfId="0" applyFont="1" applyBorder="1"/>
    <xf numFmtId="173" fontId="20" fillId="0" borderId="0" xfId="0" applyNumberFormat="1" applyFont="1"/>
    <xf numFmtId="0" fontId="43" fillId="0" borderId="0" xfId="47" applyFont="1" applyFill="1" applyBorder="1"/>
    <xf numFmtId="0" fontId="27" fillId="0" borderId="0" xfId="0" applyFont="1"/>
    <xf numFmtId="0" fontId="27" fillId="35" borderId="0" xfId="0" applyFont="1" applyFill="1"/>
    <xf numFmtId="0" fontId="47" fillId="0" borderId="0" xfId="0" applyFont="1" applyAlignment="1">
      <alignment horizontal="center"/>
    </xf>
    <xf numFmtId="43" fontId="47" fillId="0" borderId="0" xfId="45" applyFont="1" applyFill="1" applyBorder="1" applyAlignment="1">
      <alignment horizontal="center"/>
    </xf>
    <xf numFmtId="0" fontId="48" fillId="40" borderId="0" xfId="0" applyFont="1" applyFill="1"/>
    <xf numFmtId="43" fontId="20" fillId="40" borderId="0" xfId="45" applyFont="1" applyFill="1" applyBorder="1"/>
    <xf numFmtId="0" fontId="21" fillId="0" borderId="0" xfId="34" applyFont="1" applyFill="1" applyBorder="1"/>
    <xf numFmtId="43" fontId="20" fillId="41" borderId="0" xfId="45" applyFont="1" applyFill="1" applyBorder="1"/>
    <xf numFmtId="43" fontId="20" fillId="44" borderId="0" xfId="45" applyFont="1" applyFill="1" applyBorder="1"/>
    <xf numFmtId="43" fontId="20" fillId="37" borderId="0" xfId="45" applyFont="1" applyFill="1" applyBorder="1"/>
    <xf numFmtId="0" fontId="49" fillId="0" borderId="0" xfId="0" applyFont="1"/>
    <xf numFmtId="171" fontId="36" fillId="40" borderId="0" xfId="45" applyNumberFormat="1" applyFont="1" applyFill="1" applyBorder="1"/>
    <xf numFmtId="171" fontId="20" fillId="40" borderId="0" xfId="45" applyNumberFormat="1" applyFont="1" applyFill="1" applyBorder="1"/>
    <xf numFmtId="0" fontId="28" fillId="36" borderId="0" xfId="0" applyFont="1" applyFill="1" applyAlignment="1">
      <alignment wrapText="1"/>
    </xf>
    <xf numFmtId="0" fontId="51" fillId="0" borderId="0" xfId="0" applyFont="1"/>
    <xf numFmtId="171" fontId="20" fillId="33" borderId="10" xfId="0" applyNumberFormat="1" applyFont="1" applyFill="1" applyBorder="1"/>
    <xf numFmtId="0" fontId="31" fillId="41" borderId="0" xfId="0" applyFont="1" applyFill="1"/>
    <xf numFmtId="0" fontId="48" fillId="41" borderId="0" xfId="0" applyFont="1" applyFill="1"/>
    <xf numFmtId="0" fontId="52" fillId="41" borderId="0" xfId="0" applyFont="1" applyFill="1"/>
    <xf numFmtId="0" fontId="53" fillId="0" borderId="0" xfId="0" applyFont="1"/>
    <xf numFmtId="165" fontId="20" fillId="0" borderId="0" xfId="45" applyNumberFormat="1" applyFont="1" applyFill="1" applyBorder="1"/>
    <xf numFmtId="0" fontId="20" fillId="0" borderId="14" xfId="0" applyFont="1" applyBorder="1"/>
    <xf numFmtId="0" fontId="36" fillId="38" borderId="14" xfId="0" applyFont="1" applyFill="1" applyBorder="1"/>
    <xf numFmtId="0" fontId="20" fillId="33" borderId="10" xfId="0" applyFont="1" applyFill="1" applyBorder="1"/>
    <xf numFmtId="171" fontId="20" fillId="33" borderId="10" xfId="45" applyNumberFormat="1" applyFont="1" applyFill="1" applyBorder="1"/>
    <xf numFmtId="170" fontId="20" fillId="0" borderId="0" xfId="45" applyNumberFormat="1" applyFont="1" applyFill="1" applyBorder="1"/>
    <xf numFmtId="0" fontId="29" fillId="42" borderId="0" xfId="0" applyFont="1" applyFill="1" applyAlignment="1">
      <alignment horizontal="center"/>
    </xf>
    <xf numFmtId="173" fontId="20" fillId="33" borderId="10" xfId="46" applyNumberFormat="1" applyFont="1" applyFill="1" applyBorder="1"/>
    <xf numFmtId="0" fontId="36" fillId="0" borderId="11" xfId="0" applyFont="1" applyBorder="1"/>
    <xf numFmtId="9" fontId="20" fillId="33" borderId="10" xfId="46" applyFont="1" applyFill="1" applyBorder="1"/>
    <xf numFmtId="0" fontId="20" fillId="0" borderId="15" xfId="0" applyFont="1" applyBorder="1"/>
    <xf numFmtId="9" fontId="20" fillId="38" borderId="16" xfId="46" applyFont="1" applyFill="1" applyBorder="1"/>
    <xf numFmtId="9" fontId="20" fillId="38" borderId="16" xfId="0" applyNumberFormat="1" applyFont="1" applyFill="1" applyBorder="1"/>
    <xf numFmtId="171" fontId="20" fillId="0" borderId="11" xfId="45" applyNumberFormat="1" applyFont="1" applyFill="1" applyBorder="1"/>
    <xf numFmtId="0" fontId="42" fillId="0" borderId="0" xfId="0" applyFont="1"/>
    <xf numFmtId="173" fontId="20" fillId="42" borderId="0" xfId="0" applyNumberFormat="1" applyFont="1" applyFill="1"/>
    <xf numFmtId="0" fontId="54" fillId="0" borderId="0" xfId="0" applyFont="1"/>
    <xf numFmtId="0" fontId="36" fillId="36" borderId="0" xfId="0" applyFont="1" applyFill="1"/>
    <xf numFmtId="0" fontId="47" fillId="38" borderId="0" xfId="0" applyFont="1" applyFill="1" applyAlignment="1">
      <alignment horizontal="center"/>
    </xf>
    <xf numFmtId="43" fontId="47" fillId="38" borderId="0" xfId="45" applyFont="1" applyFill="1" applyBorder="1" applyAlignment="1">
      <alignment horizontal="center"/>
    </xf>
    <xf numFmtId="0" fontId="20" fillId="36" borderId="0" xfId="34" applyFont="1" applyFill="1" applyBorder="1"/>
    <xf numFmtId="43" fontId="20" fillId="36" borderId="0" xfId="45" applyFont="1" applyFill="1" applyBorder="1"/>
    <xf numFmtId="0" fontId="29" fillId="0" borderId="0" xfId="0" applyFont="1" applyAlignment="1">
      <alignment horizontal="center" vertical="center" wrapText="1"/>
    </xf>
    <xf numFmtId="0" fontId="20" fillId="35" borderId="0" xfId="0" applyFont="1" applyFill="1" applyAlignment="1">
      <alignment horizontal="center" vertical="center" wrapText="1"/>
    </xf>
    <xf numFmtId="0" fontId="29" fillId="39" borderId="0" xfId="0" applyFont="1" applyFill="1" applyAlignment="1">
      <alignment horizontal="center" vertical="center"/>
    </xf>
    <xf numFmtId="0" fontId="29" fillId="39" borderId="0" xfId="0" applyFont="1" applyFill="1" applyAlignment="1">
      <alignment horizontal="center" vertical="center" wrapText="1"/>
    </xf>
    <xf numFmtId="0" fontId="20" fillId="35" borderId="0" xfId="0" applyFont="1" applyFill="1" applyAlignment="1">
      <alignment horizontal="center" vertical="center"/>
    </xf>
    <xf numFmtId="0" fontId="29" fillId="0" borderId="0" xfId="0" applyFont="1" applyAlignment="1">
      <alignment horizontal="center" vertical="center"/>
    </xf>
    <xf numFmtId="43" fontId="56" fillId="35" borderId="0" xfId="45" applyFont="1" applyFill="1" applyBorder="1"/>
    <xf numFmtId="43" fontId="21" fillId="35" borderId="0" xfId="45" applyFont="1" applyFill="1" applyBorder="1"/>
    <xf numFmtId="0" fontId="29" fillId="40" borderId="0" xfId="0" applyFont="1" applyFill="1" applyAlignment="1">
      <alignment horizontal="center" vertical="center" wrapText="1"/>
    </xf>
    <xf numFmtId="0" fontId="29" fillId="41" borderId="0" xfId="0" applyFont="1" applyFill="1" applyAlignment="1">
      <alignment horizontal="center" vertical="center" wrapText="1"/>
    </xf>
    <xf numFmtId="0" fontId="35" fillId="0" borderId="0" xfId="0" applyFont="1" applyAlignment="1">
      <alignment wrapText="1"/>
    </xf>
    <xf numFmtId="174" fontId="36" fillId="0" borderId="0" xfId="45" applyNumberFormat="1" applyFont="1" applyFill="1" applyBorder="1"/>
    <xf numFmtId="165" fontId="20" fillId="33" borderId="10" xfId="0" applyNumberFormat="1" applyFont="1" applyFill="1" applyBorder="1"/>
    <xf numFmtId="0" fontId="29" fillId="44" borderId="0" xfId="0" applyFont="1" applyFill="1" applyAlignment="1">
      <alignment horizontal="center" vertical="center" wrapText="1"/>
    </xf>
    <xf numFmtId="9" fontId="20" fillId="0" borderId="0" xfId="46" applyFont="1" applyFill="1" applyBorder="1"/>
    <xf numFmtId="0" fontId="27" fillId="45" borderId="0" xfId="0" applyFont="1" applyFill="1" applyAlignment="1">
      <alignment horizontal="center"/>
    </xf>
    <xf numFmtId="0" fontId="27" fillId="37" borderId="0" xfId="0" applyFont="1" applyFill="1"/>
    <xf numFmtId="43" fontId="27" fillId="45" borderId="0" xfId="45" applyFont="1" applyFill="1" applyBorder="1" applyAlignment="1">
      <alignment horizontal="center"/>
    </xf>
    <xf numFmtId="0" fontId="19" fillId="37" borderId="0" xfId="0" applyFont="1" applyFill="1"/>
    <xf numFmtId="0" fontId="19" fillId="0" borderId="0" xfId="0" applyFont="1" applyAlignment="1">
      <alignment horizontal="center"/>
    </xf>
    <xf numFmtId="3" fontId="19" fillId="0" borderId="0" xfId="0" applyNumberFormat="1" applyFont="1"/>
    <xf numFmtId="0" fontId="57" fillId="0" borderId="0" xfId="0" applyFont="1"/>
    <xf numFmtId="1" fontId="57" fillId="0" borderId="0" xfId="0" applyNumberFormat="1" applyFont="1"/>
    <xf numFmtId="0" fontId="57" fillId="37" borderId="0" xfId="0" applyFont="1" applyFill="1"/>
    <xf numFmtId="0" fontId="58" fillId="0" borderId="0" xfId="0" applyFont="1"/>
    <xf numFmtId="0" fontId="33" fillId="0" borderId="0" xfId="47" applyFont="1" applyFill="1" applyBorder="1"/>
    <xf numFmtId="0" fontId="20" fillId="43" borderId="1" xfId="34" applyFont="1" applyFill="1"/>
    <xf numFmtId="0" fontId="59" fillId="35" borderId="17" xfId="0" applyFont="1" applyFill="1" applyBorder="1" applyAlignment="1">
      <alignment wrapText="1"/>
    </xf>
    <xf numFmtId="0" fontId="59" fillId="35" borderId="18" xfId="0" applyFont="1" applyFill="1" applyBorder="1" applyAlignment="1">
      <alignment wrapText="1"/>
    </xf>
    <xf numFmtId="0" fontId="19" fillId="0" borderId="0" xfId="0" applyFont="1" applyAlignment="1">
      <alignment wrapText="1"/>
    </xf>
    <xf numFmtId="14" fontId="19" fillId="0" borderId="19" xfId="0" applyNumberFormat="1" applyFont="1" applyBorder="1" applyAlignment="1">
      <alignment horizontal="left" vertical="center" wrapText="1"/>
    </xf>
    <xf numFmtId="0" fontId="19" fillId="0" borderId="20" xfId="0" applyFont="1" applyBorder="1" applyAlignment="1">
      <alignment wrapText="1"/>
    </xf>
    <xf numFmtId="49" fontId="19" fillId="0" borderId="10" xfId="0" applyNumberFormat="1" applyFont="1" applyBorder="1" applyAlignment="1">
      <alignment wrapText="1"/>
    </xf>
    <xf numFmtId="0" fontId="19" fillId="0" borderId="21" xfId="0" applyFont="1" applyBorder="1" applyAlignment="1">
      <alignment wrapText="1"/>
    </xf>
    <xf numFmtId="0" fontId="19" fillId="0" borderId="22" xfId="0" applyFont="1" applyBorder="1" applyAlignment="1">
      <alignment wrapText="1"/>
    </xf>
    <xf numFmtId="0" fontId="60" fillId="0" borderId="21" xfId="0" applyFont="1" applyBorder="1" applyAlignment="1">
      <alignment wrapText="1"/>
    </xf>
    <xf numFmtId="0" fontId="60" fillId="0" borderId="19" xfId="0" applyFont="1" applyBorder="1" applyAlignment="1">
      <alignment wrapText="1"/>
    </xf>
    <xf numFmtId="0" fontId="19" fillId="0" borderId="19" xfId="0" applyFont="1" applyBorder="1" applyAlignment="1">
      <alignment wrapText="1"/>
    </xf>
    <xf numFmtId="0" fontId="60" fillId="0" borderId="20" xfId="0" applyFont="1" applyBorder="1" applyAlignment="1">
      <alignment wrapText="1"/>
    </xf>
    <xf numFmtId="0" fontId="60" fillId="0" borderId="23" xfId="0" applyFont="1" applyBorder="1" applyAlignment="1">
      <alignment wrapText="1"/>
    </xf>
    <xf numFmtId="14" fontId="60" fillId="0" borderId="24" xfId="0" applyNumberFormat="1" applyFont="1" applyBorder="1" applyAlignment="1">
      <alignment horizontal="left" vertical="center" wrapText="1"/>
    </xf>
    <xf numFmtId="0" fontId="19" fillId="0" borderId="10" xfId="0" applyFont="1" applyBorder="1" applyAlignment="1">
      <alignment wrapText="1"/>
    </xf>
    <xf numFmtId="0" fontId="19" fillId="0" borderId="24" xfId="0" applyFont="1" applyBorder="1" applyAlignment="1">
      <alignment wrapText="1"/>
    </xf>
    <xf numFmtId="0" fontId="61" fillId="35" borderId="0" xfId="0" applyFont="1" applyFill="1" applyAlignment="1">
      <alignment horizontal="center" wrapText="1"/>
    </xf>
    <xf numFmtId="0" fontId="60" fillId="0" borderId="0" xfId="0" applyFont="1" applyAlignment="1">
      <alignment wrapText="1"/>
    </xf>
    <xf numFmtId="0" fontId="62" fillId="0" borderId="0" xfId="0" applyFont="1" applyAlignment="1">
      <alignment wrapText="1"/>
    </xf>
    <xf numFmtId="0" fontId="60" fillId="0" borderId="24" xfId="0" applyFont="1" applyBorder="1" applyAlignment="1">
      <alignment wrapText="1"/>
    </xf>
    <xf numFmtId="0" fontId="63" fillId="0" borderId="0" xfId="0" applyFont="1"/>
    <xf numFmtId="0" fontId="64" fillId="0" borderId="0" xfId="0" applyFont="1"/>
    <xf numFmtId="0" fontId="65" fillId="0" borderId="0" xfId="0" applyFont="1"/>
    <xf numFmtId="0" fontId="66" fillId="0" borderId="0" xfId="0" applyFont="1"/>
    <xf numFmtId="0" fontId="67" fillId="0" borderId="20" xfId="0" applyFont="1" applyBorder="1" applyAlignment="1">
      <alignment wrapText="1"/>
    </xf>
    <xf numFmtId="0" fontId="67" fillId="0" borderId="22" xfId="0" applyFont="1" applyBorder="1" applyAlignment="1">
      <alignment wrapText="1"/>
    </xf>
    <xf numFmtId="0" fontId="67" fillId="0" borderId="24" xfId="0" applyFont="1" applyBorder="1" applyAlignment="1">
      <alignment wrapText="1"/>
    </xf>
    <xf numFmtId="0" fontId="65" fillId="0" borderId="0" xfId="0" applyFont="1" applyAlignment="1">
      <alignment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5"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7" builtinId="8"/>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rmal 2 2" xfId="38" xr:uid="{00000000-0005-0000-0000-000026000000}"/>
    <cellStyle name="Normal 2 3" xfId="39" xr:uid="{00000000-0005-0000-0000-000027000000}"/>
    <cellStyle name="Note" xfId="40" builtinId="10" customBuiltin="1"/>
    <cellStyle name="Output" xfId="41" builtinId="21" customBuiltin="1"/>
    <cellStyle name="Percent" xfId="46" builtinId="5"/>
    <cellStyle name="Title" xfId="42" builtinId="15" customBuiltin="1"/>
    <cellStyle name="Total" xfId="43" builtinId="25" customBuiltin="1"/>
    <cellStyle name="Warning Text" xfId="44" builtinId="11" customBuiltin="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78BE21"/>
      <color rgb="FFA619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swans\Desktop\Swanson.Regina.RS\Publication%20Support%20Team\PST%23%20-%20Jennifer%20K\Feedlot%20GHG%20calcs%20updated%202024.xlsx" TargetMode="External"/><Relationship Id="rId1" Type="http://schemas.openxmlformats.org/officeDocument/2006/relationships/externalLinkPath" Target="Feedlot%20GHG%20calcs%20updated%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Dairy"/>
      <sheetName val="Poultry"/>
      <sheetName val="Swine"/>
      <sheetName val="Alfalfa acres"/>
      <sheetName val="GWP conversion"/>
      <sheetName val="notes"/>
    </sheetNames>
    <sheetDataSet>
      <sheetData sheetId="0"/>
      <sheetData sheetId="1">
        <row r="7">
          <cell r="T7">
            <v>28</v>
          </cell>
        </row>
        <row r="8">
          <cell r="T8">
            <v>265</v>
          </cell>
        </row>
        <row r="9">
          <cell r="S9" t="str">
            <v>GWP Source: International Panel on Climate Change Fifth Assessment Report.</v>
          </cell>
        </row>
      </sheetData>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Kabele, Megen (MPCA)" id="{B53E3FC7-6332-4BF6-A84A-36EFFDF4A5B0}" userId="S::Megen.Kabele@state.mn.us::93be8acf-97cf-41e1-aa7a-480d5ca02b82" providerId="AD"/>
  <person displayName="Krueger, Jennifer (MPCA)" id="{F6E75CE9-5D1D-406B-8584-C8F81C2C3171}" userId="S::Jennifer.Krueger@state.mn.us::7f5d65e0-1ab1-493b-b63d-433acc0d4de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7" dT="2022-12-14T18:47:08.76" personId="{B53E3FC7-6332-4BF6-A84A-36EFFDF4A5B0}" id="{31DE50FA-BBA0-406A-983E-22DDCE9C4BFD}">
    <text>Is this an average of the choices from the table A-149? If so, should be 54
"Heifer" is not listed, just "Replacements: 7-11 months" (factor 43) and "Replacements: 12-23 months" (factor 65)
43+65=108; 108/2=54</text>
  </threadedComment>
  <threadedComment ref="E17" dT="2024-10-22T16:47:11.20" personId="{F6E75CE9-5D1D-406B-8584-C8F81C2C3171}" id="{918A3362-9758-4E4C-B024-D2FC469D233D}" parentId="{31DE50FA-BBA0-406A-983E-22DDCE9C4BFD}">
    <text>Table A-144</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epa.gov/system/files/documents/2024-04/us-ghg-inventory-2024-annexes.pdf" TargetMode="External"/><Relationship Id="rId7" Type="http://schemas.openxmlformats.org/officeDocument/2006/relationships/hyperlink" Target="https://www.epa.gov/system/files/documents/2024-04/us-ghg-inventory-2024-annexes.pdf" TargetMode="External"/><Relationship Id="rId2" Type="http://schemas.openxmlformats.org/officeDocument/2006/relationships/hyperlink" Target="https://www.epa.gov/system/files/documents/2024-04/us-ghg-inventory-2024-annexes.pdf" TargetMode="External"/><Relationship Id="rId1" Type="http://schemas.openxmlformats.org/officeDocument/2006/relationships/hyperlink" Target="https://www.epa.gov/system/files/documents/2024-04/us-ghg-inventory-2024-chapter-5-agriculture.pdf" TargetMode="External"/><Relationship Id="rId6" Type="http://schemas.openxmlformats.org/officeDocument/2006/relationships/hyperlink" Target="https://www.epa.gov/system/files/documents/2024-04/us-ghg-inventory-2024-annexes.pdf" TargetMode="External"/><Relationship Id="rId5" Type="http://schemas.openxmlformats.org/officeDocument/2006/relationships/hyperlink" Target="https://www.epa.gov/system/files/documents/2024-04/us-ghg-inventory-2024-annexes.pdf" TargetMode="External"/><Relationship Id="rId10" Type="http://schemas.microsoft.com/office/2017/10/relationships/threadedComment" Target="../threadedComments/threadedComment1.xml"/><Relationship Id="rId4" Type="http://schemas.openxmlformats.org/officeDocument/2006/relationships/hyperlink" Target="https://www.epa.gov/system/files/documents/2024-04/us-ghg-inventory-2024-annexes.pdf"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hyperlink" Target="https://www.pca.state.mn.us/sites/default/files/p-gen4-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6"/>
  <sheetViews>
    <sheetView view="pageLayout" topLeftCell="A2" zoomScale="80" zoomScaleNormal="100" zoomScaleSheetLayoutView="90" zoomScalePageLayoutView="80" workbookViewId="0">
      <selection activeCell="C8" sqref="C8"/>
    </sheetView>
  </sheetViews>
  <sheetFormatPr defaultRowHeight="15" x14ac:dyDescent="0.25"/>
  <cols>
    <col min="1" max="1" width="19.7109375" customWidth="1"/>
    <col min="2" max="2" width="40.28515625" bestFit="1" customWidth="1"/>
    <col min="3" max="3" width="13.140625" bestFit="1" customWidth="1"/>
    <col min="4" max="4" width="8.85546875" bestFit="1" customWidth="1"/>
    <col min="5" max="5" width="12" customWidth="1"/>
    <col min="6" max="6" width="16" customWidth="1"/>
    <col min="7" max="7" width="6" customWidth="1"/>
    <col min="8" max="10" width="9.140625" hidden="1" customWidth="1"/>
  </cols>
  <sheetData>
    <row r="1" spans="1:10" ht="56.25" customHeight="1" x14ac:dyDescent="0.25">
      <c r="A1" s="1" t="s">
        <v>146</v>
      </c>
      <c r="B1" s="1"/>
      <c r="C1" s="1"/>
      <c r="D1" s="1"/>
      <c r="E1" s="1"/>
      <c r="F1" s="1"/>
      <c r="G1" s="1"/>
      <c r="H1" s="1"/>
      <c r="I1" s="1"/>
      <c r="J1" s="1"/>
    </row>
    <row r="2" spans="1:10" ht="61.5" customHeight="1" x14ac:dyDescent="0.25">
      <c r="A2" s="1" t="s">
        <v>147</v>
      </c>
      <c r="B2" s="1"/>
      <c r="C2" s="1"/>
      <c r="D2" s="1"/>
      <c r="E2" s="1"/>
      <c r="F2" s="1"/>
      <c r="G2" s="1"/>
      <c r="H2" s="1"/>
      <c r="I2" s="1"/>
      <c r="J2" s="1"/>
    </row>
    <row r="3" spans="1:10" ht="15.75" customHeight="1" thickBot="1" x14ac:dyDescent="0.3">
      <c r="A3" s="2"/>
      <c r="B3" s="2"/>
      <c r="C3" s="2"/>
      <c r="D3" s="2"/>
      <c r="E3" s="2"/>
      <c r="F3" s="2"/>
      <c r="G3" s="2"/>
      <c r="H3" s="2"/>
      <c r="I3" s="2"/>
      <c r="J3" s="2"/>
    </row>
    <row r="4" spans="1:10" ht="15.75" thickBot="1" x14ac:dyDescent="0.3">
      <c r="A4" s="3"/>
      <c r="B4" s="2" t="s">
        <v>0</v>
      </c>
      <c r="C4" s="2"/>
      <c r="D4" s="2"/>
      <c r="E4" s="2"/>
      <c r="F4" s="2"/>
      <c r="G4" s="2"/>
      <c r="H4" s="2"/>
      <c r="I4" s="2"/>
      <c r="J4" s="2"/>
    </row>
    <row r="5" spans="1:10" ht="15.75" thickBot="1" x14ac:dyDescent="0.3">
      <c r="A5" s="2"/>
      <c r="B5" s="2"/>
      <c r="C5" s="2"/>
      <c r="D5" s="2"/>
      <c r="E5" s="2"/>
      <c r="F5" s="2"/>
      <c r="G5" s="2"/>
      <c r="H5" s="2"/>
      <c r="I5" s="2"/>
      <c r="J5" s="2"/>
    </row>
    <row r="6" spans="1:10" ht="15.75" thickBot="1" x14ac:dyDescent="0.3">
      <c r="A6" s="4"/>
      <c r="B6" s="2" t="s">
        <v>1</v>
      </c>
      <c r="C6" s="2"/>
      <c r="D6" s="2"/>
      <c r="E6" s="2"/>
      <c r="F6" s="2"/>
      <c r="G6" s="2"/>
      <c r="H6" s="2"/>
      <c r="I6" s="2"/>
      <c r="J6" s="2"/>
    </row>
    <row r="213" ht="15" customHeight="1" x14ac:dyDescent="0.25"/>
    <row r="275" ht="15" customHeight="1" x14ac:dyDescent="0.25"/>
    <row r="276" ht="15" customHeight="1" x14ac:dyDescent="0.25"/>
  </sheetData>
  <mergeCells count="2">
    <mergeCell ref="A1:J1"/>
    <mergeCell ref="A2:J2"/>
  </mergeCells>
  <pageMargins left="0.5" right="0.5" top="1.5" bottom="1" header="0.5" footer="0.5"/>
  <pageSetup scale="89" orientation="landscape" r:id="rId1"/>
  <headerFooter differentFirst="1">
    <oddFooter>&amp;L&amp;9Title • Document Number • Month Year&amp;C&amp;9&amp;P of &amp;N&amp;R&amp;G</oddFooter>
    <firstHeader xml:space="preserve">&amp;L&amp;G&amp;R&amp;"-,Bold"&amp;22 Animal Feedlot GHG Calculator
&amp;"-,Regular"&amp;12 </firstHeader>
    <firstFooter>&amp;L&amp;9p-ear1-14a&amp;C&amp;9Minnesota Pollution Control Agency • 520 Lafayette Rd. N., St. Paul, MN 55155-4194 • www.pca.state.mn.us
651-296-6300 • 800-657-3864 or use your preferred relay service • Info.pca@state.mn.us&amp;R&amp;9February 2025</first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63"/>
  <sheetViews>
    <sheetView topLeftCell="J15" zoomScaleNormal="100" workbookViewId="0">
      <selection activeCell="S39" sqref="S39"/>
    </sheetView>
  </sheetViews>
  <sheetFormatPr defaultRowHeight="15" x14ac:dyDescent="0.25"/>
  <cols>
    <col min="2" max="2" width="45.85546875" customWidth="1"/>
    <col min="3" max="3" width="2.42578125" customWidth="1"/>
    <col min="8" max="8" width="2.5703125" customWidth="1"/>
    <col min="13" max="13" width="2.5703125" customWidth="1"/>
    <col min="18" max="18" width="2.42578125" customWidth="1"/>
    <col min="19" max="19" width="40.28515625" customWidth="1"/>
    <col min="21" max="21" width="2.140625" customWidth="1"/>
    <col min="22" max="22" width="54.85546875" customWidth="1"/>
    <col min="23" max="23" width="17.7109375" customWidth="1"/>
    <col min="24" max="24" width="25.85546875" customWidth="1"/>
    <col min="25" max="25" width="2.7109375" customWidth="1"/>
    <col min="26" max="27" width="0.140625" hidden="1" customWidth="1"/>
    <col min="28" max="46" width="9.140625" hidden="1" customWidth="1"/>
  </cols>
  <sheetData>
    <row r="1" spans="1:49" x14ac:dyDescent="0.25">
      <c r="A1" s="5"/>
      <c r="B1" s="6"/>
      <c r="C1" s="7"/>
      <c r="D1" s="8" t="s">
        <v>2</v>
      </c>
      <c r="E1" s="8"/>
      <c r="F1" s="8"/>
      <c r="G1" s="8"/>
      <c r="H1" s="7"/>
      <c r="I1" s="8" t="s">
        <v>3</v>
      </c>
      <c r="J1" s="8"/>
      <c r="K1" s="8"/>
      <c r="L1" s="8"/>
      <c r="M1" s="7"/>
      <c r="N1" s="8" t="s">
        <v>4</v>
      </c>
      <c r="O1" s="8"/>
      <c r="P1" s="8"/>
      <c r="Q1" s="8"/>
      <c r="R1" s="7"/>
      <c r="S1" s="6"/>
      <c r="T1" s="6"/>
      <c r="U1" s="9"/>
      <c r="V1" s="6"/>
      <c r="W1" s="6"/>
      <c r="X1" s="6"/>
      <c r="Y1" s="10"/>
      <c r="Z1" s="11"/>
      <c r="AA1" s="11"/>
      <c r="AB1" s="11"/>
      <c r="AC1" s="11"/>
      <c r="AD1" s="11"/>
      <c r="AE1" s="11"/>
      <c r="AF1" s="11"/>
      <c r="AG1" s="11"/>
      <c r="AH1" s="11"/>
      <c r="AI1" s="11"/>
      <c r="AJ1" s="11"/>
      <c r="AK1" s="11"/>
      <c r="AL1" s="11"/>
      <c r="AM1" s="11"/>
      <c r="AN1" s="11"/>
      <c r="AO1" s="11"/>
      <c r="AP1" s="11"/>
      <c r="AQ1" s="11"/>
      <c r="AR1" s="11"/>
      <c r="AS1" s="11"/>
      <c r="AT1" s="11"/>
      <c r="AU1" s="5"/>
      <c r="AV1" s="5"/>
      <c r="AW1" s="5"/>
    </row>
    <row r="2" spans="1:49" x14ac:dyDescent="0.25">
      <c r="A2" s="12"/>
      <c r="B2" s="13" t="s">
        <v>5</v>
      </c>
      <c r="C2" s="14"/>
      <c r="D2" s="13"/>
      <c r="E2" s="13"/>
      <c r="F2" s="13"/>
      <c r="G2" s="13"/>
      <c r="H2" s="14"/>
      <c r="I2" s="15"/>
      <c r="J2" s="15"/>
      <c r="K2" s="15"/>
      <c r="L2" s="12"/>
      <c r="M2" s="16"/>
      <c r="N2" s="12"/>
      <c r="O2" s="12"/>
      <c r="P2" s="12"/>
      <c r="Q2" s="12"/>
      <c r="R2" s="16"/>
      <c r="S2" s="12"/>
      <c r="T2" s="12"/>
      <c r="U2" s="17"/>
      <c r="V2" s="12"/>
      <c r="W2" s="12"/>
      <c r="X2" s="12"/>
      <c r="Y2" s="18"/>
      <c r="Z2" s="19"/>
      <c r="AA2" s="19"/>
      <c r="AB2" s="19"/>
      <c r="AC2" s="19"/>
      <c r="AD2" s="19"/>
      <c r="AE2" s="19"/>
      <c r="AF2" s="19"/>
      <c r="AG2" s="19"/>
      <c r="AH2" s="19"/>
      <c r="AI2" s="19"/>
      <c r="AJ2" s="19"/>
      <c r="AK2" s="19"/>
      <c r="AL2" s="19"/>
      <c r="AM2" s="19"/>
      <c r="AN2" s="19"/>
      <c r="AO2" s="19"/>
      <c r="AP2" s="19"/>
      <c r="AQ2" s="19"/>
      <c r="AR2" s="19"/>
      <c r="AS2" s="19"/>
      <c r="AT2" s="19"/>
      <c r="AU2" s="12"/>
      <c r="AV2" s="12"/>
      <c r="AW2" s="12"/>
    </row>
    <row r="3" spans="1:49" x14ac:dyDescent="0.25">
      <c r="A3" s="12"/>
      <c r="B3" s="20" t="s">
        <v>6</v>
      </c>
      <c r="C3" s="16"/>
      <c r="D3" s="12"/>
      <c r="E3" s="12"/>
      <c r="F3" s="12"/>
      <c r="G3" s="21">
        <f>G20</f>
        <v>0</v>
      </c>
      <c r="H3" s="16"/>
      <c r="I3" s="12"/>
      <c r="J3" s="12"/>
      <c r="K3" s="15"/>
      <c r="L3" s="21">
        <f>L20</f>
        <v>0</v>
      </c>
      <c r="M3" s="16"/>
      <c r="N3" s="12"/>
      <c r="O3" s="12"/>
      <c r="P3" s="12"/>
      <c r="Q3" s="21">
        <f>Q20</f>
        <v>0</v>
      </c>
      <c r="R3" s="16"/>
      <c r="S3" s="12"/>
      <c r="T3" s="12"/>
      <c r="U3" s="17"/>
      <c r="V3" s="12"/>
      <c r="W3" s="12"/>
      <c r="X3" s="12"/>
      <c r="Y3" s="18"/>
      <c r="Z3" s="19"/>
      <c r="AA3" s="19"/>
      <c r="AB3" s="19"/>
      <c r="AC3" s="19"/>
      <c r="AD3" s="19"/>
      <c r="AE3" s="19"/>
      <c r="AF3" s="19"/>
      <c r="AG3" s="19"/>
      <c r="AH3" s="19"/>
      <c r="AI3" s="19"/>
      <c r="AJ3" s="19"/>
      <c r="AK3" s="19"/>
      <c r="AL3" s="19"/>
      <c r="AM3" s="19"/>
      <c r="AN3" s="19"/>
      <c r="AO3" s="19"/>
      <c r="AP3" s="19"/>
      <c r="AQ3" s="19"/>
      <c r="AR3" s="19"/>
      <c r="AS3" s="19"/>
      <c r="AT3" s="19"/>
      <c r="AU3" s="12"/>
      <c r="AV3" s="12"/>
      <c r="AW3" s="12"/>
    </row>
    <row r="4" spans="1:49" x14ac:dyDescent="0.25">
      <c r="A4" s="12"/>
      <c r="B4" s="22" t="s">
        <v>7</v>
      </c>
      <c r="C4" s="16"/>
      <c r="D4" s="12"/>
      <c r="E4" s="12"/>
      <c r="F4" s="12"/>
      <c r="G4" s="23">
        <f>G33</f>
        <v>0</v>
      </c>
      <c r="H4" s="16"/>
      <c r="I4" s="12"/>
      <c r="J4" s="12"/>
      <c r="K4" s="15"/>
      <c r="L4" s="23">
        <f>L33</f>
        <v>0</v>
      </c>
      <c r="M4" s="16"/>
      <c r="N4" s="12"/>
      <c r="O4" s="12"/>
      <c r="P4" s="12"/>
      <c r="Q4" s="23">
        <f>Q33</f>
        <v>0</v>
      </c>
      <c r="R4" s="16"/>
      <c r="S4" s="12"/>
      <c r="T4" s="12"/>
      <c r="U4" s="17"/>
      <c r="V4" s="12"/>
      <c r="W4" s="12"/>
      <c r="X4" s="12"/>
      <c r="Y4" s="18"/>
      <c r="Z4" s="19"/>
      <c r="AA4" s="19"/>
      <c r="AB4" s="19"/>
      <c r="AC4" s="19"/>
      <c r="AD4" s="19"/>
      <c r="AE4" s="19"/>
      <c r="AF4" s="19"/>
      <c r="AG4" s="19"/>
      <c r="AH4" s="19"/>
      <c r="AI4" s="19"/>
      <c r="AJ4" s="19"/>
      <c r="AK4" s="19"/>
      <c r="AL4" s="19"/>
      <c r="AM4" s="19"/>
      <c r="AN4" s="19"/>
      <c r="AO4" s="19"/>
      <c r="AP4" s="19"/>
      <c r="AQ4" s="19"/>
      <c r="AR4" s="19"/>
      <c r="AS4" s="19"/>
      <c r="AT4" s="19"/>
      <c r="AU4" s="12"/>
      <c r="AV4" s="12"/>
      <c r="AW4" s="12"/>
    </row>
    <row r="5" spans="1:49" x14ac:dyDescent="0.25">
      <c r="A5" s="12"/>
      <c r="B5" s="24" t="s">
        <v>8</v>
      </c>
      <c r="C5" s="16"/>
      <c r="D5" s="12"/>
      <c r="E5" s="12"/>
      <c r="F5" s="12"/>
      <c r="G5" s="25">
        <f>G44</f>
        <v>0</v>
      </c>
      <c r="H5" s="16"/>
      <c r="I5" s="12"/>
      <c r="J5" s="12"/>
      <c r="K5" s="15"/>
      <c r="L5" s="25">
        <f>L44</f>
        <v>0</v>
      </c>
      <c r="M5" s="16"/>
      <c r="N5" s="12"/>
      <c r="O5" s="12"/>
      <c r="P5" s="12"/>
      <c r="Q5" s="25">
        <f>Q44</f>
        <v>0</v>
      </c>
      <c r="R5" s="16"/>
      <c r="S5" s="12"/>
      <c r="T5" s="12"/>
      <c r="U5" s="17"/>
      <c r="V5" s="12"/>
      <c r="W5" s="12"/>
      <c r="X5" s="12"/>
      <c r="Y5" s="18"/>
      <c r="Z5" s="19"/>
      <c r="AA5" s="19"/>
      <c r="AB5" s="19"/>
      <c r="AC5" s="19"/>
      <c r="AD5" s="19"/>
      <c r="AE5" s="19"/>
      <c r="AF5" s="19"/>
      <c r="AG5" s="19"/>
      <c r="AH5" s="19"/>
      <c r="AI5" s="19"/>
      <c r="AJ5" s="19"/>
      <c r="AK5" s="19"/>
      <c r="AL5" s="19"/>
      <c r="AM5" s="19"/>
      <c r="AN5" s="19"/>
      <c r="AO5" s="19"/>
      <c r="AP5" s="19"/>
      <c r="AQ5" s="19"/>
      <c r="AR5" s="19"/>
      <c r="AS5" s="19"/>
      <c r="AT5" s="19"/>
      <c r="AU5" s="12"/>
      <c r="AV5" s="12"/>
      <c r="AW5" s="12"/>
    </row>
    <row r="6" spans="1:49" x14ac:dyDescent="0.25">
      <c r="A6" s="12"/>
      <c r="B6" s="26" t="s">
        <v>9</v>
      </c>
      <c r="C6" s="16"/>
      <c r="D6" s="12"/>
      <c r="E6" s="12"/>
      <c r="F6" s="12"/>
      <c r="G6" s="27">
        <f>G55</f>
        <v>0</v>
      </c>
      <c r="H6" s="16"/>
      <c r="I6" s="12"/>
      <c r="J6" s="12"/>
      <c r="K6" s="15"/>
      <c r="L6" s="27">
        <f>L55</f>
        <v>0</v>
      </c>
      <c r="M6" s="16"/>
      <c r="N6" s="12"/>
      <c r="O6" s="12"/>
      <c r="P6" s="12"/>
      <c r="Q6" s="27">
        <f>Q55</f>
        <v>0</v>
      </c>
      <c r="R6" s="16"/>
      <c r="S6" s="12" t="s">
        <v>10</v>
      </c>
      <c r="T6" s="12"/>
      <c r="U6" s="17"/>
      <c r="V6" s="12"/>
      <c r="W6" s="12"/>
      <c r="X6" s="12"/>
      <c r="Y6" s="18"/>
      <c r="Z6" s="19"/>
      <c r="AA6" s="19"/>
      <c r="AB6" s="19"/>
      <c r="AC6" s="19"/>
      <c r="AD6" s="19"/>
      <c r="AE6" s="19"/>
      <c r="AF6" s="19"/>
      <c r="AG6" s="19"/>
      <c r="AH6" s="19"/>
      <c r="AI6" s="19"/>
      <c r="AJ6" s="19"/>
      <c r="AK6" s="19"/>
      <c r="AL6" s="19"/>
      <c r="AM6" s="19"/>
      <c r="AN6" s="19"/>
      <c r="AO6" s="19"/>
      <c r="AP6" s="19"/>
      <c r="AQ6" s="19"/>
      <c r="AR6" s="19"/>
      <c r="AS6" s="19"/>
      <c r="AT6" s="19"/>
      <c r="AU6" s="12"/>
      <c r="AV6" s="12"/>
      <c r="AW6" s="12"/>
    </row>
    <row r="7" spans="1:49" ht="15.75" thickBot="1" x14ac:dyDescent="0.3">
      <c r="A7" s="12"/>
      <c r="B7" s="12" t="s">
        <v>11</v>
      </c>
      <c r="C7" s="16"/>
      <c r="D7" s="12"/>
      <c r="E7" s="12"/>
      <c r="F7" s="12"/>
      <c r="G7" s="28"/>
      <c r="H7" s="16"/>
      <c r="I7" s="12"/>
      <c r="J7" s="12"/>
      <c r="K7" s="15"/>
      <c r="L7" s="28"/>
      <c r="M7" s="16"/>
      <c r="N7" s="12"/>
      <c r="O7" s="12"/>
      <c r="P7" s="12"/>
      <c r="Q7" s="28"/>
      <c r="R7" s="16"/>
      <c r="S7" s="12" t="s">
        <v>12</v>
      </c>
      <c r="T7" s="29">
        <v>28</v>
      </c>
      <c r="U7" s="17"/>
      <c r="V7" s="30" t="s">
        <v>13</v>
      </c>
      <c r="W7" s="22"/>
      <c r="X7" s="22"/>
      <c r="Y7" s="18"/>
      <c r="Z7" s="19"/>
      <c r="AA7" s="19"/>
      <c r="AB7" s="19"/>
      <c r="AC7" s="19"/>
      <c r="AD7" s="19"/>
      <c r="AE7" s="19"/>
      <c r="AF7" s="19"/>
      <c r="AG7" s="19"/>
      <c r="AH7" s="19"/>
      <c r="AI7" s="19"/>
      <c r="AJ7" s="19"/>
      <c r="AK7" s="19"/>
      <c r="AL7" s="19"/>
      <c r="AM7" s="19"/>
      <c r="AN7" s="19"/>
      <c r="AO7" s="19"/>
      <c r="AP7" s="19"/>
      <c r="AQ7" s="19"/>
      <c r="AR7" s="19"/>
      <c r="AS7" s="19"/>
      <c r="AT7" s="19"/>
      <c r="AU7" s="12"/>
      <c r="AV7" s="12"/>
      <c r="AW7" s="12"/>
    </row>
    <row r="8" spans="1:49" ht="15.75" thickBot="1" x14ac:dyDescent="0.3">
      <c r="A8" s="12"/>
      <c r="B8" s="13" t="s">
        <v>14</v>
      </c>
      <c r="C8" s="14"/>
      <c r="D8" s="13"/>
      <c r="E8" s="13"/>
      <c r="F8" s="13"/>
      <c r="G8" s="31">
        <f>SUM(G3:G6)</f>
        <v>0</v>
      </c>
      <c r="H8" s="14"/>
      <c r="I8" s="12"/>
      <c r="J8" s="12"/>
      <c r="K8" s="15"/>
      <c r="L8" s="4">
        <f>SUM(L3:L6)</f>
        <v>0</v>
      </c>
      <c r="M8" s="16"/>
      <c r="N8" s="12"/>
      <c r="O8" s="12"/>
      <c r="P8" s="12"/>
      <c r="Q8" s="4">
        <f>SUM(Q3:Q6)</f>
        <v>0</v>
      </c>
      <c r="R8" s="16"/>
      <c r="S8" s="12" t="s">
        <v>15</v>
      </c>
      <c r="T8" s="29">
        <v>265</v>
      </c>
      <c r="U8" s="32"/>
      <c r="V8" s="30" t="s">
        <v>16</v>
      </c>
      <c r="W8" s="33"/>
      <c r="X8" s="33"/>
      <c r="Y8" s="18"/>
      <c r="Z8" s="19"/>
      <c r="AA8" s="19"/>
      <c r="AB8" s="19"/>
      <c r="AC8" s="19"/>
      <c r="AD8" s="19"/>
      <c r="AE8" s="19"/>
      <c r="AF8" s="19"/>
      <c r="AG8" s="19"/>
      <c r="AH8" s="19"/>
      <c r="AI8" s="19"/>
      <c r="AJ8" s="19"/>
      <c r="AK8" s="19"/>
      <c r="AL8" s="19"/>
      <c r="AM8" s="19"/>
      <c r="AN8" s="19"/>
      <c r="AO8" s="19"/>
      <c r="AP8" s="19"/>
      <c r="AQ8" s="19"/>
      <c r="AR8" s="19"/>
      <c r="AS8" s="19"/>
      <c r="AT8" s="19"/>
      <c r="AU8" s="12"/>
      <c r="AV8" s="12"/>
      <c r="AW8" s="12"/>
    </row>
    <row r="9" spans="1:49" x14ac:dyDescent="0.25">
      <c r="A9" s="16"/>
      <c r="B9" s="16"/>
      <c r="C9" s="16"/>
      <c r="D9" s="16"/>
      <c r="E9" s="16"/>
      <c r="F9" s="16"/>
      <c r="G9" s="16"/>
      <c r="H9" s="16"/>
      <c r="I9" s="16"/>
      <c r="J9" s="16"/>
      <c r="K9" s="16"/>
      <c r="L9" s="16"/>
      <c r="M9" s="16"/>
      <c r="N9" s="16"/>
      <c r="O9" s="16"/>
      <c r="P9" s="16"/>
      <c r="Q9" s="16"/>
      <c r="R9" s="16"/>
      <c r="S9" s="34" t="s">
        <v>17</v>
      </c>
      <c r="T9" s="12"/>
      <c r="U9" s="17"/>
      <c r="V9" s="13" t="s">
        <v>18</v>
      </c>
      <c r="W9" s="12"/>
      <c r="X9" s="13" t="s">
        <v>19</v>
      </c>
      <c r="Y9" s="18"/>
      <c r="Z9" s="19"/>
      <c r="AA9" s="19"/>
      <c r="AB9" s="19"/>
      <c r="AC9" s="19"/>
      <c r="AD9" s="19"/>
      <c r="AE9" s="19"/>
      <c r="AF9" s="19"/>
      <c r="AG9" s="19"/>
      <c r="AH9" s="19"/>
      <c r="AI9" s="19"/>
      <c r="AJ9" s="19"/>
      <c r="AK9" s="19"/>
      <c r="AL9" s="19"/>
      <c r="AM9" s="19"/>
      <c r="AN9" s="19"/>
      <c r="AO9" s="19"/>
      <c r="AP9" s="19"/>
      <c r="AQ9" s="19"/>
      <c r="AR9" s="19"/>
      <c r="AS9" s="19"/>
      <c r="AT9" s="19"/>
      <c r="AU9" s="12"/>
      <c r="AV9" s="12"/>
      <c r="AW9" s="12"/>
    </row>
    <row r="10" spans="1:49" ht="15.75" thickBot="1" x14ac:dyDescent="0.3">
      <c r="A10" s="12"/>
      <c r="B10" s="12"/>
      <c r="C10" s="16"/>
      <c r="D10" s="35" t="s">
        <v>20</v>
      </c>
      <c r="E10" s="35" t="s">
        <v>21</v>
      </c>
      <c r="F10" s="35" t="s">
        <v>22</v>
      </c>
      <c r="G10" s="35" t="s">
        <v>23</v>
      </c>
      <c r="H10" s="36"/>
      <c r="I10" s="35" t="s">
        <v>20</v>
      </c>
      <c r="J10" s="35" t="s">
        <v>21</v>
      </c>
      <c r="K10" s="35" t="s">
        <v>22</v>
      </c>
      <c r="L10" s="35" t="s">
        <v>23</v>
      </c>
      <c r="M10" s="36"/>
      <c r="N10" s="35" t="s">
        <v>20</v>
      </c>
      <c r="O10" s="35" t="s">
        <v>21</v>
      </c>
      <c r="P10" s="35" t="s">
        <v>22</v>
      </c>
      <c r="Q10" s="35" t="s">
        <v>23</v>
      </c>
      <c r="R10" s="16"/>
      <c r="S10" s="12"/>
      <c r="T10" s="12"/>
      <c r="U10" s="17"/>
      <c r="V10" s="12" t="s">
        <v>24</v>
      </c>
      <c r="W10" s="37">
        <v>0.2</v>
      </c>
      <c r="X10" s="199" t="s">
        <v>25</v>
      </c>
      <c r="Y10" s="18"/>
      <c r="Z10" s="19"/>
      <c r="AA10" s="19"/>
      <c r="AB10" s="19"/>
      <c r="AC10" s="19"/>
      <c r="AD10" s="19"/>
      <c r="AE10" s="19"/>
      <c r="AF10" s="19"/>
      <c r="AG10" s="19"/>
      <c r="AH10" s="19"/>
      <c r="AI10" s="19"/>
      <c r="AJ10" s="19"/>
      <c r="AK10" s="19"/>
      <c r="AL10" s="19"/>
      <c r="AM10" s="19"/>
      <c r="AN10" s="19"/>
      <c r="AO10" s="19"/>
      <c r="AP10" s="19"/>
      <c r="AQ10" s="19"/>
      <c r="AR10" s="19"/>
      <c r="AS10" s="19"/>
      <c r="AT10" s="19"/>
      <c r="AU10" s="39"/>
      <c r="AV10" s="12"/>
      <c r="AW10" s="12"/>
    </row>
    <row r="11" spans="1:49" ht="15.75" thickBot="1" x14ac:dyDescent="0.3">
      <c r="A11" s="28"/>
      <c r="B11" s="40" t="s">
        <v>26</v>
      </c>
      <c r="C11" s="41"/>
      <c r="D11" s="3"/>
      <c r="E11" s="3"/>
      <c r="F11" s="3"/>
      <c r="G11" s="28">
        <f>SUM(D11:F11)</f>
        <v>0</v>
      </c>
      <c r="H11" s="41"/>
      <c r="I11" s="3"/>
      <c r="J11" s="3"/>
      <c r="K11" s="3">
        <v>0</v>
      </c>
      <c r="L11" s="28">
        <f>SUM(I11:K11)</f>
        <v>0</v>
      </c>
      <c r="M11" s="41"/>
      <c r="N11" s="28">
        <f>D11+I11</f>
        <v>0</v>
      </c>
      <c r="O11" s="28">
        <f>E11+J11</f>
        <v>0</v>
      </c>
      <c r="P11" s="28">
        <f>F11+K11</f>
        <v>0</v>
      </c>
      <c r="Q11" s="28">
        <f>SUM(N11:P11)</f>
        <v>0</v>
      </c>
      <c r="R11" s="41"/>
      <c r="S11" s="28"/>
      <c r="T11" s="28"/>
      <c r="U11" s="17"/>
      <c r="V11" s="12" t="s">
        <v>27</v>
      </c>
      <c r="W11" s="42">
        <v>0.24</v>
      </c>
      <c r="X11" s="199" t="s">
        <v>28</v>
      </c>
      <c r="Y11" s="18"/>
      <c r="Z11" s="19"/>
      <c r="AA11" s="19"/>
      <c r="AB11" s="19"/>
      <c r="AC11" s="19"/>
      <c r="AD11" s="19"/>
      <c r="AE11" s="19"/>
      <c r="AF11" s="19"/>
      <c r="AG11" s="19"/>
      <c r="AH11" s="19"/>
      <c r="AI11" s="19"/>
      <c r="AJ11" s="19"/>
      <c r="AK11" s="19"/>
      <c r="AL11" s="19"/>
      <c r="AM11" s="19"/>
      <c r="AN11" s="19"/>
      <c r="AO11" s="19"/>
      <c r="AP11" s="19"/>
      <c r="AQ11" s="19"/>
      <c r="AR11" s="19"/>
      <c r="AS11" s="19"/>
      <c r="AT11" s="19"/>
      <c r="AU11" s="39"/>
      <c r="AV11" s="28"/>
      <c r="AW11" s="28"/>
    </row>
    <row r="12" spans="1:49" ht="15.75" thickBot="1" x14ac:dyDescent="0.3">
      <c r="A12" s="12"/>
      <c r="B12" s="12" t="s">
        <v>29</v>
      </c>
      <c r="C12" s="16"/>
      <c r="D12" s="12">
        <v>0.2</v>
      </c>
      <c r="E12" s="12">
        <v>0.7</v>
      </c>
      <c r="F12" s="43">
        <v>1</v>
      </c>
      <c r="G12" s="12"/>
      <c r="H12" s="16"/>
      <c r="I12" s="44">
        <v>0.2</v>
      </c>
      <c r="J12" s="44">
        <v>0.7</v>
      </c>
      <c r="K12" s="43">
        <f>F12</f>
        <v>1</v>
      </c>
      <c r="L12" s="44"/>
      <c r="M12" s="45"/>
      <c r="N12" s="44">
        <v>0.2</v>
      </c>
      <c r="O12" s="44">
        <v>0.7</v>
      </c>
      <c r="P12" s="44">
        <f>K12</f>
        <v>1</v>
      </c>
      <c r="Q12" s="44"/>
      <c r="R12" s="16"/>
      <c r="S12" s="12"/>
      <c r="T12" s="12"/>
      <c r="U12" s="17"/>
      <c r="V12" s="12" t="s">
        <v>30</v>
      </c>
      <c r="W12" s="42">
        <v>0.24</v>
      </c>
      <c r="X12" s="199" t="s">
        <v>31</v>
      </c>
      <c r="Y12" s="18"/>
      <c r="Z12" s="19"/>
      <c r="AA12" s="19"/>
      <c r="AB12" s="19"/>
      <c r="AC12" s="19"/>
      <c r="AD12" s="19"/>
      <c r="AE12" s="19"/>
      <c r="AF12" s="19"/>
      <c r="AG12" s="19"/>
      <c r="AH12" s="19"/>
      <c r="AI12" s="19"/>
      <c r="AJ12" s="19"/>
      <c r="AK12" s="19"/>
      <c r="AL12" s="19"/>
      <c r="AM12" s="19"/>
      <c r="AN12" s="19"/>
      <c r="AO12" s="19"/>
      <c r="AP12" s="19"/>
      <c r="AQ12" s="19"/>
      <c r="AR12" s="19"/>
      <c r="AS12" s="19"/>
      <c r="AT12" s="19"/>
      <c r="AU12" s="12"/>
      <c r="AV12" s="12"/>
      <c r="AW12" s="12"/>
    </row>
    <row r="13" spans="1:49" x14ac:dyDescent="0.25">
      <c r="A13" s="12"/>
      <c r="B13" s="12" t="s">
        <v>32</v>
      </c>
      <c r="C13" s="16"/>
      <c r="D13" s="46">
        <f>D11*D12</f>
        <v>0</v>
      </c>
      <c r="E13" s="47">
        <f>E11*E12</f>
        <v>0</v>
      </c>
      <c r="F13" s="48">
        <f>F11*F12</f>
        <v>0</v>
      </c>
      <c r="G13" s="49">
        <f>SUM(D13:F13)</f>
        <v>0</v>
      </c>
      <c r="H13" s="16"/>
      <c r="I13" s="12">
        <f>I11*I12</f>
        <v>0</v>
      </c>
      <c r="J13" s="12">
        <f>J11*J12</f>
        <v>0</v>
      </c>
      <c r="K13" s="12">
        <f>K11*K12</f>
        <v>0</v>
      </c>
      <c r="L13" s="44">
        <f>SUM(I13:K13)</f>
        <v>0</v>
      </c>
      <c r="M13" s="45"/>
      <c r="N13" s="12">
        <f>N11*N12</f>
        <v>0</v>
      </c>
      <c r="O13" s="12">
        <f t="shared" ref="O13" si="0">O11*O12</f>
        <v>0</v>
      </c>
      <c r="P13" s="12">
        <f>P11*P12</f>
        <v>0</v>
      </c>
      <c r="Q13" s="44">
        <f>SUM(N13:P13)</f>
        <v>0</v>
      </c>
      <c r="R13" s="16"/>
      <c r="S13" s="12"/>
      <c r="T13" s="12"/>
      <c r="U13" s="17"/>
      <c r="V13" s="12" t="s">
        <v>33</v>
      </c>
      <c r="W13" s="42">
        <v>0.24</v>
      </c>
      <c r="X13" s="199" t="s">
        <v>31</v>
      </c>
      <c r="Y13" s="18"/>
      <c r="Z13" s="19"/>
      <c r="AA13" s="19"/>
      <c r="AB13" s="19"/>
      <c r="AC13" s="19"/>
      <c r="AD13" s="19"/>
      <c r="AE13" s="19"/>
      <c r="AF13" s="19"/>
      <c r="AG13" s="19"/>
      <c r="AH13" s="19"/>
      <c r="AI13" s="19"/>
      <c r="AJ13" s="19"/>
      <c r="AK13" s="19"/>
      <c r="AL13" s="19"/>
      <c r="AM13" s="19"/>
      <c r="AN13" s="19"/>
      <c r="AO13" s="19"/>
      <c r="AP13" s="19"/>
      <c r="AQ13" s="19"/>
      <c r="AR13" s="19"/>
      <c r="AS13" s="19"/>
      <c r="AT13" s="19"/>
      <c r="AU13" s="12"/>
      <c r="AV13" s="12"/>
      <c r="AW13" s="12"/>
    </row>
    <row r="14" spans="1:49" x14ac:dyDescent="0.25">
      <c r="A14" s="16"/>
      <c r="B14" s="16"/>
      <c r="C14" s="16"/>
      <c r="D14" s="16"/>
      <c r="E14" s="16"/>
      <c r="F14" s="16"/>
      <c r="G14" s="16"/>
      <c r="H14" s="16"/>
      <c r="I14" s="45"/>
      <c r="J14" s="45"/>
      <c r="K14" s="45"/>
      <c r="L14" s="16"/>
      <c r="M14" s="16"/>
      <c r="N14" s="16"/>
      <c r="O14" s="16"/>
      <c r="P14" s="16"/>
      <c r="Q14" s="16"/>
      <c r="R14" s="16"/>
      <c r="S14" s="16"/>
      <c r="T14" s="16"/>
      <c r="U14" s="17"/>
      <c r="V14" s="12" t="s">
        <v>34</v>
      </c>
      <c r="W14" s="42">
        <v>0.68</v>
      </c>
      <c r="X14" s="199" t="s">
        <v>31</v>
      </c>
      <c r="Y14" s="18"/>
      <c r="Z14" s="19"/>
      <c r="AA14" s="19"/>
      <c r="AB14" s="19"/>
      <c r="AC14" s="19"/>
      <c r="AD14" s="19"/>
      <c r="AE14" s="19"/>
      <c r="AF14" s="19"/>
      <c r="AG14" s="19"/>
      <c r="AH14" s="19"/>
      <c r="AI14" s="19"/>
      <c r="AJ14" s="19"/>
      <c r="AK14" s="19"/>
      <c r="AL14" s="19"/>
      <c r="AM14" s="19"/>
      <c r="AN14" s="19"/>
      <c r="AO14" s="19"/>
      <c r="AP14" s="19"/>
      <c r="AQ14" s="19"/>
      <c r="AR14" s="19"/>
      <c r="AS14" s="19"/>
      <c r="AT14" s="19"/>
      <c r="AU14" s="39"/>
      <c r="AV14" s="12"/>
      <c r="AW14" s="12"/>
    </row>
    <row r="15" spans="1:49" x14ac:dyDescent="0.25">
      <c r="A15" s="50"/>
      <c r="B15" s="51" t="s">
        <v>35</v>
      </c>
      <c r="C15" s="52"/>
      <c r="D15" s="53" t="str">
        <f>D10</f>
        <v>Calves</v>
      </c>
      <c r="E15" s="53" t="str">
        <f>E10</f>
        <v>Heifers</v>
      </c>
      <c r="F15" s="53" t="str">
        <f>F10</f>
        <v>Cows</v>
      </c>
      <c r="G15" s="53" t="str">
        <f>G10</f>
        <v>Total</v>
      </c>
      <c r="H15" s="52"/>
      <c r="I15" s="53" t="str">
        <f>I10</f>
        <v>Calves</v>
      </c>
      <c r="J15" s="53" t="str">
        <f>J10</f>
        <v>Heifers</v>
      </c>
      <c r="K15" s="53" t="str">
        <f>K10</f>
        <v>Cows</v>
      </c>
      <c r="L15" s="53" t="str">
        <f>L10</f>
        <v>Total</v>
      </c>
      <c r="M15" s="52"/>
      <c r="N15" s="53" t="str">
        <f>N10</f>
        <v>Calves</v>
      </c>
      <c r="O15" s="53" t="str">
        <f>O10</f>
        <v>Heifers</v>
      </c>
      <c r="P15" s="53" t="str">
        <f>P10</f>
        <v>Cows</v>
      </c>
      <c r="Q15" s="53" t="str">
        <f>Q10</f>
        <v>Total</v>
      </c>
      <c r="R15" s="16"/>
      <c r="S15" s="35" t="s">
        <v>36</v>
      </c>
      <c r="T15" s="12"/>
      <c r="U15" s="17"/>
      <c r="V15" s="13" t="s">
        <v>37</v>
      </c>
      <c r="W15" s="54"/>
      <c r="X15" s="12"/>
      <c r="Y15" s="18"/>
      <c r="Z15" s="19"/>
      <c r="AA15" s="19"/>
      <c r="AB15" s="19"/>
      <c r="AC15" s="19"/>
      <c r="AD15" s="19"/>
      <c r="AE15" s="19"/>
      <c r="AF15" s="19"/>
      <c r="AG15" s="19"/>
      <c r="AH15" s="19"/>
      <c r="AI15" s="19"/>
      <c r="AJ15" s="19"/>
      <c r="AK15" s="19"/>
      <c r="AL15" s="19"/>
      <c r="AM15" s="19"/>
      <c r="AN15" s="19"/>
      <c r="AO15" s="19"/>
      <c r="AP15" s="19"/>
      <c r="AQ15" s="19"/>
      <c r="AR15" s="19"/>
      <c r="AS15" s="19"/>
      <c r="AT15" s="19"/>
      <c r="AU15" s="12"/>
      <c r="AV15" s="12"/>
      <c r="AW15" s="12"/>
    </row>
    <row r="16" spans="1:49" x14ac:dyDescent="0.25">
      <c r="A16" s="12" t="s">
        <v>38</v>
      </c>
      <c r="B16" s="12" t="s">
        <v>39</v>
      </c>
      <c r="C16" s="55"/>
      <c r="D16" s="28">
        <f>D11</f>
        <v>0</v>
      </c>
      <c r="E16" s="28">
        <f>E11</f>
        <v>0</v>
      </c>
      <c r="F16" s="28">
        <f>F11</f>
        <v>0</v>
      </c>
      <c r="G16" s="47"/>
      <c r="H16" s="55"/>
      <c r="I16" s="28">
        <f>I11</f>
        <v>0</v>
      </c>
      <c r="J16" s="28">
        <f>J11</f>
        <v>0</v>
      </c>
      <c r="K16" s="28">
        <f>K11</f>
        <v>0</v>
      </c>
      <c r="L16" s="47"/>
      <c r="M16" s="55"/>
      <c r="N16" s="28">
        <f>N11</f>
        <v>0</v>
      </c>
      <c r="O16" s="28">
        <f>O11</f>
        <v>0</v>
      </c>
      <c r="P16" s="28">
        <f>P11</f>
        <v>0</v>
      </c>
      <c r="Q16" s="12"/>
      <c r="R16" s="16"/>
      <c r="S16" s="12"/>
      <c r="T16" s="12"/>
      <c r="U16" s="17"/>
      <c r="V16" s="12" t="s">
        <v>40</v>
      </c>
      <c r="W16" s="42">
        <v>0</v>
      </c>
      <c r="X16" s="199" t="s">
        <v>25</v>
      </c>
      <c r="Y16" s="18"/>
      <c r="Z16" s="19"/>
      <c r="AA16" s="19"/>
      <c r="AB16" s="19"/>
      <c r="AC16" s="19"/>
      <c r="AD16" s="19"/>
      <c r="AE16" s="19"/>
      <c r="AF16" s="19"/>
      <c r="AG16" s="19"/>
      <c r="AH16" s="19"/>
      <c r="AI16" s="19"/>
      <c r="AJ16" s="19"/>
      <c r="AK16" s="19"/>
      <c r="AL16" s="19"/>
      <c r="AM16" s="19"/>
      <c r="AN16" s="19"/>
      <c r="AO16" s="19"/>
      <c r="AP16" s="19"/>
      <c r="AQ16" s="19"/>
      <c r="AR16" s="19"/>
      <c r="AS16" s="19"/>
      <c r="AT16" s="19"/>
      <c r="AU16" s="12"/>
      <c r="AV16" s="12"/>
      <c r="AW16" s="12"/>
    </row>
    <row r="17" spans="1:49" x14ac:dyDescent="0.25">
      <c r="A17" s="12" t="s">
        <v>41</v>
      </c>
      <c r="B17" s="56" t="s">
        <v>42</v>
      </c>
      <c r="C17" s="16"/>
      <c r="D17" s="57">
        <v>12</v>
      </c>
      <c r="E17" s="57">
        <v>54</v>
      </c>
      <c r="F17" s="57">
        <v>140</v>
      </c>
      <c r="G17" s="12"/>
      <c r="H17" s="16"/>
      <c r="I17" s="58">
        <f>D17</f>
        <v>12</v>
      </c>
      <c r="J17" s="58">
        <f t="shared" ref="J17:K17" si="1">E17</f>
        <v>54</v>
      </c>
      <c r="K17" s="58">
        <f t="shared" si="1"/>
        <v>140</v>
      </c>
      <c r="L17" s="48"/>
      <c r="M17" s="59"/>
      <c r="N17" s="58">
        <f>D17</f>
        <v>12</v>
      </c>
      <c r="O17" s="58">
        <f t="shared" ref="O17:P17" si="2">E17</f>
        <v>54</v>
      </c>
      <c r="P17" s="58">
        <f t="shared" si="2"/>
        <v>140</v>
      </c>
      <c r="Q17" s="12"/>
      <c r="R17" s="16"/>
      <c r="S17" s="200" t="s">
        <v>43</v>
      </c>
      <c r="T17" s="12"/>
      <c r="U17" s="17"/>
      <c r="V17" s="12" t="s">
        <v>44</v>
      </c>
      <c r="W17" s="37">
        <v>0.2</v>
      </c>
      <c r="X17" s="199" t="s">
        <v>25</v>
      </c>
      <c r="Y17" s="18"/>
      <c r="Z17" s="19"/>
      <c r="AA17" s="19"/>
      <c r="AB17" s="19"/>
      <c r="AC17" s="19"/>
      <c r="AD17" s="19"/>
      <c r="AE17" s="19"/>
      <c r="AF17" s="19"/>
      <c r="AG17" s="19"/>
      <c r="AH17" s="19"/>
      <c r="AI17" s="19"/>
      <c r="AJ17" s="19"/>
      <c r="AK17" s="19"/>
      <c r="AL17" s="19"/>
      <c r="AM17" s="19"/>
      <c r="AN17" s="19"/>
      <c r="AO17" s="19"/>
      <c r="AP17" s="19"/>
      <c r="AQ17" s="19"/>
      <c r="AR17" s="19"/>
      <c r="AS17" s="19"/>
      <c r="AT17" s="19"/>
      <c r="AU17" s="12"/>
      <c r="AV17" s="12"/>
      <c r="AW17" s="12"/>
    </row>
    <row r="18" spans="1:49" x14ac:dyDescent="0.25">
      <c r="A18" s="12" t="s">
        <v>45</v>
      </c>
      <c r="B18" s="12" t="s">
        <v>46</v>
      </c>
      <c r="C18" s="16"/>
      <c r="D18" s="60">
        <f>2.2046/2000</f>
        <v>1.1023000000000001E-3</v>
      </c>
      <c r="E18" s="60">
        <f>2.2046/2000</f>
        <v>1.1023000000000001E-3</v>
      </c>
      <c r="F18" s="60">
        <f>2.2046/2000</f>
        <v>1.1023000000000001E-3</v>
      </c>
      <c r="G18" s="12"/>
      <c r="H18" s="16"/>
      <c r="I18" s="60">
        <f>2.2046/2000</f>
        <v>1.1023000000000001E-3</v>
      </c>
      <c r="J18" s="60">
        <f>2.2046/2000</f>
        <v>1.1023000000000001E-3</v>
      </c>
      <c r="K18" s="60">
        <f>2.2046/2000</f>
        <v>1.1023000000000001E-3</v>
      </c>
      <c r="L18" s="12"/>
      <c r="M18" s="16"/>
      <c r="N18" s="60">
        <f>2.2046/2000</f>
        <v>1.1023000000000001E-3</v>
      </c>
      <c r="O18" s="60">
        <f>2.2046/2000</f>
        <v>1.1023000000000001E-3</v>
      </c>
      <c r="P18" s="60">
        <f>2.2046/2000</f>
        <v>1.1023000000000001E-3</v>
      </c>
      <c r="Q18" s="12"/>
      <c r="R18" s="16"/>
      <c r="S18" s="12"/>
      <c r="T18" s="12"/>
      <c r="U18" s="17"/>
      <c r="V18" s="12" t="s">
        <v>47</v>
      </c>
      <c r="W18" s="42">
        <v>0.01</v>
      </c>
      <c r="X18" s="199" t="s">
        <v>25</v>
      </c>
      <c r="Y18" s="18"/>
      <c r="Z18" s="19"/>
      <c r="AA18" s="19"/>
      <c r="AB18" s="19"/>
      <c r="AC18" s="19"/>
      <c r="AD18" s="19"/>
      <c r="AE18" s="19"/>
      <c r="AF18" s="19"/>
      <c r="AG18" s="19"/>
      <c r="AH18" s="19"/>
      <c r="AI18" s="19"/>
      <c r="AJ18" s="19"/>
      <c r="AK18" s="19"/>
      <c r="AL18" s="19"/>
      <c r="AM18" s="19"/>
      <c r="AN18" s="19"/>
      <c r="AO18" s="19"/>
      <c r="AP18" s="19"/>
      <c r="AQ18" s="19"/>
      <c r="AR18" s="19"/>
      <c r="AS18" s="19"/>
      <c r="AT18" s="19"/>
      <c r="AU18" s="12"/>
      <c r="AV18" s="12"/>
      <c r="AW18" s="12"/>
    </row>
    <row r="19" spans="1:49" ht="15.75" thickBot="1" x14ac:dyDescent="0.3">
      <c r="A19" s="12"/>
      <c r="B19" s="12" t="s">
        <v>48</v>
      </c>
      <c r="C19" s="16"/>
      <c r="D19" s="15">
        <f>D16*D17*D18</f>
        <v>0</v>
      </c>
      <c r="E19" s="15">
        <f>E16*E17*E18</f>
        <v>0</v>
      </c>
      <c r="F19" s="15">
        <f>F16*F17*F18</f>
        <v>0</v>
      </c>
      <c r="G19" s="49">
        <f>SUM(D19:F19)</f>
        <v>0</v>
      </c>
      <c r="H19" s="16"/>
      <c r="I19" s="15">
        <f>I16*I17*I18</f>
        <v>0</v>
      </c>
      <c r="J19" s="15">
        <f>J16*J17*J18</f>
        <v>0</v>
      </c>
      <c r="K19" s="15">
        <f>K16*K17*K18</f>
        <v>0</v>
      </c>
      <c r="L19" s="49">
        <f>SUM(I19:K19)</f>
        <v>0</v>
      </c>
      <c r="M19" s="61"/>
      <c r="N19" s="15">
        <f>N16*N17*N18</f>
        <v>0</v>
      </c>
      <c r="O19" s="15">
        <f>O16*O17*O18</f>
        <v>0</v>
      </c>
      <c r="P19" s="15">
        <f>P16*P17*P18</f>
        <v>0</v>
      </c>
      <c r="Q19" s="49">
        <f>N19+O19+P19</f>
        <v>0</v>
      </c>
      <c r="R19" s="16"/>
      <c r="S19" s="12"/>
      <c r="T19" s="12"/>
      <c r="U19" s="17"/>
      <c r="V19" s="12" t="s">
        <v>49</v>
      </c>
      <c r="W19" s="42">
        <v>0.02</v>
      </c>
      <c r="X19" s="199" t="s">
        <v>25</v>
      </c>
      <c r="Y19" s="18"/>
      <c r="Z19" s="19"/>
      <c r="AA19" s="19"/>
      <c r="AB19" s="19"/>
      <c r="AC19" s="19"/>
      <c r="AD19" s="19"/>
      <c r="AE19" s="19"/>
      <c r="AF19" s="19"/>
      <c r="AG19" s="19"/>
      <c r="AH19" s="19"/>
      <c r="AI19" s="19"/>
      <c r="AJ19" s="19"/>
      <c r="AK19" s="19"/>
      <c r="AL19" s="19"/>
      <c r="AM19" s="19"/>
      <c r="AN19" s="19"/>
      <c r="AO19" s="19"/>
      <c r="AP19" s="19"/>
      <c r="AQ19" s="19"/>
      <c r="AR19" s="19"/>
      <c r="AS19" s="19"/>
      <c r="AT19" s="19"/>
      <c r="AU19" s="12"/>
      <c r="AV19" s="12"/>
      <c r="AW19" s="12"/>
    </row>
    <row r="20" spans="1:49" ht="15.75" thickBot="1" x14ac:dyDescent="0.3">
      <c r="A20" s="12"/>
      <c r="B20" s="13" t="s">
        <v>50</v>
      </c>
      <c r="C20" s="14"/>
      <c r="D20" s="62">
        <f>D19*T7</f>
        <v>0</v>
      </c>
      <c r="E20" s="62">
        <f>E19*T7</f>
        <v>0</v>
      </c>
      <c r="F20" s="62">
        <f>F19*T7</f>
        <v>0</v>
      </c>
      <c r="G20" s="31">
        <f>SUM(D20:F20)</f>
        <v>0</v>
      </c>
      <c r="H20" s="14"/>
      <c r="I20" s="62">
        <f>I19*T7</f>
        <v>0</v>
      </c>
      <c r="J20" s="62">
        <f>J19*T7</f>
        <v>0</v>
      </c>
      <c r="K20" s="62">
        <f>K19*T7</f>
        <v>0</v>
      </c>
      <c r="L20" s="31">
        <f>SUM(I20:K20)</f>
        <v>0</v>
      </c>
      <c r="M20" s="63"/>
      <c r="N20" s="62">
        <f>N19*T7</f>
        <v>0</v>
      </c>
      <c r="O20" s="62">
        <f>O19*T7</f>
        <v>0</v>
      </c>
      <c r="P20" s="62">
        <f>P19*T7</f>
        <v>0</v>
      </c>
      <c r="Q20" s="31">
        <f>N20+O20+P20</f>
        <v>0</v>
      </c>
      <c r="R20" s="16"/>
      <c r="S20" s="12"/>
      <c r="T20" s="12"/>
      <c r="U20" s="17"/>
      <c r="V20" s="64" t="s">
        <v>51</v>
      </c>
      <c r="W20" s="42">
        <v>1E-3</v>
      </c>
      <c r="X20" s="199" t="s">
        <v>25</v>
      </c>
      <c r="Y20" s="18"/>
      <c r="Z20" s="19"/>
      <c r="AA20" s="19"/>
      <c r="AB20" s="19"/>
      <c r="AC20" s="19"/>
      <c r="AD20" s="19"/>
      <c r="AE20" s="19"/>
      <c r="AF20" s="19"/>
      <c r="AG20" s="19"/>
      <c r="AH20" s="19"/>
      <c r="AI20" s="19"/>
      <c r="AJ20" s="19"/>
      <c r="AK20" s="19"/>
      <c r="AL20" s="19"/>
      <c r="AM20" s="19"/>
      <c r="AN20" s="19"/>
      <c r="AO20" s="19"/>
      <c r="AP20" s="19"/>
      <c r="AQ20" s="19"/>
      <c r="AR20" s="19"/>
      <c r="AS20" s="19"/>
      <c r="AT20" s="19"/>
      <c r="AU20" s="12"/>
      <c r="AV20" s="12"/>
      <c r="AW20" s="12"/>
    </row>
    <row r="21" spans="1:49" x14ac:dyDescent="0.25">
      <c r="A21" s="16"/>
      <c r="B21" s="16"/>
      <c r="C21" s="14"/>
      <c r="D21" s="16"/>
      <c r="E21" s="16"/>
      <c r="F21" s="16"/>
      <c r="G21" s="16"/>
      <c r="H21" s="16"/>
      <c r="I21" s="45"/>
      <c r="J21" s="45"/>
      <c r="K21" s="45"/>
      <c r="L21" s="61"/>
      <c r="M21" s="61"/>
      <c r="N21" s="61"/>
      <c r="O21" s="61"/>
      <c r="P21" s="61"/>
      <c r="Q21" s="63"/>
      <c r="R21" s="16"/>
      <c r="S21" s="12"/>
      <c r="T21" s="12"/>
      <c r="U21" s="17"/>
      <c r="V21" s="12" t="s">
        <v>52</v>
      </c>
      <c r="W21" s="65">
        <v>4.7000000000000002E-3</v>
      </c>
      <c r="X21" s="199" t="s">
        <v>25</v>
      </c>
      <c r="Y21" s="18"/>
      <c r="Z21" s="19"/>
      <c r="AA21" s="19"/>
      <c r="AB21" s="19"/>
      <c r="AC21" s="19"/>
      <c r="AD21" s="19"/>
      <c r="AE21" s="19"/>
      <c r="AF21" s="19"/>
      <c r="AG21" s="19"/>
      <c r="AH21" s="19"/>
      <c r="AI21" s="19"/>
      <c r="AJ21" s="19"/>
      <c r="AK21" s="19"/>
      <c r="AL21" s="19"/>
      <c r="AM21" s="19"/>
      <c r="AN21" s="19"/>
      <c r="AO21" s="19"/>
      <c r="AP21" s="19"/>
      <c r="AQ21" s="19"/>
      <c r="AR21" s="19"/>
      <c r="AS21" s="19"/>
      <c r="AT21" s="19"/>
      <c r="AU21" s="12"/>
      <c r="AV21" s="12"/>
      <c r="AW21" s="12"/>
    </row>
    <row r="22" spans="1:49" x14ac:dyDescent="0.25">
      <c r="A22" s="33"/>
      <c r="B22" s="33" t="s">
        <v>53</v>
      </c>
      <c r="C22" s="14"/>
      <c r="D22" s="66" t="str">
        <f>D15</f>
        <v>Calves</v>
      </c>
      <c r="E22" s="66" t="str">
        <f>E15</f>
        <v>Heifers</v>
      </c>
      <c r="F22" s="66" t="str">
        <f>F15</f>
        <v>Cows</v>
      </c>
      <c r="G22" s="66" t="str">
        <f>G15</f>
        <v>Total</v>
      </c>
      <c r="H22" s="16"/>
      <c r="I22" s="66" t="str">
        <f>I15</f>
        <v>Calves</v>
      </c>
      <c r="J22" s="66" t="str">
        <f>J15</f>
        <v>Heifers</v>
      </c>
      <c r="K22" s="66" t="str">
        <f>K15</f>
        <v>Cows</v>
      </c>
      <c r="L22" s="66" t="str">
        <f>L15</f>
        <v>Total</v>
      </c>
      <c r="M22" s="52"/>
      <c r="N22" s="66" t="str">
        <f>N15</f>
        <v>Calves</v>
      </c>
      <c r="O22" s="66" t="str">
        <f>O15</f>
        <v>Heifers</v>
      </c>
      <c r="P22" s="66" t="str">
        <f>P15</f>
        <v>Cows</v>
      </c>
      <c r="Q22" s="66" t="str">
        <f>Q15</f>
        <v>Total</v>
      </c>
      <c r="R22" s="16"/>
      <c r="S22" s="12"/>
      <c r="T22" s="12"/>
      <c r="U22" s="17"/>
      <c r="V22" s="12" t="s">
        <v>54</v>
      </c>
      <c r="W22" s="42">
        <v>5.0000000000000001E-3</v>
      </c>
      <c r="X22" s="199" t="s">
        <v>25</v>
      </c>
      <c r="Y22" s="18"/>
      <c r="Z22" s="19"/>
      <c r="AA22" s="19"/>
      <c r="AB22" s="19"/>
      <c r="AC22" s="19"/>
      <c r="AD22" s="19"/>
      <c r="AE22" s="19"/>
      <c r="AF22" s="19"/>
      <c r="AG22" s="19"/>
      <c r="AH22" s="19"/>
      <c r="AI22" s="19"/>
      <c r="AJ22" s="19"/>
      <c r="AK22" s="19"/>
      <c r="AL22" s="19"/>
      <c r="AM22" s="19"/>
      <c r="AN22" s="19"/>
      <c r="AO22" s="19"/>
      <c r="AP22" s="19"/>
      <c r="AQ22" s="19"/>
      <c r="AR22" s="19"/>
      <c r="AS22" s="19"/>
      <c r="AT22" s="19"/>
      <c r="AU22" s="12"/>
      <c r="AV22" s="12"/>
      <c r="AW22" s="12"/>
    </row>
    <row r="23" spans="1:49" x14ac:dyDescent="0.25">
      <c r="A23" s="12" t="s">
        <v>55</v>
      </c>
      <c r="B23" s="12" t="s">
        <v>56</v>
      </c>
      <c r="C23" s="14"/>
      <c r="D23" s="47">
        <f>D11</f>
        <v>0</v>
      </c>
      <c r="E23" s="47">
        <f>E11</f>
        <v>0</v>
      </c>
      <c r="F23" s="47">
        <f>F11</f>
        <v>0</v>
      </c>
      <c r="G23" s="13"/>
      <c r="H23" s="16"/>
      <c r="I23" s="47">
        <f>I11</f>
        <v>0</v>
      </c>
      <c r="J23" s="47">
        <f>J11</f>
        <v>0</v>
      </c>
      <c r="K23" s="47">
        <f>K11</f>
        <v>0</v>
      </c>
      <c r="L23" s="49"/>
      <c r="M23" s="61"/>
      <c r="N23" s="47">
        <f>N11</f>
        <v>0</v>
      </c>
      <c r="O23" s="47">
        <f>O11</f>
        <v>0</v>
      </c>
      <c r="P23" s="47">
        <f>P11</f>
        <v>0</v>
      </c>
      <c r="Q23" s="67"/>
      <c r="R23" s="16"/>
      <c r="S23" s="12"/>
      <c r="T23" s="12"/>
      <c r="U23" s="17"/>
      <c r="V23" s="12" t="s">
        <v>57</v>
      </c>
      <c r="W23" s="42">
        <v>0.01</v>
      </c>
      <c r="X23" s="199" t="s">
        <v>25</v>
      </c>
      <c r="Y23" s="18"/>
      <c r="Z23" s="19"/>
      <c r="AA23" s="19"/>
      <c r="AB23" s="19"/>
      <c r="AC23" s="19"/>
      <c r="AD23" s="19"/>
      <c r="AE23" s="19"/>
      <c r="AF23" s="19"/>
      <c r="AG23" s="19"/>
      <c r="AH23" s="19"/>
      <c r="AI23" s="19"/>
      <c r="AJ23" s="19"/>
      <c r="AK23" s="19"/>
      <c r="AL23" s="19"/>
      <c r="AM23" s="19"/>
      <c r="AN23" s="19"/>
      <c r="AO23" s="19"/>
      <c r="AP23" s="19"/>
      <c r="AQ23" s="19"/>
      <c r="AR23" s="19"/>
      <c r="AS23" s="19"/>
      <c r="AT23" s="19"/>
      <c r="AU23" s="12"/>
      <c r="AV23" s="12"/>
      <c r="AW23" s="12"/>
    </row>
    <row r="24" spans="1:49" x14ac:dyDescent="0.25">
      <c r="A24" s="12" t="s">
        <v>58</v>
      </c>
      <c r="B24" s="56" t="s">
        <v>59</v>
      </c>
      <c r="C24" s="14"/>
      <c r="D24" s="68">
        <f>271/2.205</f>
        <v>122.90249433106575</v>
      </c>
      <c r="E24" s="68">
        <f>899/2.205</f>
        <v>407.70975056689343</v>
      </c>
      <c r="F24" s="68">
        <f>1499/2.205</f>
        <v>679.81859410430832</v>
      </c>
      <c r="G24" s="68"/>
      <c r="H24" s="69"/>
      <c r="I24" s="68">
        <f>D24</f>
        <v>122.90249433106575</v>
      </c>
      <c r="J24" s="68">
        <v>408</v>
      </c>
      <c r="K24" s="68">
        <f>F24</f>
        <v>679.81859410430832</v>
      </c>
      <c r="L24" s="68"/>
      <c r="M24" s="70"/>
      <c r="N24" s="68">
        <f>D24</f>
        <v>122.90249433106575</v>
      </c>
      <c r="O24" s="68">
        <v>408</v>
      </c>
      <c r="P24" s="68">
        <f t="shared" ref="O24:P27" si="3">F24</f>
        <v>679.81859410430832</v>
      </c>
      <c r="Q24" s="67"/>
      <c r="R24" s="16"/>
      <c r="S24" s="200" t="s">
        <v>60</v>
      </c>
      <c r="T24" s="12"/>
      <c r="U24" s="17"/>
      <c r="V24" s="12" t="s">
        <v>61</v>
      </c>
      <c r="W24" s="42">
        <v>0.01</v>
      </c>
      <c r="X24" s="199" t="s">
        <v>25</v>
      </c>
      <c r="Y24" s="18"/>
      <c r="Z24" s="19"/>
      <c r="AA24" s="19"/>
      <c r="AB24" s="19"/>
      <c r="AC24" s="19"/>
      <c r="AD24" s="19"/>
      <c r="AE24" s="19"/>
      <c r="AF24" s="19"/>
      <c r="AG24" s="19"/>
      <c r="AH24" s="19"/>
      <c r="AI24" s="19"/>
      <c r="AJ24" s="19"/>
      <c r="AK24" s="19"/>
      <c r="AL24" s="19"/>
      <c r="AM24" s="19"/>
      <c r="AN24" s="19"/>
      <c r="AO24" s="19"/>
      <c r="AP24" s="19"/>
      <c r="AQ24" s="19"/>
      <c r="AR24" s="19"/>
      <c r="AS24" s="19"/>
      <c r="AT24" s="19"/>
      <c r="AU24" s="12"/>
      <c r="AV24" s="12"/>
      <c r="AW24" s="12"/>
    </row>
    <row r="25" spans="1:49" x14ac:dyDescent="0.25">
      <c r="A25" s="12" t="s">
        <v>62</v>
      </c>
      <c r="B25" s="56" t="s">
        <v>63</v>
      </c>
      <c r="C25" s="14"/>
      <c r="D25" s="71">
        <f>(7.7*365)/1000</f>
        <v>2.8105000000000002</v>
      </c>
      <c r="E25" s="71">
        <f>1255/E24</f>
        <v>3.0781701890989988</v>
      </c>
      <c r="F25" s="71">
        <f>2829/F24</f>
        <v>4.1614042695130093</v>
      </c>
      <c r="G25" s="12"/>
      <c r="H25" s="14"/>
      <c r="I25" s="71">
        <f t="shared" ref="I25:K27" si="4">D25</f>
        <v>2.8105000000000002</v>
      </c>
      <c r="J25" s="71">
        <f t="shared" si="4"/>
        <v>3.0781701890989988</v>
      </c>
      <c r="K25" s="71">
        <f t="shared" si="4"/>
        <v>4.1614042695130093</v>
      </c>
      <c r="L25" s="71"/>
      <c r="M25" s="72"/>
      <c r="N25" s="71">
        <f>D25</f>
        <v>2.8105000000000002</v>
      </c>
      <c r="O25" s="71">
        <f t="shared" si="3"/>
        <v>3.0781701890989988</v>
      </c>
      <c r="P25" s="71">
        <f t="shared" si="3"/>
        <v>4.1614042695130093</v>
      </c>
      <c r="Q25" s="67"/>
      <c r="R25" s="16"/>
      <c r="S25" s="200" t="s">
        <v>64</v>
      </c>
      <c r="T25" s="12"/>
      <c r="U25" s="17"/>
      <c r="V25" s="12" t="s">
        <v>65</v>
      </c>
      <c r="W25" s="42">
        <v>5.0000000000000001E-3</v>
      </c>
      <c r="X25" s="199" t="s">
        <v>25</v>
      </c>
      <c r="Y25" s="18"/>
      <c r="Z25" s="19"/>
      <c r="AA25" s="19"/>
      <c r="AB25" s="19"/>
      <c r="AC25" s="19"/>
      <c r="AD25" s="19"/>
      <c r="AE25" s="19"/>
      <c r="AF25" s="19"/>
      <c r="AG25" s="19"/>
      <c r="AH25" s="19"/>
      <c r="AI25" s="19"/>
      <c r="AJ25" s="19"/>
      <c r="AK25" s="19"/>
      <c r="AL25" s="19"/>
      <c r="AM25" s="19"/>
      <c r="AN25" s="19"/>
      <c r="AO25" s="19"/>
      <c r="AP25" s="19"/>
      <c r="AQ25" s="19"/>
      <c r="AR25" s="19"/>
      <c r="AS25" s="19"/>
      <c r="AT25" s="19"/>
      <c r="AU25" s="12"/>
      <c r="AV25" s="12"/>
      <c r="AW25" s="12"/>
    </row>
    <row r="26" spans="1:49" x14ac:dyDescent="0.25">
      <c r="A26" s="12" t="s">
        <v>66</v>
      </c>
      <c r="B26" s="56" t="s">
        <v>67</v>
      </c>
      <c r="C26" s="14"/>
      <c r="D26" s="12">
        <v>0.17</v>
      </c>
      <c r="E26" s="12">
        <v>0.17</v>
      </c>
      <c r="F26" s="12">
        <v>0.24</v>
      </c>
      <c r="G26" s="12"/>
      <c r="H26" s="14"/>
      <c r="I26" s="12">
        <f t="shared" si="4"/>
        <v>0.17</v>
      </c>
      <c r="J26" s="12">
        <f t="shared" si="4"/>
        <v>0.17</v>
      </c>
      <c r="K26" s="12">
        <f t="shared" si="4"/>
        <v>0.24</v>
      </c>
      <c r="L26" s="49"/>
      <c r="M26" s="61"/>
      <c r="N26" s="12">
        <f>D26</f>
        <v>0.17</v>
      </c>
      <c r="O26" s="12">
        <f t="shared" si="3"/>
        <v>0.17</v>
      </c>
      <c r="P26" s="64">
        <f t="shared" si="3"/>
        <v>0.24</v>
      </c>
      <c r="Q26" s="67"/>
      <c r="R26" s="16"/>
      <c r="S26" s="200" t="s">
        <v>68</v>
      </c>
      <c r="T26" s="12"/>
      <c r="U26" s="17"/>
      <c r="V26" s="73" t="s">
        <v>69</v>
      </c>
      <c r="W26" s="24"/>
      <c r="X26" s="24"/>
      <c r="Y26" s="18"/>
      <c r="Z26" s="19"/>
      <c r="AA26" s="19"/>
      <c r="AB26" s="19"/>
      <c r="AC26" s="19"/>
      <c r="AD26" s="19"/>
      <c r="AE26" s="19"/>
      <c r="AF26" s="19"/>
      <c r="AG26" s="19"/>
      <c r="AH26" s="19"/>
      <c r="AI26" s="19"/>
      <c r="AJ26" s="19"/>
      <c r="AK26" s="19"/>
      <c r="AL26" s="19"/>
      <c r="AM26" s="19"/>
      <c r="AN26" s="19"/>
      <c r="AO26" s="19"/>
      <c r="AP26" s="19"/>
      <c r="AQ26" s="19"/>
      <c r="AR26" s="19"/>
      <c r="AS26" s="19"/>
      <c r="AT26" s="19"/>
      <c r="AU26" s="12"/>
      <c r="AV26" s="12"/>
      <c r="AW26" s="12"/>
    </row>
    <row r="27" spans="1:49" x14ac:dyDescent="0.25">
      <c r="A27" s="12" t="s">
        <v>70</v>
      </c>
      <c r="B27" s="12" t="s">
        <v>71</v>
      </c>
      <c r="C27" s="14"/>
      <c r="D27" s="12">
        <v>0.66200000000000003</v>
      </c>
      <c r="E27" s="12">
        <v>0.66200000000000003</v>
      </c>
      <c r="F27" s="12">
        <v>0.66200000000000003</v>
      </c>
      <c r="G27" s="12"/>
      <c r="H27" s="14"/>
      <c r="I27" s="12">
        <f t="shared" si="4"/>
        <v>0.66200000000000003</v>
      </c>
      <c r="J27" s="12">
        <f t="shared" si="4"/>
        <v>0.66200000000000003</v>
      </c>
      <c r="K27" s="12">
        <f t="shared" si="4"/>
        <v>0.66200000000000003</v>
      </c>
      <c r="L27" s="49"/>
      <c r="M27" s="61"/>
      <c r="N27" s="12">
        <f>D27</f>
        <v>0.66200000000000003</v>
      </c>
      <c r="O27" s="12">
        <f t="shared" si="3"/>
        <v>0.66200000000000003</v>
      </c>
      <c r="P27" s="12">
        <f t="shared" si="3"/>
        <v>0.66200000000000003</v>
      </c>
      <c r="Q27" s="67"/>
      <c r="R27" s="16"/>
      <c r="S27" s="200" t="s">
        <v>72</v>
      </c>
      <c r="T27" s="12"/>
      <c r="U27" s="17"/>
      <c r="V27" s="73" t="s">
        <v>73</v>
      </c>
      <c r="W27" s="74"/>
      <c r="X27" s="74"/>
      <c r="Y27" s="18"/>
      <c r="Z27" s="19"/>
      <c r="AA27" s="19"/>
      <c r="AB27" s="19"/>
      <c r="AC27" s="19"/>
      <c r="AD27" s="19"/>
      <c r="AE27" s="19"/>
      <c r="AF27" s="19"/>
      <c r="AG27" s="19"/>
      <c r="AH27" s="19"/>
      <c r="AI27" s="19"/>
      <c r="AJ27" s="19"/>
      <c r="AK27" s="19"/>
      <c r="AL27" s="19"/>
      <c r="AM27" s="19"/>
      <c r="AN27" s="19"/>
      <c r="AO27" s="19"/>
      <c r="AP27" s="19"/>
      <c r="AQ27" s="19"/>
      <c r="AR27" s="19"/>
      <c r="AS27" s="19"/>
      <c r="AT27" s="19"/>
      <c r="AU27" s="12"/>
      <c r="AV27" s="12"/>
      <c r="AW27" s="12"/>
    </row>
    <row r="28" spans="1:49" ht="15.75" thickBot="1" x14ac:dyDescent="0.3">
      <c r="A28" s="12" t="s">
        <v>74</v>
      </c>
      <c r="B28" s="12" t="s">
        <v>75</v>
      </c>
      <c r="C28" s="14"/>
      <c r="D28" s="28">
        <f>D23*D24*D25*D26*D27</f>
        <v>0</v>
      </c>
      <c r="E28" s="28">
        <f t="shared" ref="E28" si="5">E23*E24*E25*E26*E27</f>
        <v>0</v>
      </c>
      <c r="F28" s="28">
        <f>F23*F24*F25*F26*F27</f>
        <v>0</v>
      </c>
      <c r="G28" s="13"/>
      <c r="H28" s="14"/>
      <c r="I28" s="28">
        <f>I23*I24*I25*I26*I27</f>
        <v>0</v>
      </c>
      <c r="J28" s="28">
        <f>J23*J24*J25*J26*J27</f>
        <v>0</v>
      </c>
      <c r="K28" s="28">
        <f t="shared" ref="K28" si="6">K23*K24*K25*K26*K27</f>
        <v>0</v>
      </c>
      <c r="L28" s="49"/>
      <c r="M28" s="61"/>
      <c r="N28" s="28">
        <f>N23*N24*N25*N26*N27</f>
        <v>0</v>
      </c>
      <c r="O28" s="28">
        <f t="shared" ref="O28:P28" si="7">O23*O24*O25*O26*O27</f>
        <v>0</v>
      </c>
      <c r="P28" s="28">
        <f t="shared" si="7"/>
        <v>0</v>
      </c>
      <c r="Q28" s="67"/>
      <c r="R28" s="16"/>
      <c r="S28" s="75"/>
      <c r="T28" s="12"/>
      <c r="U28" s="17"/>
      <c r="V28" s="12" t="s">
        <v>33</v>
      </c>
      <c r="W28" s="76">
        <v>5.0000000000000001E-3</v>
      </c>
      <c r="X28" s="199" t="s">
        <v>76</v>
      </c>
      <c r="Y28" s="18"/>
      <c r="Z28" s="19"/>
      <c r="AA28" s="19"/>
      <c r="AB28" s="19"/>
      <c r="AC28" s="19"/>
      <c r="AD28" s="19"/>
      <c r="AE28" s="19"/>
      <c r="AF28" s="19"/>
      <c r="AG28" s="19"/>
      <c r="AH28" s="19"/>
      <c r="AI28" s="19"/>
      <c r="AJ28" s="19"/>
      <c r="AK28" s="19"/>
      <c r="AL28" s="19"/>
      <c r="AM28" s="19"/>
      <c r="AN28" s="19"/>
      <c r="AO28" s="19"/>
      <c r="AP28" s="19"/>
      <c r="AQ28" s="19"/>
      <c r="AR28" s="19"/>
      <c r="AS28" s="19"/>
      <c r="AT28" s="19"/>
      <c r="AU28" s="39"/>
      <c r="AV28" s="12"/>
      <c r="AW28" s="12"/>
    </row>
    <row r="29" spans="1:49" ht="15.75" thickBot="1" x14ac:dyDescent="0.3">
      <c r="A29" s="12" t="s">
        <v>77</v>
      </c>
      <c r="B29" s="12" t="s">
        <v>78</v>
      </c>
      <c r="C29" s="14"/>
      <c r="D29" s="77">
        <f>W11</f>
        <v>0.24</v>
      </c>
      <c r="E29" s="77">
        <f>W11</f>
        <v>0.24</v>
      </c>
      <c r="F29" s="78">
        <f>W21</f>
        <v>4.7000000000000002E-3</v>
      </c>
      <c r="G29" s="13"/>
      <c r="H29" s="14"/>
      <c r="I29" s="78">
        <f>D29</f>
        <v>0.24</v>
      </c>
      <c r="J29" s="78">
        <f>E29</f>
        <v>0.24</v>
      </c>
      <c r="K29" s="78">
        <f>F29</f>
        <v>4.7000000000000002E-3</v>
      </c>
      <c r="L29" s="49"/>
      <c r="M29" s="61"/>
      <c r="N29" s="78">
        <f>D29</f>
        <v>0.24</v>
      </c>
      <c r="O29" s="78">
        <f>E29</f>
        <v>0.24</v>
      </c>
      <c r="P29" s="78">
        <f t="shared" ref="P29" si="8">F29</f>
        <v>4.7000000000000002E-3</v>
      </c>
      <c r="Q29" s="67"/>
      <c r="R29" s="16"/>
      <c r="S29" s="200" t="s">
        <v>290</v>
      </c>
      <c r="T29" s="12"/>
      <c r="U29" s="17"/>
      <c r="V29" s="12" t="s">
        <v>34</v>
      </c>
      <c r="W29" s="76">
        <v>0</v>
      </c>
      <c r="X29" s="199" t="s">
        <v>76</v>
      </c>
      <c r="Y29" s="18"/>
      <c r="Z29" s="19"/>
      <c r="AA29" s="19"/>
      <c r="AB29" s="19"/>
      <c r="AC29" s="19"/>
      <c r="AD29" s="19"/>
      <c r="AE29" s="19"/>
      <c r="AF29" s="19"/>
      <c r="AG29" s="19"/>
      <c r="AH29" s="19"/>
      <c r="AI29" s="19"/>
      <c r="AJ29" s="19"/>
      <c r="AK29" s="19"/>
      <c r="AL29" s="19"/>
      <c r="AM29" s="19"/>
      <c r="AN29" s="19"/>
      <c r="AO29" s="19"/>
      <c r="AP29" s="19"/>
      <c r="AQ29" s="19"/>
      <c r="AR29" s="19"/>
      <c r="AS29" s="19"/>
      <c r="AT29" s="19"/>
      <c r="AU29" s="12"/>
      <c r="AV29" s="12"/>
      <c r="AW29" s="12"/>
    </row>
    <row r="30" spans="1:49" x14ac:dyDescent="0.25">
      <c r="A30" s="12" t="s">
        <v>79</v>
      </c>
      <c r="B30" s="12" t="s">
        <v>80</v>
      </c>
      <c r="C30" s="14"/>
      <c r="D30" s="15">
        <f>D28/1000*D29</f>
        <v>0</v>
      </c>
      <c r="E30" s="15">
        <f t="shared" ref="E30" si="9">E28/1000*E29</f>
        <v>0</v>
      </c>
      <c r="F30" s="15">
        <f>F28/1000*F29</f>
        <v>0</v>
      </c>
      <c r="G30" s="13"/>
      <c r="H30" s="14"/>
      <c r="I30" s="15">
        <f>I28/1000*I29</f>
        <v>0</v>
      </c>
      <c r="J30" s="15">
        <f t="shared" ref="J30:K30" si="10">J28/1000*J29</f>
        <v>0</v>
      </c>
      <c r="K30" s="15">
        <f t="shared" si="10"/>
        <v>0</v>
      </c>
      <c r="L30" s="49"/>
      <c r="M30" s="61"/>
      <c r="N30" s="15">
        <f>N28/1000*N29</f>
        <v>0</v>
      </c>
      <c r="O30" s="15">
        <f t="shared" ref="O30:P30" si="11">O28/1000*O29</f>
        <v>0</v>
      </c>
      <c r="P30" s="15">
        <f t="shared" si="11"/>
        <v>0</v>
      </c>
      <c r="Q30" s="67"/>
      <c r="R30" s="16"/>
      <c r="S30" s="12"/>
      <c r="T30" s="12"/>
      <c r="U30" s="17"/>
      <c r="V30" s="12" t="s">
        <v>81</v>
      </c>
      <c r="W30" s="76">
        <v>0.01</v>
      </c>
      <c r="X30" s="199" t="s">
        <v>76</v>
      </c>
      <c r="Y30" s="18"/>
      <c r="Z30" s="19"/>
      <c r="AA30" s="19"/>
      <c r="AB30" s="19"/>
      <c r="AC30" s="19"/>
      <c r="AD30" s="19"/>
      <c r="AE30" s="19"/>
      <c r="AF30" s="19"/>
      <c r="AG30" s="19"/>
      <c r="AH30" s="19"/>
      <c r="AI30" s="19"/>
      <c r="AJ30" s="19"/>
      <c r="AK30" s="19"/>
      <c r="AL30" s="19"/>
      <c r="AM30" s="19"/>
      <c r="AN30" s="19"/>
      <c r="AO30" s="19"/>
      <c r="AP30" s="19"/>
      <c r="AQ30" s="19"/>
      <c r="AR30" s="19"/>
      <c r="AS30" s="19"/>
      <c r="AT30" s="19"/>
      <c r="AU30" s="12"/>
      <c r="AV30" s="12"/>
      <c r="AW30" s="12"/>
    </row>
    <row r="31" spans="1:49" x14ac:dyDescent="0.25">
      <c r="A31" s="12" t="s">
        <v>82</v>
      </c>
      <c r="B31" s="12" t="s">
        <v>83</v>
      </c>
      <c r="C31" s="14"/>
      <c r="D31" s="60">
        <f>1000*2.2046/2000</f>
        <v>1.1023000000000001</v>
      </c>
      <c r="E31" s="60">
        <f t="shared" ref="E31:F31" si="12">1000*2.2046/2000</f>
        <v>1.1023000000000001</v>
      </c>
      <c r="F31" s="60">
        <f t="shared" si="12"/>
        <v>1.1023000000000001</v>
      </c>
      <c r="G31" s="13"/>
      <c r="H31" s="14"/>
      <c r="I31" s="12">
        <f>D31</f>
        <v>1.1023000000000001</v>
      </c>
      <c r="J31" s="12">
        <f>E31</f>
        <v>1.1023000000000001</v>
      </c>
      <c r="K31" s="12">
        <f>F31</f>
        <v>1.1023000000000001</v>
      </c>
      <c r="L31" s="49"/>
      <c r="M31" s="61"/>
      <c r="N31" s="79">
        <f>D31</f>
        <v>1.1023000000000001</v>
      </c>
      <c r="O31" s="79">
        <f t="shared" ref="O31:P31" si="13">E31</f>
        <v>1.1023000000000001</v>
      </c>
      <c r="P31" s="79">
        <f t="shared" si="13"/>
        <v>1.1023000000000001</v>
      </c>
      <c r="Q31" s="67"/>
      <c r="R31" s="16"/>
      <c r="S31" s="34"/>
      <c r="T31" s="12"/>
      <c r="U31" s="17"/>
      <c r="V31" s="12" t="s">
        <v>84</v>
      </c>
      <c r="W31" s="76">
        <v>5.0000000000000001E-3</v>
      </c>
      <c r="X31" s="199" t="s">
        <v>76</v>
      </c>
      <c r="Y31" s="18"/>
      <c r="Z31" s="19"/>
      <c r="AA31" s="19"/>
      <c r="AB31" s="19"/>
      <c r="AC31" s="19"/>
      <c r="AD31" s="19"/>
      <c r="AE31" s="19"/>
      <c r="AF31" s="19"/>
      <c r="AG31" s="19"/>
      <c r="AH31" s="19"/>
      <c r="AI31" s="19"/>
      <c r="AJ31" s="19"/>
      <c r="AK31" s="19"/>
      <c r="AL31" s="19"/>
      <c r="AM31" s="19"/>
      <c r="AN31" s="19"/>
      <c r="AO31" s="19"/>
      <c r="AP31" s="19"/>
      <c r="AQ31" s="19"/>
      <c r="AR31" s="19"/>
      <c r="AS31" s="19"/>
      <c r="AT31" s="19"/>
      <c r="AU31" s="12"/>
      <c r="AV31" s="12"/>
      <c r="AW31" s="12"/>
    </row>
    <row r="32" spans="1:49" ht="15.75" thickBot="1" x14ac:dyDescent="0.3">
      <c r="A32" s="12" t="s">
        <v>85</v>
      </c>
      <c r="B32" s="12" t="s">
        <v>86</v>
      </c>
      <c r="C32" s="14"/>
      <c r="D32" s="15">
        <f>D30*D31</f>
        <v>0</v>
      </c>
      <c r="E32" s="15">
        <f t="shared" ref="E32:F32" si="14">E30*E31</f>
        <v>0</v>
      </c>
      <c r="F32" s="15">
        <f t="shared" si="14"/>
        <v>0</v>
      </c>
      <c r="G32" s="49">
        <f>SUM(D32:F32)</f>
        <v>0</v>
      </c>
      <c r="H32" s="14"/>
      <c r="I32" s="15">
        <f>I30*I31</f>
        <v>0</v>
      </c>
      <c r="J32" s="15">
        <f t="shared" ref="J32:K32" si="15">J30*J31</f>
        <v>0</v>
      </c>
      <c r="K32" s="15">
        <f t="shared" si="15"/>
        <v>0</v>
      </c>
      <c r="L32" s="49">
        <f>SUM(I32:K32)</f>
        <v>0</v>
      </c>
      <c r="M32" s="61"/>
      <c r="N32" s="15">
        <f>N30*N31</f>
        <v>0</v>
      </c>
      <c r="O32" s="15">
        <f t="shared" ref="O32:P32" si="16">O30*O31</f>
        <v>0</v>
      </c>
      <c r="P32" s="15">
        <f t="shared" si="16"/>
        <v>0</v>
      </c>
      <c r="Q32" s="49">
        <f t="shared" ref="Q32:Q33" si="17">N32+O32+P32</f>
        <v>0</v>
      </c>
      <c r="R32" s="16"/>
      <c r="S32" s="34"/>
      <c r="T32" s="12"/>
      <c r="U32" s="17"/>
      <c r="V32" s="12" t="s">
        <v>27</v>
      </c>
      <c r="W32" s="80">
        <v>2E-3</v>
      </c>
      <c r="X32" s="199" t="s">
        <v>87</v>
      </c>
      <c r="Y32" s="18"/>
      <c r="Z32" s="19"/>
      <c r="AA32" s="19"/>
      <c r="AB32" s="19"/>
      <c r="AC32" s="19"/>
      <c r="AD32" s="19"/>
      <c r="AE32" s="19"/>
      <c r="AF32" s="19"/>
      <c r="AG32" s="19"/>
      <c r="AH32" s="19"/>
      <c r="AI32" s="19"/>
      <c r="AJ32" s="19"/>
      <c r="AK32" s="19"/>
      <c r="AL32" s="19"/>
      <c r="AM32" s="19"/>
      <c r="AN32" s="19"/>
      <c r="AO32" s="19"/>
      <c r="AP32" s="19"/>
      <c r="AQ32" s="19"/>
      <c r="AR32" s="19"/>
      <c r="AS32" s="19"/>
      <c r="AT32" s="19"/>
      <c r="AU32" s="12"/>
      <c r="AV32" s="12"/>
      <c r="AW32" s="12"/>
    </row>
    <row r="33" spans="1:49" ht="15.75" thickBot="1" x14ac:dyDescent="0.3">
      <c r="A33" s="12" t="s">
        <v>88</v>
      </c>
      <c r="B33" s="13" t="s">
        <v>89</v>
      </c>
      <c r="C33" s="14"/>
      <c r="D33" s="49">
        <f>D32*$T$7</f>
        <v>0</v>
      </c>
      <c r="E33" s="49">
        <f>E32*$T$7</f>
        <v>0</v>
      </c>
      <c r="F33" s="49">
        <f>F32*$T$7</f>
        <v>0</v>
      </c>
      <c r="G33" s="31">
        <f>SUM(D33:F33)</f>
        <v>0</v>
      </c>
      <c r="H33" s="14"/>
      <c r="I33" s="49">
        <f>I32*$T$7</f>
        <v>0</v>
      </c>
      <c r="J33" s="49">
        <f>J32*$T$7</f>
        <v>0</v>
      </c>
      <c r="K33" s="49">
        <f>K32*$T$7</f>
        <v>0</v>
      </c>
      <c r="L33" s="31">
        <f>SUM(I33:K33)</f>
        <v>0</v>
      </c>
      <c r="M33" s="61"/>
      <c r="N33" s="49">
        <f>N32*$T$7</f>
        <v>0</v>
      </c>
      <c r="O33" s="49">
        <f>O32*$T$7</f>
        <v>0</v>
      </c>
      <c r="P33" s="49">
        <f>P32*$T$7</f>
        <v>0</v>
      </c>
      <c r="Q33" s="31">
        <f t="shared" si="17"/>
        <v>0</v>
      </c>
      <c r="R33" s="16"/>
      <c r="S33" s="34"/>
      <c r="T33" s="12"/>
      <c r="U33" s="17"/>
      <c r="V33" s="12" t="s">
        <v>47</v>
      </c>
      <c r="W33" s="80">
        <v>0.02</v>
      </c>
      <c r="X33" s="199" t="s">
        <v>76</v>
      </c>
      <c r="Y33" s="18"/>
      <c r="Z33" s="19"/>
      <c r="AA33" s="19"/>
      <c r="AB33" s="19"/>
      <c r="AC33" s="19"/>
      <c r="AD33" s="19"/>
      <c r="AE33" s="19"/>
      <c r="AF33" s="19"/>
      <c r="AG33" s="19"/>
      <c r="AH33" s="19"/>
      <c r="AI33" s="19"/>
      <c r="AJ33" s="19"/>
      <c r="AK33" s="19"/>
      <c r="AL33" s="19"/>
      <c r="AM33" s="19"/>
      <c r="AN33" s="19"/>
      <c r="AO33" s="19"/>
      <c r="AP33" s="19"/>
      <c r="AQ33" s="19"/>
      <c r="AR33" s="19"/>
      <c r="AS33" s="19"/>
      <c r="AT33" s="19"/>
      <c r="AU33" s="12"/>
      <c r="AV33" s="12"/>
      <c r="AW33" s="12"/>
    </row>
    <row r="34" spans="1:49" x14ac:dyDescent="0.25">
      <c r="A34" s="16"/>
      <c r="B34" s="16"/>
      <c r="C34" s="14"/>
      <c r="D34" s="16"/>
      <c r="E34" s="16" t="s">
        <v>11</v>
      </c>
      <c r="F34" s="16"/>
      <c r="G34" s="16"/>
      <c r="H34" s="14"/>
      <c r="I34" s="45"/>
      <c r="J34" s="45"/>
      <c r="K34" s="45"/>
      <c r="L34" s="61"/>
      <c r="M34" s="61"/>
      <c r="N34" s="61"/>
      <c r="O34" s="61"/>
      <c r="P34" s="61"/>
      <c r="Q34" s="63"/>
      <c r="R34" s="16"/>
      <c r="S34" s="12"/>
      <c r="T34" s="12"/>
      <c r="U34" s="17"/>
      <c r="V34" s="12" t="s">
        <v>49</v>
      </c>
      <c r="W34" s="80">
        <v>0.01</v>
      </c>
      <c r="X34" s="199" t="s">
        <v>76</v>
      </c>
      <c r="Y34" s="18"/>
      <c r="Z34" s="19"/>
      <c r="AA34" s="19"/>
      <c r="AB34" s="19"/>
      <c r="AC34" s="19"/>
      <c r="AD34" s="19"/>
      <c r="AE34" s="19"/>
      <c r="AF34" s="19"/>
      <c r="AG34" s="19"/>
      <c r="AH34" s="19"/>
      <c r="AI34" s="19"/>
      <c r="AJ34" s="19"/>
      <c r="AK34" s="19"/>
      <c r="AL34" s="19"/>
      <c r="AM34" s="19"/>
      <c r="AN34" s="19"/>
      <c r="AO34" s="19"/>
      <c r="AP34" s="19"/>
      <c r="AQ34" s="19"/>
      <c r="AR34" s="19"/>
      <c r="AS34" s="19"/>
      <c r="AT34" s="19"/>
      <c r="AU34" s="39"/>
      <c r="AV34" s="12"/>
      <c r="AW34" s="12"/>
    </row>
    <row r="35" spans="1:49" x14ac:dyDescent="0.25">
      <c r="A35" s="74"/>
      <c r="B35" s="74" t="s">
        <v>90</v>
      </c>
      <c r="C35" s="14"/>
      <c r="D35" s="81" t="str">
        <f>D22</f>
        <v>Calves</v>
      </c>
      <c r="E35" s="81" t="str">
        <f>E22</f>
        <v>Heifers</v>
      </c>
      <c r="F35" s="81" t="str">
        <f>F22</f>
        <v>Cows</v>
      </c>
      <c r="G35" s="81" t="str">
        <f>G22</f>
        <v>Total</v>
      </c>
      <c r="H35" s="14"/>
      <c r="I35" s="81" t="str">
        <f>I22</f>
        <v>Calves</v>
      </c>
      <c r="J35" s="81" t="str">
        <f>J22</f>
        <v>Heifers</v>
      </c>
      <c r="K35" s="81" t="str">
        <f>K22</f>
        <v>Cows</v>
      </c>
      <c r="L35" s="81" t="str">
        <f>L22</f>
        <v>Total</v>
      </c>
      <c r="M35" s="61"/>
      <c r="N35" s="81" t="str">
        <f>N22</f>
        <v>Calves</v>
      </c>
      <c r="O35" s="81" t="str">
        <f>O22</f>
        <v>Heifers</v>
      </c>
      <c r="P35" s="81" t="str">
        <f>P22</f>
        <v>Cows</v>
      </c>
      <c r="Q35" s="81" t="str">
        <f>Q22</f>
        <v>Total</v>
      </c>
      <c r="R35" s="16"/>
      <c r="S35" s="12"/>
      <c r="T35" s="12"/>
      <c r="U35" s="17"/>
      <c r="V35" s="12" t="s">
        <v>91</v>
      </c>
      <c r="W35" s="80">
        <v>0</v>
      </c>
      <c r="X35" s="199" t="s">
        <v>76</v>
      </c>
      <c r="Y35" s="18"/>
      <c r="Z35" s="19"/>
      <c r="AA35" s="19"/>
      <c r="AB35" s="19"/>
      <c r="AC35" s="19"/>
      <c r="AD35" s="19"/>
      <c r="AE35" s="19"/>
      <c r="AF35" s="19"/>
      <c r="AG35" s="19"/>
      <c r="AH35" s="19"/>
      <c r="AI35" s="19"/>
      <c r="AJ35" s="19"/>
      <c r="AK35" s="19"/>
      <c r="AL35" s="19"/>
      <c r="AM35" s="19"/>
      <c r="AN35" s="19"/>
      <c r="AO35" s="19"/>
      <c r="AP35" s="19"/>
      <c r="AQ35" s="19"/>
      <c r="AR35" s="19"/>
      <c r="AS35" s="19"/>
      <c r="AT35" s="19"/>
      <c r="AU35" s="12"/>
      <c r="AV35" s="12"/>
      <c r="AW35" s="12"/>
    </row>
    <row r="36" spans="1:49" x14ac:dyDescent="0.25">
      <c r="A36" s="12" t="s">
        <v>92</v>
      </c>
      <c r="B36" s="12" t="s">
        <v>56</v>
      </c>
      <c r="C36" s="14"/>
      <c r="D36" s="47">
        <f>D11</f>
        <v>0</v>
      </c>
      <c r="E36" s="47">
        <f>E11</f>
        <v>0</v>
      </c>
      <c r="F36" s="47">
        <f>F11</f>
        <v>0</v>
      </c>
      <c r="G36" s="13"/>
      <c r="H36" s="14"/>
      <c r="I36" s="47">
        <f>I11</f>
        <v>0</v>
      </c>
      <c r="J36" s="47">
        <f>J11</f>
        <v>0</v>
      </c>
      <c r="K36" s="47">
        <f>K11</f>
        <v>0</v>
      </c>
      <c r="L36" s="49"/>
      <c r="M36" s="61"/>
      <c r="N36" s="47">
        <f>N11</f>
        <v>0</v>
      </c>
      <c r="O36" s="47">
        <f>O11</f>
        <v>0</v>
      </c>
      <c r="P36" s="47">
        <f>P11</f>
        <v>0</v>
      </c>
      <c r="Q36" s="67"/>
      <c r="R36" s="16"/>
      <c r="S36" s="12"/>
      <c r="T36" s="12"/>
      <c r="U36" s="17"/>
      <c r="V36" s="12" t="s">
        <v>52</v>
      </c>
      <c r="W36" s="80">
        <v>0</v>
      </c>
      <c r="X36" s="199" t="s">
        <v>76</v>
      </c>
      <c r="Y36" s="18"/>
      <c r="Z36" s="19"/>
      <c r="AA36" s="19"/>
      <c r="AB36" s="19"/>
      <c r="AC36" s="19"/>
      <c r="AD36" s="19"/>
      <c r="AE36" s="19"/>
      <c r="AF36" s="19"/>
      <c r="AG36" s="19"/>
      <c r="AH36" s="19"/>
      <c r="AI36" s="19"/>
      <c r="AJ36" s="19"/>
      <c r="AK36" s="19"/>
      <c r="AL36" s="19"/>
      <c r="AM36" s="19"/>
      <c r="AN36" s="19"/>
      <c r="AO36" s="19"/>
      <c r="AP36" s="19"/>
      <c r="AQ36" s="19"/>
      <c r="AR36" s="19"/>
      <c r="AS36" s="19"/>
      <c r="AT36" s="19"/>
      <c r="AU36" s="12"/>
      <c r="AV36" s="12"/>
      <c r="AW36" s="12"/>
    </row>
    <row r="37" spans="1:49" x14ac:dyDescent="0.25">
      <c r="A37" s="12" t="s">
        <v>93</v>
      </c>
      <c r="B37" s="12" t="s">
        <v>59</v>
      </c>
      <c r="C37" s="14"/>
      <c r="D37" s="68">
        <f>D24</f>
        <v>122.90249433106575</v>
      </c>
      <c r="E37" s="68">
        <f>E24</f>
        <v>407.70975056689343</v>
      </c>
      <c r="F37" s="68">
        <f>F24</f>
        <v>679.81859410430832</v>
      </c>
      <c r="G37" s="82"/>
      <c r="H37" s="14"/>
      <c r="I37" s="68">
        <f>I24</f>
        <v>122.90249433106575</v>
      </c>
      <c r="J37" s="68">
        <f>J24</f>
        <v>408</v>
      </c>
      <c r="K37" s="68">
        <f>K24</f>
        <v>679.81859410430832</v>
      </c>
      <c r="L37" s="68"/>
      <c r="M37" s="70"/>
      <c r="N37" s="68">
        <f>N24</f>
        <v>122.90249433106575</v>
      </c>
      <c r="O37" s="68">
        <f>O24</f>
        <v>408</v>
      </c>
      <c r="P37" s="68">
        <f>P24</f>
        <v>679.81859410430832</v>
      </c>
      <c r="Q37" s="67"/>
      <c r="R37" s="16"/>
      <c r="S37" s="200" t="s">
        <v>60</v>
      </c>
      <c r="T37" s="12"/>
      <c r="U37" s="17"/>
      <c r="V37" s="12" t="s">
        <v>54</v>
      </c>
      <c r="W37" s="80">
        <v>6.0000000000000001E-3</v>
      </c>
      <c r="X37" s="199" t="s">
        <v>76</v>
      </c>
      <c r="Y37" s="18"/>
      <c r="Z37" s="19"/>
      <c r="AA37" s="19"/>
      <c r="AB37" s="19"/>
      <c r="AC37" s="19"/>
      <c r="AD37" s="19"/>
      <c r="AE37" s="19"/>
      <c r="AF37" s="19"/>
      <c r="AG37" s="19"/>
      <c r="AH37" s="19"/>
      <c r="AI37" s="19"/>
      <c r="AJ37" s="19"/>
      <c r="AK37" s="19"/>
      <c r="AL37" s="19"/>
      <c r="AM37" s="19"/>
      <c r="AN37" s="19"/>
      <c r="AO37" s="19"/>
      <c r="AP37" s="19"/>
      <c r="AQ37" s="19"/>
      <c r="AR37" s="19"/>
      <c r="AS37" s="19"/>
      <c r="AT37" s="19"/>
      <c r="AU37" s="12"/>
      <c r="AV37" s="12"/>
      <c r="AW37" s="12"/>
    </row>
    <row r="38" spans="1:49" ht="15.75" thickBot="1" x14ac:dyDescent="0.3">
      <c r="A38" s="12" t="s">
        <v>94</v>
      </c>
      <c r="B38" s="56" t="s">
        <v>95</v>
      </c>
      <c r="C38" s="14"/>
      <c r="D38" s="83">
        <f>(0.45*365)/1000</f>
        <v>0.16425000000000001</v>
      </c>
      <c r="E38" s="71">
        <f>69/E37</f>
        <v>0.16923804226918798</v>
      </c>
      <c r="F38" s="71">
        <f>158/F37</f>
        <v>0.23241494329553039</v>
      </c>
      <c r="G38" s="13"/>
      <c r="H38" s="14"/>
      <c r="I38" s="84">
        <f>D38</f>
        <v>0.16425000000000001</v>
      </c>
      <c r="J38" s="85">
        <f>E38</f>
        <v>0.16923804226918798</v>
      </c>
      <c r="K38" s="85">
        <f t="shared" ref="K38" si="18">F38</f>
        <v>0.23241494329553039</v>
      </c>
      <c r="L38" s="49"/>
      <c r="M38" s="61"/>
      <c r="N38" s="86">
        <f>D38</f>
        <v>0.16425000000000001</v>
      </c>
      <c r="O38" s="49">
        <f t="shared" ref="O38:P40" si="19">E38</f>
        <v>0.16923804226918798</v>
      </c>
      <c r="P38" s="87">
        <f t="shared" si="19"/>
        <v>0.23241494329553039</v>
      </c>
      <c r="Q38" s="67"/>
      <c r="R38" s="16"/>
      <c r="S38" s="200" t="s">
        <v>96</v>
      </c>
      <c r="T38" s="12"/>
      <c r="U38" s="17"/>
      <c r="V38" s="12" t="s">
        <v>97</v>
      </c>
      <c r="W38" s="80">
        <v>0.01</v>
      </c>
      <c r="X38" s="199" t="s">
        <v>76</v>
      </c>
      <c r="Y38" s="18"/>
      <c r="Z38" s="19"/>
      <c r="AA38" s="19"/>
      <c r="AB38" s="19"/>
      <c r="AC38" s="19"/>
      <c r="AD38" s="19"/>
      <c r="AE38" s="19"/>
      <c r="AF38" s="19"/>
      <c r="AG38" s="19"/>
      <c r="AH38" s="19"/>
      <c r="AI38" s="19"/>
      <c r="AJ38" s="19"/>
      <c r="AK38" s="19"/>
      <c r="AL38" s="19"/>
      <c r="AM38" s="19"/>
      <c r="AN38" s="19"/>
      <c r="AO38" s="19"/>
      <c r="AP38" s="19"/>
      <c r="AQ38" s="19"/>
      <c r="AR38" s="19"/>
      <c r="AS38" s="19"/>
      <c r="AT38" s="19"/>
      <c r="AU38" s="39"/>
      <c r="AV38" s="12"/>
      <c r="AW38" s="12"/>
    </row>
    <row r="39" spans="1:49" ht="15.75" thickBot="1" x14ac:dyDescent="0.3">
      <c r="A39" s="12" t="s">
        <v>98</v>
      </c>
      <c r="B39" s="88" t="s">
        <v>99</v>
      </c>
      <c r="C39" s="14"/>
      <c r="D39" s="77">
        <f>W31</f>
        <v>5.0000000000000001E-3</v>
      </c>
      <c r="E39" s="77">
        <f>W31</f>
        <v>5.0000000000000001E-3</v>
      </c>
      <c r="F39" s="78">
        <f>W31</f>
        <v>5.0000000000000001E-3</v>
      </c>
      <c r="G39" s="13"/>
      <c r="H39" s="14"/>
      <c r="I39" s="77">
        <f>D39</f>
        <v>5.0000000000000001E-3</v>
      </c>
      <c r="J39" s="77">
        <f t="shared" ref="J39:K40" si="20">E39</f>
        <v>5.0000000000000001E-3</v>
      </c>
      <c r="K39" s="78">
        <f t="shared" si="20"/>
        <v>5.0000000000000001E-3</v>
      </c>
      <c r="L39" s="49"/>
      <c r="M39" s="61"/>
      <c r="N39" s="77">
        <f>D39</f>
        <v>5.0000000000000001E-3</v>
      </c>
      <c r="O39" s="77">
        <f t="shared" si="19"/>
        <v>5.0000000000000001E-3</v>
      </c>
      <c r="P39" s="78">
        <f t="shared" si="19"/>
        <v>5.0000000000000001E-3</v>
      </c>
      <c r="Q39" s="67"/>
      <c r="R39" s="16"/>
      <c r="S39" s="201" t="s">
        <v>100</v>
      </c>
      <c r="T39" s="12"/>
      <c r="U39" s="17"/>
      <c r="V39" s="12" t="s">
        <v>101</v>
      </c>
      <c r="W39" s="80">
        <v>0.01</v>
      </c>
      <c r="X39" s="199" t="s">
        <v>76</v>
      </c>
      <c r="Y39" s="18"/>
      <c r="Z39" s="19"/>
      <c r="AA39" s="19"/>
      <c r="AB39" s="19"/>
      <c r="AC39" s="19"/>
      <c r="AD39" s="19"/>
      <c r="AE39" s="19"/>
      <c r="AF39" s="19"/>
      <c r="AG39" s="19"/>
      <c r="AH39" s="19"/>
      <c r="AI39" s="19"/>
      <c r="AJ39" s="19"/>
      <c r="AK39" s="19"/>
      <c r="AL39" s="19"/>
      <c r="AM39" s="19"/>
      <c r="AN39" s="19"/>
      <c r="AO39" s="19"/>
      <c r="AP39" s="19"/>
      <c r="AQ39" s="19"/>
      <c r="AR39" s="19"/>
      <c r="AS39" s="19"/>
      <c r="AT39" s="19"/>
      <c r="AU39" s="12"/>
      <c r="AV39" s="12"/>
      <c r="AW39" s="12"/>
    </row>
    <row r="40" spans="1:49" x14ac:dyDescent="0.25">
      <c r="A40" s="12" t="s">
        <v>102</v>
      </c>
      <c r="B40" s="90" t="s">
        <v>103</v>
      </c>
      <c r="C40" s="14"/>
      <c r="D40" s="91">
        <v>1.5711338145316169</v>
      </c>
      <c r="E40" s="91">
        <v>1.5711338145316169</v>
      </c>
      <c r="F40" s="91">
        <v>1.5711338145316169</v>
      </c>
      <c r="G40" s="13"/>
      <c r="H40" s="14"/>
      <c r="I40" s="92">
        <f>D40</f>
        <v>1.5711338145316169</v>
      </c>
      <c r="J40" s="92">
        <f t="shared" si="20"/>
        <v>1.5711338145316169</v>
      </c>
      <c r="K40" s="92">
        <f t="shared" si="20"/>
        <v>1.5711338145316169</v>
      </c>
      <c r="L40" s="49"/>
      <c r="M40" s="61"/>
      <c r="N40" s="93">
        <f>D40</f>
        <v>1.5711338145316169</v>
      </c>
      <c r="O40" s="93">
        <f t="shared" si="19"/>
        <v>1.5711338145316169</v>
      </c>
      <c r="P40" s="93">
        <f t="shared" si="19"/>
        <v>1.5711338145316169</v>
      </c>
      <c r="Q40" s="67"/>
      <c r="R40" s="16"/>
      <c r="S40" s="75"/>
      <c r="T40" s="12"/>
      <c r="U40" s="17"/>
      <c r="V40" s="12" t="s">
        <v>104</v>
      </c>
      <c r="W40" s="80">
        <v>5.0000000000000001E-3</v>
      </c>
      <c r="X40" s="199" t="s">
        <v>76</v>
      </c>
      <c r="Y40" s="18"/>
      <c r="Z40" s="19"/>
      <c r="AA40" s="19"/>
      <c r="AB40" s="19"/>
      <c r="AC40" s="19"/>
      <c r="AD40" s="19"/>
      <c r="AE40" s="19"/>
      <c r="AF40" s="19"/>
      <c r="AG40" s="19"/>
      <c r="AH40" s="19"/>
      <c r="AI40" s="19"/>
      <c r="AJ40" s="19"/>
      <c r="AK40" s="19"/>
      <c r="AL40" s="19"/>
      <c r="AM40" s="19"/>
      <c r="AN40" s="19"/>
      <c r="AO40" s="19"/>
      <c r="AP40" s="19"/>
      <c r="AQ40" s="19"/>
      <c r="AR40" s="19"/>
      <c r="AS40" s="19"/>
      <c r="AT40" s="19"/>
      <c r="AU40" s="39"/>
      <c r="AV40" s="12"/>
      <c r="AW40" s="12"/>
    </row>
    <row r="41" spans="1:49" x14ac:dyDescent="0.25">
      <c r="A41" s="12" t="s">
        <v>105</v>
      </c>
      <c r="B41" s="12" t="s">
        <v>106</v>
      </c>
      <c r="C41" s="14"/>
      <c r="D41" s="15">
        <f>D36*D37*D38*D39*D40/1000</f>
        <v>0</v>
      </c>
      <c r="E41" s="15">
        <f t="shared" ref="E41:F41" si="21">E36*E37*E38*E39*E40/1000</f>
        <v>0</v>
      </c>
      <c r="F41" s="15">
        <f t="shared" si="21"/>
        <v>0</v>
      </c>
      <c r="G41" s="13"/>
      <c r="H41" s="14"/>
      <c r="I41" s="15">
        <f>I36*I37*I38*I39*I40/1000</f>
        <v>0</v>
      </c>
      <c r="J41" s="15">
        <f t="shared" ref="J41:K41" si="22">J36*J37*J38*J39*J40/1000</f>
        <v>0</v>
      </c>
      <c r="K41" s="15">
        <f t="shared" si="22"/>
        <v>0</v>
      </c>
      <c r="L41" s="49"/>
      <c r="M41" s="61"/>
      <c r="N41" s="15">
        <f>N36*N37*N38*N39*N40/1000</f>
        <v>0</v>
      </c>
      <c r="O41" s="15">
        <f t="shared" ref="O41:P41" si="23">O36*O37*O38*O39*O40/1000</f>
        <v>0</v>
      </c>
      <c r="P41" s="15">
        <f t="shared" si="23"/>
        <v>0</v>
      </c>
      <c r="Q41" s="67"/>
      <c r="R41" s="16"/>
      <c r="S41" s="200" t="s">
        <v>11</v>
      </c>
      <c r="T41" s="12"/>
      <c r="U41" s="17"/>
      <c r="V41" s="94" t="s">
        <v>107</v>
      </c>
      <c r="W41" s="26"/>
      <c r="X41" s="26"/>
      <c r="Y41" s="18"/>
      <c r="Z41" s="19"/>
      <c r="AA41" s="19"/>
      <c r="AB41" s="19"/>
      <c r="AC41" s="19"/>
      <c r="AD41" s="19"/>
      <c r="AE41" s="19"/>
      <c r="AF41" s="19"/>
      <c r="AG41" s="19"/>
      <c r="AH41" s="19"/>
      <c r="AI41" s="19"/>
      <c r="AJ41" s="19"/>
      <c r="AK41" s="19"/>
      <c r="AL41" s="19"/>
      <c r="AM41" s="19"/>
      <c r="AN41" s="19"/>
      <c r="AO41" s="19"/>
      <c r="AP41" s="19"/>
      <c r="AQ41" s="19"/>
      <c r="AR41" s="19"/>
      <c r="AS41" s="19"/>
      <c r="AT41" s="19"/>
      <c r="AU41" s="12"/>
      <c r="AV41" s="12"/>
      <c r="AW41" s="12"/>
    </row>
    <row r="42" spans="1:49" x14ac:dyDescent="0.25">
      <c r="A42" s="12" t="s">
        <v>108</v>
      </c>
      <c r="B42" s="12" t="s">
        <v>83</v>
      </c>
      <c r="C42" s="14"/>
      <c r="D42" s="60">
        <f>1000*2.2046/2000</f>
        <v>1.1023000000000001</v>
      </c>
      <c r="E42" s="60">
        <f t="shared" ref="E42:F42" si="24">1000*2.2046/2000</f>
        <v>1.1023000000000001</v>
      </c>
      <c r="F42" s="60">
        <f t="shared" si="24"/>
        <v>1.1023000000000001</v>
      </c>
      <c r="G42" s="13"/>
      <c r="H42" s="14"/>
      <c r="I42" s="92">
        <f>D42</f>
        <v>1.1023000000000001</v>
      </c>
      <c r="J42" s="92">
        <f t="shared" ref="J42:K42" si="25">E42</f>
        <v>1.1023000000000001</v>
      </c>
      <c r="K42" s="92">
        <f t="shared" si="25"/>
        <v>1.1023000000000001</v>
      </c>
      <c r="L42" s="49"/>
      <c r="M42" s="61"/>
      <c r="N42" s="49">
        <f>D42</f>
        <v>1.1023000000000001</v>
      </c>
      <c r="O42" s="49">
        <f t="shared" ref="O42:P42" si="26">E42</f>
        <v>1.1023000000000001</v>
      </c>
      <c r="P42" s="49">
        <f t="shared" si="26"/>
        <v>1.1023000000000001</v>
      </c>
      <c r="Q42" s="67"/>
      <c r="R42" s="16"/>
      <c r="S42" s="75"/>
      <c r="T42" s="12"/>
      <c r="U42" s="17"/>
      <c r="V42" s="94" t="s">
        <v>109</v>
      </c>
      <c r="W42" s="26"/>
      <c r="X42" s="26"/>
      <c r="Y42" s="18"/>
      <c r="Z42" s="19"/>
      <c r="AA42" s="19"/>
      <c r="AB42" s="19"/>
      <c r="AC42" s="19"/>
      <c r="AD42" s="19"/>
      <c r="AE42" s="19"/>
      <c r="AF42" s="19"/>
      <c r="AG42" s="19"/>
      <c r="AH42" s="19"/>
      <c r="AI42" s="19"/>
      <c r="AJ42" s="19"/>
      <c r="AK42" s="19"/>
      <c r="AL42" s="19"/>
      <c r="AM42" s="19"/>
      <c r="AN42" s="19"/>
      <c r="AO42" s="19"/>
      <c r="AP42" s="19"/>
      <c r="AQ42" s="19"/>
      <c r="AR42" s="19"/>
      <c r="AS42" s="19"/>
      <c r="AT42" s="19"/>
      <c r="AU42" s="12"/>
      <c r="AV42" s="12"/>
      <c r="AW42" s="12"/>
    </row>
    <row r="43" spans="1:49" ht="15.75" thickBot="1" x14ac:dyDescent="0.3">
      <c r="A43" s="12" t="s">
        <v>110</v>
      </c>
      <c r="B43" s="12" t="s">
        <v>111</v>
      </c>
      <c r="C43" s="14"/>
      <c r="D43" s="15">
        <f>D41*D42</f>
        <v>0</v>
      </c>
      <c r="E43" s="15">
        <f t="shared" ref="E43" si="27">E41*E42</f>
        <v>0</v>
      </c>
      <c r="F43" s="15">
        <f>F41*F42</f>
        <v>0</v>
      </c>
      <c r="G43" s="49">
        <f>SUM(D43:F43)</f>
        <v>0</v>
      </c>
      <c r="H43" s="14"/>
      <c r="I43" s="15">
        <f>I41*I42</f>
        <v>0</v>
      </c>
      <c r="J43" s="15">
        <f t="shared" ref="J43" si="28">J41*J42</f>
        <v>0</v>
      </c>
      <c r="K43" s="15">
        <f>K41*K42</f>
        <v>0</v>
      </c>
      <c r="L43" s="49">
        <f>SUM(I43:K43)</f>
        <v>0</v>
      </c>
      <c r="M43" s="61"/>
      <c r="N43" s="15">
        <f>N41*N42</f>
        <v>0</v>
      </c>
      <c r="O43" s="15">
        <f t="shared" ref="O43:P43" si="29">O41*O42</f>
        <v>0</v>
      </c>
      <c r="P43" s="15">
        <f t="shared" si="29"/>
        <v>0</v>
      </c>
      <c r="Q43" s="49">
        <f>SUM(N43:P43)</f>
        <v>0</v>
      </c>
      <c r="R43" s="16"/>
      <c r="S43" s="75"/>
      <c r="T43" s="12"/>
      <c r="U43" s="17"/>
      <c r="V43" s="12"/>
      <c r="W43" s="95" t="s">
        <v>112</v>
      </c>
      <c r="X43" s="95" t="s">
        <v>113</v>
      </c>
      <c r="Y43" s="18"/>
      <c r="Z43" s="19"/>
      <c r="AA43" s="19"/>
      <c r="AB43" s="19"/>
      <c r="AC43" s="19"/>
      <c r="AD43" s="19"/>
      <c r="AE43" s="19"/>
      <c r="AF43" s="19"/>
      <c r="AG43" s="19"/>
      <c r="AH43" s="19"/>
      <c r="AI43" s="19"/>
      <c r="AJ43" s="19"/>
      <c r="AK43" s="19"/>
      <c r="AL43" s="19"/>
      <c r="AM43" s="19"/>
      <c r="AN43" s="19"/>
      <c r="AO43" s="19"/>
      <c r="AP43" s="19"/>
      <c r="AQ43" s="19"/>
      <c r="AR43" s="19"/>
      <c r="AS43" s="19"/>
      <c r="AT43" s="19"/>
      <c r="AU43" s="12"/>
      <c r="AV43" s="12"/>
      <c r="AW43" s="12"/>
    </row>
    <row r="44" spans="1:49" ht="15.75" thickBot="1" x14ac:dyDescent="0.3">
      <c r="A44" s="12" t="s">
        <v>114</v>
      </c>
      <c r="B44" s="13" t="s">
        <v>89</v>
      </c>
      <c r="C44" s="14"/>
      <c r="D44" s="67">
        <f>D43*$T$8</f>
        <v>0</v>
      </c>
      <c r="E44" s="67">
        <f>E43*$T$8</f>
        <v>0</v>
      </c>
      <c r="F44" s="67">
        <f>F43*$T$8</f>
        <v>0</v>
      </c>
      <c r="G44" s="31">
        <f>SUM(D44:F44)</f>
        <v>0</v>
      </c>
      <c r="H44" s="14"/>
      <c r="I44" s="67">
        <f>I43*$T$8</f>
        <v>0</v>
      </c>
      <c r="J44" s="67">
        <f>J43*$T$8</f>
        <v>0</v>
      </c>
      <c r="K44" s="67">
        <f>K43*$T$8</f>
        <v>0</v>
      </c>
      <c r="L44" s="31">
        <f>SUM(I44:K44)</f>
        <v>0</v>
      </c>
      <c r="M44" s="61"/>
      <c r="N44" s="67">
        <f>N43*$T$8</f>
        <v>0</v>
      </c>
      <c r="O44" s="67">
        <f>O43*$T$8</f>
        <v>0</v>
      </c>
      <c r="P44" s="67">
        <f>P43*$T$8</f>
        <v>0</v>
      </c>
      <c r="Q44" s="31">
        <f>SUM(N44:P44)</f>
        <v>0</v>
      </c>
      <c r="R44" s="16"/>
      <c r="S44" s="75"/>
      <c r="T44" s="12"/>
      <c r="U44" s="17"/>
      <c r="V44" s="13" t="s">
        <v>115</v>
      </c>
      <c r="W44" s="12"/>
      <c r="X44" s="12"/>
      <c r="Y44" s="18"/>
      <c r="Z44" s="12"/>
      <c r="AA44" s="12"/>
      <c r="AB44" s="12"/>
      <c r="AC44" s="12"/>
      <c r="AD44" s="12"/>
      <c r="AE44" s="12"/>
      <c r="AF44" s="12"/>
      <c r="AG44" s="12"/>
      <c r="AH44" s="12"/>
      <c r="AI44" s="12"/>
      <c r="AJ44" s="12"/>
      <c r="AK44" s="12"/>
      <c r="AL44" s="12"/>
      <c r="AM44" s="12"/>
      <c r="AN44" s="12"/>
      <c r="AO44" s="12"/>
      <c r="AP44" s="12"/>
      <c r="AQ44" s="12"/>
      <c r="AR44" s="12"/>
      <c r="AS44" s="12"/>
      <c r="AT44" s="12"/>
      <c r="AU44" s="13" t="s">
        <v>19</v>
      </c>
      <c r="AV44" s="12"/>
      <c r="AW44" s="12"/>
    </row>
    <row r="45" spans="1:49" x14ac:dyDescent="0.25">
      <c r="A45" s="16"/>
      <c r="B45" s="16"/>
      <c r="C45" s="16"/>
      <c r="D45" s="16"/>
      <c r="E45" s="16"/>
      <c r="F45" s="16"/>
      <c r="G45" s="16"/>
      <c r="H45" s="16"/>
      <c r="I45" s="45"/>
      <c r="J45" s="45"/>
      <c r="K45" s="45"/>
      <c r="L45" s="61"/>
      <c r="M45" s="61"/>
      <c r="N45" s="61"/>
      <c r="O45" s="61"/>
      <c r="P45" s="61"/>
      <c r="Q45" s="61"/>
      <c r="R45" s="16"/>
      <c r="S45" s="75"/>
      <c r="T45" s="12"/>
      <c r="U45" s="17"/>
      <c r="V45" s="12" t="s">
        <v>116</v>
      </c>
      <c r="W45" s="96">
        <v>4.0000000000000001E-3</v>
      </c>
      <c r="X45" s="97">
        <v>0.43</v>
      </c>
      <c r="Y45" s="18"/>
      <c r="Z45" s="19"/>
      <c r="AA45" s="19"/>
      <c r="AB45" s="19"/>
      <c r="AC45" s="19"/>
      <c r="AD45" s="19"/>
      <c r="AE45" s="19"/>
      <c r="AF45" s="19"/>
      <c r="AG45" s="19"/>
      <c r="AH45" s="19"/>
      <c r="AI45" s="19"/>
      <c r="AJ45" s="19"/>
      <c r="AK45" s="19"/>
      <c r="AL45" s="19"/>
      <c r="AM45" s="19"/>
      <c r="AN45" s="19"/>
      <c r="AO45" s="19"/>
      <c r="AP45" s="19"/>
      <c r="AQ45" s="19"/>
      <c r="AR45" s="19"/>
      <c r="AS45" s="19"/>
      <c r="AT45" s="19"/>
      <c r="AU45" s="199" t="s">
        <v>117</v>
      </c>
      <c r="AV45" s="12"/>
      <c r="AW45" s="12"/>
    </row>
    <row r="46" spans="1:49" x14ac:dyDescent="0.25">
      <c r="A46" s="98"/>
      <c r="B46" s="99" t="s">
        <v>118</v>
      </c>
      <c r="C46" s="16"/>
      <c r="D46" s="100" t="s">
        <v>20</v>
      </c>
      <c r="E46" s="100" t="s">
        <v>21</v>
      </c>
      <c r="F46" s="100" t="s">
        <v>22</v>
      </c>
      <c r="G46" s="100" t="s">
        <v>23</v>
      </c>
      <c r="H46" s="16"/>
      <c r="I46" s="100" t="s">
        <v>20</v>
      </c>
      <c r="J46" s="100" t="s">
        <v>21</v>
      </c>
      <c r="K46" s="100" t="s">
        <v>22</v>
      </c>
      <c r="L46" s="100" t="s">
        <v>23</v>
      </c>
      <c r="M46" s="61"/>
      <c r="N46" s="100" t="s">
        <v>20</v>
      </c>
      <c r="O46" s="100" t="s">
        <v>21</v>
      </c>
      <c r="P46" s="100" t="s">
        <v>22</v>
      </c>
      <c r="Q46" s="100" t="s">
        <v>23</v>
      </c>
      <c r="R46" s="16"/>
      <c r="S46" s="75"/>
      <c r="T46" s="12"/>
      <c r="U46" s="17"/>
      <c r="V46" s="12" t="s">
        <v>119</v>
      </c>
      <c r="W46" s="96">
        <v>4.0000000000000001E-3</v>
      </c>
      <c r="X46" s="97">
        <v>0.26</v>
      </c>
      <c r="Y46" s="18"/>
      <c r="Z46" s="19"/>
      <c r="AA46" s="19"/>
      <c r="AB46" s="19"/>
      <c r="AC46" s="19"/>
      <c r="AD46" s="19"/>
      <c r="AE46" s="19"/>
      <c r="AF46" s="19"/>
      <c r="AG46" s="19"/>
      <c r="AH46" s="19"/>
      <c r="AI46" s="19"/>
      <c r="AJ46" s="19"/>
      <c r="AK46" s="19"/>
      <c r="AL46" s="19"/>
      <c r="AM46" s="19"/>
      <c r="AN46" s="19"/>
      <c r="AO46" s="19"/>
      <c r="AP46" s="19"/>
      <c r="AQ46" s="19"/>
      <c r="AR46" s="19"/>
      <c r="AS46" s="19"/>
      <c r="AT46" s="19"/>
      <c r="AU46" s="199" t="s">
        <v>117</v>
      </c>
      <c r="AV46" s="12"/>
      <c r="AW46" s="12"/>
    </row>
    <row r="47" spans="1:49" ht="15.75" thickBot="1" x14ac:dyDescent="0.3">
      <c r="A47" s="12" t="s">
        <v>120</v>
      </c>
      <c r="B47" s="12" t="s">
        <v>121</v>
      </c>
      <c r="C47" s="16"/>
      <c r="D47" s="28">
        <f>(D36*D37*D38)-D41*1000/D40</f>
        <v>0</v>
      </c>
      <c r="E47" s="28">
        <f>(E36*E37*E38)-E41*1000/E40</f>
        <v>0</v>
      </c>
      <c r="F47" s="28">
        <f>(F36*F37*F38)-F41*1000/F40</f>
        <v>0</v>
      </c>
      <c r="G47" s="12"/>
      <c r="H47" s="16"/>
      <c r="I47" s="28">
        <f>(I36*I37*I38)-I41*1000/I40</f>
        <v>0</v>
      </c>
      <c r="J47" s="28">
        <f>(J36*J37*J38)-J41*1000/J40</f>
        <v>0</v>
      </c>
      <c r="K47" s="28">
        <f>(K36*K37*K38)-K41*1000/K40</f>
        <v>0</v>
      </c>
      <c r="L47" s="49"/>
      <c r="M47" s="61"/>
      <c r="N47" s="28">
        <f>(N36*N37*N38)-N41*1000/N40</f>
        <v>0</v>
      </c>
      <c r="O47" s="28">
        <f>(O36*O37*O38)-O41*1000/O40</f>
        <v>0</v>
      </c>
      <c r="P47" s="28">
        <f>(P36*P37*P38)-P41*1000/P40</f>
        <v>0</v>
      </c>
      <c r="Q47" s="12"/>
      <c r="R47" s="16"/>
      <c r="S47" s="75"/>
      <c r="T47" s="12"/>
      <c r="U47" s="17"/>
      <c r="V47" s="12" t="s">
        <v>122</v>
      </c>
      <c r="W47" s="96">
        <v>0</v>
      </c>
      <c r="X47" s="97">
        <v>0.24</v>
      </c>
      <c r="Y47" s="18"/>
      <c r="Z47" s="19"/>
      <c r="AA47" s="19"/>
      <c r="AB47" s="19"/>
      <c r="AC47" s="19"/>
      <c r="AD47" s="19"/>
      <c r="AE47" s="19"/>
      <c r="AF47" s="19"/>
      <c r="AG47" s="19"/>
      <c r="AH47" s="19"/>
      <c r="AI47" s="19"/>
      <c r="AJ47" s="19"/>
      <c r="AK47" s="19"/>
      <c r="AL47" s="19"/>
      <c r="AM47" s="19"/>
      <c r="AN47" s="19"/>
      <c r="AO47" s="19"/>
      <c r="AP47" s="19"/>
      <c r="AQ47" s="19"/>
      <c r="AR47" s="19"/>
      <c r="AS47" s="19"/>
      <c r="AT47" s="19"/>
      <c r="AU47" s="199" t="s">
        <v>123</v>
      </c>
      <c r="AV47" s="12"/>
      <c r="AW47" s="12"/>
    </row>
    <row r="48" spans="1:49" ht="15.75" thickBot="1" x14ac:dyDescent="0.3">
      <c r="A48" s="12" t="s">
        <v>124</v>
      </c>
      <c r="B48" s="64" t="s">
        <v>125</v>
      </c>
      <c r="C48" s="16"/>
      <c r="D48" s="77">
        <f>W46</f>
        <v>4.0000000000000001E-3</v>
      </c>
      <c r="E48" s="77">
        <f>W46</f>
        <v>4.0000000000000001E-3</v>
      </c>
      <c r="F48" s="78">
        <f>W51</f>
        <v>0</v>
      </c>
      <c r="G48" s="12"/>
      <c r="H48" s="16"/>
      <c r="I48" s="77">
        <f>D48</f>
        <v>4.0000000000000001E-3</v>
      </c>
      <c r="J48" s="77">
        <f t="shared" ref="J48:K49" si="30">E48</f>
        <v>4.0000000000000001E-3</v>
      </c>
      <c r="K48" s="78">
        <f t="shared" si="30"/>
        <v>0</v>
      </c>
      <c r="L48" s="12"/>
      <c r="M48" s="16"/>
      <c r="N48" s="77">
        <f>D48</f>
        <v>4.0000000000000001E-3</v>
      </c>
      <c r="O48" s="77">
        <f t="shared" ref="O48:P49" si="31">E48</f>
        <v>4.0000000000000001E-3</v>
      </c>
      <c r="P48" s="78">
        <f t="shared" si="31"/>
        <v>0</v>
      </c>
      <c r="Q48" s="12"/>
      <c r="R48" s="16"/>
      <c r="S48" s="200" t="s">
        <v>126</v>
      </c>
      <c r="T48" s="12"/>
      <c r="U48" s="17"/>
      <c r="V48" s="12" t="s">
        <v>49</v>
      </c>
      <c r="W48" s="96">
        <v>0</v>
      </c>
      <c r="X48" s="101">
        <v>0.27</v>
      </c>
      <c r="Y48" s="18"/>
      <c r="Z48" s="19"/>
      <c r="AA48" s="19"/>
      <c r="AB48" s="19"/>
      <c r="AC48" s="19"/>
      <c r="AD48" s="19"/>
      <c r="AE48" s="19"/>
      <c r="AF48" s="19"/>
      <c r="AG48" s="19"/>
      <c r="AH48" s="19"/>
      <c r="AI48" s="19"/>
      <c r="AJ48" s="19"/>
      <c r="AK48" s="19"/>
      <c r="AL48" s="19"/>
      <c r="AM48" s="19"/>
      <c r="AN48" s="19"/>
      <c r="AO48" s="19"/>
      <c r="AP48" s="19"/>
      <c r="AQ48" s="19"/>
      <c r="AR48" s="19"/>
      <c r="AS48" s="19"/>
      <c r="AT48" s="19"/>
      <c r="AU48" s="38"/>
      <c r="AV48" s="39"/>
      <c r="AW48" s="12"/>
    </row>
    <row r="49" spans="1:49" ht="15.75" thickBot="1" x14ac:dyDescent="0.3">
      <c r="A49" s="12" t="s">
        <v>127</v>
      </c>
      <c r="B49" s="64" t="s">
        <v>128</v>
      </c>
      <c r="C49" s="16"/>
      <c r="D49" s="77">
        <f>X46</f>
        <v>0.26</v>
      </c>
      <c r="E49" s="77">
        <f>X46</f>
        <v>0.26</v>
      </c>
      <c r="F49" s="77">
        <f>X51</f>
        <v>0</v>
      </c>
      <c r="G49" s="12"/>
      <c r="H49" s="16"/>
      <c r="I49" s="77">
        <f>D49</f>
        <v>0.26</v>
      </c>
      <c r="J49" s="77">
        <f t="shared" si="30"/>
        <v>0.26</v>
      </c>
      <c r="K49" s="77">
        <f t="shared" si="30"/>
        <v>0</v>
      </c>
      <c r="L49" s="102"/>
      <c r="M49" s="16"/>
      <c r="N49" s="77">
        <f>D49</f>
        <v>0.26</v>
      </c>
      <c r="O49" s="77">
        <f t="shared" si="31"/>
        <v>0.26</v>
      </c>
      <c r="P49" s="77">
        <f t="shared" si="31"/>
        <v>0</v>
      </c>
      <c r="Q49" s="12"/>
      <c r="R49" s="16"/>
      <c r="S49" s="200" t="s">
        <v>126</v>
      </c>
      <c r="T49" s="12"/>
      <c r="U49" s="17"/>
      <c r="V49" s="12" t="s">
        <v>47</v>
      </c>
      <c r="W49" s="96">
        <v>8.9999999999999993E-3</v>
      </c>
      <c r="X49" s="97">
        <v>0.15</v>
      </c>
      <c r="Y49" s="18"/>
      <c r="Z49" s="19"/>
      <c r="AA49" s="19"/>
      <c r="AB49" s="19"/>
      <c r="AC49" s="19"/>
      <c r="AD49" s="19"/>
      <c r="AE49" s="19"/>
      <c r="AF49" s="19"/>
      <c r="AG49" s="19"/>
      <c r="AH49" s="19"/>
      <c r="AI49" s="19"/>
      <c r="AJ49" s="19"/>
      <c r="AK49" s="19"/>
      <c r="AL49" s="19"/>
      <c r="AM49" s="19"/>
      <c r="AN49" s="19"/>
      <c r="AO49" s="19"/>
      <c r="AP49" s="19"/>
      <c r="AQ49" s="19"/>
      <c r="AR49" s="19"/>
      <c r="AS49" s="19"/>
      <c r="AT49" s="19"/>
      <c r="AU49" s="199" t="s">
        <v>117</v>
      </c>
      <c r="AV49" s="12"/>
      <c r="AW49" s="12"/>
    </row>
    <row r="50" spans="1:49" x14ac:dyDescent="0.25">
      <c r="A50" s="12" t="s">
        <v>129</v>
      </c>
      <c r="B50" s="103" t="s">
        <v>130</v>
      </c>
      <c r="C50" s="16"/>
      <c r="D50" s="104">
        <v>0.01</v>
      </c>
      <c r="E50" s="104">
        <v>0.01</v>
      </c>
      <c r="F50" s="104">
        <v>0.01</v>
      </c>
      <c r="G50" s="105"/>
      <c r="H50" s="106"/>
      <c r="I50" s="104">
        <v>0.01</v>
      </c>
      <c r="J50" s="104">
        <v>0.01</v>
      </c>
      <c r="K50" s="104">
        <v>0.01</v>
      </c>
      <c r="L50" s="105"/>
      <c r="M50" s="106"/>
      <c r="N50" s="104">
        <v>0.01</v>
      </c>
      <c r="O50" s="104">
        <v>0.01</v>
      </c>
      <c r="P50" s="104">
        <v>0.01</v>
      </c>
      <c r="Q50" s="12"/>
      <c r="R50" s="16"/>
      <c r="S50" s="200" t="s">
        <v>131</v>
      </c>
      <c r="T50" s="12"/>
      <c r="U50" s="17"/>
      <c r="V50" s="12" t="s">
        <v>132</v>
      </c>
      <c r="W50" s="96">
        <v>0</v>
      </c>
      <c r="X50" s="97">
        <v>0.1</v>
      </c>
      <c r="Y50" s="18"/>
      <c r="Z50" s="19"/>
      <c r="AA50" s="19"/>
      <c r="AB50" s="19"/>
      <c r="AC50" s="19"/>
      <c r="AD50" s="19"/>
      <c r="AE50" s="19"/>
      <c r="AF50" s="19"/>
      <c r="AG50" s="19"/>
      <c r="AH50" s="19"/>
      <c r="AI50" s="19"/>
      <c r="AJ50" s="19"/>
      <c r="AK50" s="19"/>
      <c r="AL50" s="19"/>
      <c r="AM50" s="19"/>
      <c r="AN50" s="19"/>
      <c r="AO50" s="19"/>
      <c r="AP50" s="19"/>
      <c r="AQ50" s="19"/>
      <c r="AR50" s="19"/>
      <c r="AS50" s="19"/>
      <c r="AT50" s="19"/>
      <c r="AU50" s="199" t="s">
        <v>117</v>
      </c>
      <c r="AV50" s="12"/>
      <c r="AW50" s="12"/>
    </row>
    <row r="51" spans="1:49" x14ac:dyDescent="0.25">
      <c r="A51" s="12" t="s">
        <v>133</v>
      </c>
      <c r="B51" s="107" t="s">
        <v>134</v>
      </c>
      <c r="C51" s="16"/>
      <c r="D51" s="15">
        <v>1.5711338145316169</v>
      </c>
      <c r="E51" s="15">
        <v>1.5711338145316169</v>
      </c>
      <c r="F51" s="15">
        <v>1.5711338145316169</v>
      </c>
      <c r="G51" s="12"/>
      <c r="H51" s="16"/>
      <c r="I51" s="15">
        <f>D51</f>
        <v>1.5711338145316169</v>
      </c>
      <c r="J51" s="15">
        <f t="shared" ref="J51:K51" si="32">E51</f>
        <v>1.5711338145316169</v>
      </c>
      <c r="K51" s="15">
        <f t="shared" si="32"/>
        <v>1.5711338145316169</v>
      </c>
      <c r="L51" s="12"/>
      <c r="M51" s="16"/>
      <c r="N51" s="49">
        <f>D51</f>
        <v>1.5711338145316169</v>
      </c>
      <c r="O51" s="49">
        <f t="shared" ref="O51:P51" si="33">E51</f>
        <v>1.5711338145316169</v>
      </c>
      <c r="P51" s="49">
        <f t="shared" si="33"/>
        <v>1.5711338145316169</v>
      </c>
      <c r="Q51" s="12"/>
      <c r="R51" s="16"/>
      <c r="S51" s="75"/>
      <c r="T51" s="12"/>
      <c r="U51" s="17"/>
      <c r="V51" s="12" t="s">
        <v>52</v>
      </c>
      <c r="W51" s="96">
        <v>0</v>
      </c>
      <c r="X51" s="97">
        <v>0</v>
      </c>
      <c r="Y51" s="18"/>
      <c r="Z51" s="19"/>
      <c r="AA51" s="19"/>
      <c r="AB51" s="19"/>
      <c r="AC51" s="19"/>
      <c r="AD51" s="19"/>
      <c r="AE51" s="19"/>
      <c r="AF51" s="19"/>
      <c r="AG51" s="19"/>
      <c r="AH51" s="19"/>
      <c r="AI51" s="19"/>
      <c r="AJ51" s="19"/>
      <c r="AK51" s="19"/>
      <c r="AL51" s="19"/>
      <c r="AM51" s="19"/>
      <c r="AN51" s="19"/>
      <c r="AO51" s="19"/>
      <c r="AP51" s="19"/>
      <c r="AQ51" s="19"/>
      <c r="AR51" s="19"/>
      <c r="AS51" s="19"/>
      <c r="AT51" s="19"/>
      <c r="AU51" s="199" t="s">
        <v>117</v>
      </c>
      <c r="AV51" s="12"/>
      <c r="AW51" s="12"/>
    </row>
    <row r="52" spans="1:49" x14ac:dyDescent="0.25">
      <c r="A52" s="12" t="s">
        <v>135</v>
      </c>
      <c r="B52" s="12" t="s">
        <v>136</v>
      </c>
      <c r="C52" s="16"/>
      <c r="D52" s="49">
        <f>(D47-((D48+D49)*D47))*D50*D51/1000</f>
        <v>0</v>
      </c>
      <c r="E52" s="49">
        <f t="shared" ref="E52:F52" si="34">(E47-((E48+E49)*E47))*E50*E51/1000</f>
        <v>0</v>
      </c>
      <c r="F52" s="49">
        <f t="shared" si="34"/>
        <v>0</v>
      </c>
      <c r="G52" s="12"/>
      <c r="H52" s="16"/>
      <c r="I52" s="49">
        <f>(I47-((I48+I49)*I47))*I50*I51/1000</f>
        <v>0</v>
      </c>
      <c r="J52" s="49">
        <f t="shared" ref="J52:K52" si="35">(J47-((J48+J49)*J47))*J50*J51/1000</f>
        <v>0</v>
      </c>
      <c r="K52" s="49">
        <f t="shared" si="35"/>
        <v>0</v>
      </c>
      <c r="L52" s="12"/>
      <c r="M52" s="16"/>
      <c r="N52" s="49">
        <f>(N47-((N48+N49)*N47))*N50*N51/1000</f>
        <v>0</v>
      </c>
      <c r="O52" s="49">
        <f t="shared" ref="O52:P52" si="36">(O47-((O48+O49)*O47))*O50*O51/1000</f>
        <v>0</v>
      </c>
      <c r="P52" s="49">
        <f t="shared" si="36"/>
        <v>0</v>
      </c>
      <c r="Q52" s="12"/>
      <c r="R52" s="16"/>
      <c r="S52" s="75"/>
      <c r="T52" s="12"/>
      <c r="U52" s="17"/>
      <c r="V52" s="13" t="s">
        <v>137</v>
      </c>
      <c r="W52" s="108"/>
      <c r="X52" s="12"/>
      <c r="Y52" s="18"/>
      <c r="Z52" s="19"/>
      <c r="AA52" s="19"/>
      <c r="AB52" s="19"/>
      <c r="AC52" s="19"/>
      <c r="AD52" s="19"/>
      <c r="AE52" s="19"/>
      <c r="AF52" s="19"/>
      <c r="AG52" s="19"/>
      <c r="AH52" s="19"/>
      <c r="AI52" s="19"/>
      <c r="AJ52" s="19"/>
      <c r="AK52" s="19"/>
      <c r="AL52" s="19"/>
      <c r="AM52" s="19"/>
      <c r="AN52" s="19"/>
      <c r="AO52" s="19"/>
      <c r="AP52" s="19"/>
      <c r="AQ52" s="19"/>
      <c r="AR52" s="19"/>
      <c r="AS52" s="19"/>
      <c r="AT52" s="19"/>
      <c r="AU52" s="38"/>
      <c r="AV52" s="12"/>
      <c r="AW52" s="12"/>
    </row>
    <row r="53" spans="1:49" x14ac:dyDescent="0.25">
      <c r="A53" s="12" t="s">
        <v>138</v>
      </c>
      <c r="B53" s="12" t="s">
        <v>83</v>
      </c>
      <c r="C53" s="16"/>
      <c r="D53" s="60">
        <f>1000*2.2046/2000</f>
        <v>1.1023000000000001</v>
      </c>
      <c r="E53" s="60">
        <f t="shared" ref="E53:F53" si="37">1000*2.2046/2000</f>
        <v>1.1023000000000001</v>
      </c>
      <c r="F53" s="60">
        <f t="shared" si="37"/>
        <v>1.1023000000000001</v>
      </c>
      <c r="G53" s="12"/>
      <c r="H53" s="16"/>
      <c r="I53" s="15">
        <f>D53</f>
        <v>1.1023000000000001</v>
      </c>
      <c r="J53" s="15">
        <f t="shared" ref="J53:K53" si="38">E53</f>
        <v>1.1023000000000001</v>
      </c>
      <c r="K53" s="15">
        <f t="shared" si="38"/>
        <v>1.1023000000000001</v>
      </c>
      <c r="L53" s="12"/>
      <c r="M53" s="16"/>
      <c r="N53" s="49">
        <f>D53</f>
        <v>1.1023000000000001</v>
      </c>
      <c r="O53" s="49">
        <f t="shared" ref="O53:P53" si="39">E53</f>
        <v>1.1023000000000001</v>
      </c>
      <c r="P53" s="49">
        <f t="shared" si="39"/>
        <v>1.1023000000000001</v>
      </c>
      <c r="Q53" s="12"/>
      <c r="R53" s="16"/>
      <c r="S53" s="75"/>
      <c r="T53" s="12"/>
      <c r="U53" s="17"/>
      <c r="V53" s="12" t="s">
        <v>119</v>
      </c>
      <c r="W53" s="96">
        <v>0</v>
      </c>
      <c r="X53" s="97">
        <v>0.26</v>
      </c>
      <c r="Y53" s="18"/>
      <c r="Z53" s="19"/>
      <c r="AA53" s="19"/>
      <c r="AB53" s="19"/>
      <c r="AC53" s="19"/>
      <c r="AD53" s="19"/>
      <c r="AE53" s="19"/>
      <c r="AF53" s="19"/>
      <c r="AG53" s="19"/>
      <c r="AH53" s="19"/>
      <c r="AI53" s="19"/>
      <c r="AJ53" s="19"/>
      <c r="AK53" s="19"/>
      <c r="AL53" s="19"/>
      <c r="AM53" s="19"/>
      <c r="AN53" s="19"/>
      <c r="AO53" s="19"/>
      <c r="AP53" s="19"/>
      <c r="AQ53" s="19"/>
      <c r="AR53" s="19"/>
      <c r="AS53" s="19"/>
      <c r="AT53" s="19"/>
      <c r="AU53" s="199" t="s">
        <v>117</v>
      </c>
      <c r="AV53" s="12"/>
      <c r="AW53" s="12"/>
    </row>
    <row r="54" spans="1:49" ht="15.75" thickBot="1" x14ac:dyDescent="0.3">
      <c r="A54" s="12" t="s">
        <v>139</v>
      </c>
      <c r="B54" s="12" t="s">
        <v>140</v>
      </c>
      <c r="C54" s="16"/>
      <c r="D54" s="15">
        <f>D52*D53</f>
        <v>0</v>
      </c>
      <c r="E54" s="15">
        <f t="shared" ref="E54:F54" si="40">E52*E53</f>
        <v>0</v>
      </c>
      <c r="F54" s="15">
        <f t="shared" si="40"/>
        <v>0</v>
      </c>
      <c r="G54" s="49">
        <f>SUM(D54:F54)</f>
        <v>0</v>
      </c>
      <c r="H54" s="16"/>
      <c r="I54" s="15">
        <f>I52*I53</f>
        <v>0</v>
      </c>
      <c r="J54" s="15">
        <f t="shared" ref="J54:K54" si="41">J52*J53</f>
        <v>0</v>
      </c>
      <c r="K54" s="15">
        <f t="shared" si="41"/>
        <v>0</v>
      </c>
      <c r="L54" s="49">
        <f>SUM(I54:K54)</f>
        <v>0</v>
      </c>
      <c r="M54" s="16"/>
      <c r="N54" s="15">
        <f>N52*N53</f>
        <v>0</v>
      </c>
      <c r="O54" s="15">
        <f t="shared" ref="O54:P54" si="42">O52*O53</f>
        <v>0</v>
      </c>
      <c r="P54" s="15">
        <f t="shared" si="42"/>
        <v>0</v>
      </c>
      <c r="Q54" s="49">
        <f>SUM(N54:P54)</f>
        <v>0</v>
      </c>
      <c r="R54" s="16"/>
      <c r="S54" s="75"/>
      <c r="T54" s="12"/>
      <c r="U54" s="17"/>
      <c r="V54" s="12" t="s">
        <v>47</v>
      </c>
      <c r="W54" s="96">
        <v>1.9E-2</v>
      </c>
      <c r="X54" s="97">
        <v>0.23</v>
      </c>
      <c r="Y54" s="18"/>
      <c r="Z54" s="19"/>
      <c r="AA54" s="19"/>
      <c r="AB54" s="19"/>
      <c r="AC54" s="19"/>
      <c r="AD54" s="19"/>
      <c r="AE54" s="19"/>
      <c r="AF54" s="19"/>
      <c r="AG54" s="19"/>
      <c r="AH54" s="19"/>
      <c r="AI54" s="19"/>
      <c r="AJ54" s="19"/>
      <c r="AK54" s="19"/>
      <c r="AL54" s="19"/>
      <c r="AM54" s="19"/>
      <c r="AN54" s="19"/>
      <c r="AO54" s="19"/>
      <c r="AP54" s="19"/>
      <c r="AQ54" s="19"/>
      <c r="AR54" s="19"/>
      <c r="AS54" s="19"/>
      <c r="AT54" s="19"/>
      <c r="AU54" s="199" t="s">
        <v>117</v>
      </c>
      <c r="AV54" s="12"/>
      <c r="AW54" s="12"/>
    </row>
    <row r="55" spans="1:49" ht="15.75" thickBot="1" x14ac:dyDescent="0.3">
      <c r="A55" s="12" t="s">
        <v>141</v>
      </c>
      <c r="B55" s="13" t="s">
        <v>89</v>
      </c>
      <c r="C55" s="16"/>
      <c r="D55" s="62">
        <f>D54*$T$8</f>
        <v>0</v>
      </c>
      <c r="E55" s="62">
        <f>E54*$T$8</f>
        <v>0</v>
      </c>
      <c r="F55" s="62">
        <f>F54*$T$8</f>
        <v>0</v>
      </c>
      <c r="G55" s="31">
        <f>SUM(D55:F55)</f>
        <v>0</v>
      </c>
      <c r="H55" s="16"/>
      <c r="I55" s="62">
        <f>I54*$T$8</f>
        <v>0</v>
      </c>
      <c r="J55" s="62">
        <f>J54*$T$8</f>
        <v>0</v>
      </c>
      <c r="K55" s="62">
        <f>K54*$T$8</f>
        <v>0</v>
      </c>
      <c r="L55" s="31">
        <f>SUM(I55:K55)</f>
        <v>0</v>
      </c>
      <c r="M55" s="16"/>
      <c r="N55" s="62">
        <f>N54*$T$8</f>
        <v>0</v>
      </c>
      <c r="O55" s="62">
        <f>O54*$T$8</f>
        <v>0</v>
      </c>
      <c r="P55" s="62">
        <f>P54*$T$8</f>
        <v>0</v>
      </c>
      <c r="Q55" s="31">
        <f>SUM(N55:P55)</f>
        <v>0</v>
      </c>
      <c r="R55" s="16"/>
      <c r="S55" s="75"/>
      <c r="T55" s="12"/>
      <c r="U55" s="17"/>
      <c r="V55" s="12" t="s">
        <v>52</v>
      </c>
      <c r="W55" s="96">
        <v>0</v>
      </c>
      <c r="X55" s="97">
        <v>0</v>
      </c>
      <c r="Y55" s="18"/>
      <c r="Z55" s="19"/>
      <c r="AA55" s="19"/>
      <c r="AB55" s="19"/>
      <c r="AC55" s="19"/>
      <c r="AD55" s="19"/>
      <c r="AE55" s="19"/>
      <c r="AF55" s="19"/>
      <c r="AG55" s="19"/>
      <c r="AH55" s="19"/>
      <c r="AI55" s="19"/>
      <c r="AJ55" s="19"/>
      <c r="AK55" s="19"/>
      <c r="AL55" s="19"/>
      <c r="AM55" s="19"/>
      <c r="AN55" s="19"/>
      <c r="AO55" s="19"/>
      <c r="AP55" s="19"/>
      <c r="AQ55" s="19"/>
      <c r="AR55" s="19"/>
      <c r="AS55" s="19"/>
      <c r="AT55" s="19"/>
      <c r="AU55" s="199" t="s">
        <v>117</v>
      </c>
      <c r="AV55" s="12"/>
      <c r="AW55" s="12"/>
    </row>
    <row r="56" spans="1:49" x14ac:dyDescent="0.25">
      <c r="A56" s="16"/>
      <c r="B56" s="16"/>
      <c r="C56" s="16"/>
      <c r="D56" s="61"/>
      <c r="E56" s="16"/>
      <c r="F56" s="16"/>
      <c r="G56" s="16"/>
      <c r="H56" s="16"/>
      <c r="I56" s="45"/>
      <c r="J56" s="45"/>
      <c r="K56" s="45"/>
      <c r="L56" s="16"/>
      <c r="M56" s="16"/>
      <c r="N56" s="16"/>
      <c r="O56" s="16"/>
      <c r="P56" s="16"/>
      <c r="Q56" s="16"/>
      <c r="R56" s="16"/>
      <c r="S56" s="75"/>
      <c r="T56" s="12"/>
      <c r="U56" s="17"/>
      <c r="V56" s="12" t="s">
        <v>142</v>
      </c>
      <c r="W56" s="12"/>
      <c r="X56" s="12"/>
      <c r="Y56" s="18"/>
      <c r="Z56" s="19"/>
      <c r="AA56" s="19"/>
      <c r="AB56" s="19"/>
      <c r="AC56" s="19"/>
      <c r="AD56" s="19"/>
      <c r="AE56" s="19"/>
      <c r="AF56" s="19"/>
      <c r="AG56" s="19"/>
      <c r="AH56" s="19"/>
      <c r="AI56" s="19"/>
      <c r="AJ56" s="19"/>
      <c r="AK56" s="19"/>
      <c r="AL56" s="19"/>
      <c r="AM56" s="19"/>
      <c r="AN56" s="19"/>
      <c r="AO56" s="19"/>
      <c r="AP56" s="19"/>
      <c r="AQ56" s="19"/>
      <c r="AR56" s="19"/>
      <c r="AS56" s="19"/>
      <c r="AT56" s="19"/>
      <c r="AU56" s="12"/>
      <c r="AV56" s="12"/>
      <c r="AW56" s="12"/>
    </row>
    <row r="57" spans="1:49" x14ac:dyDescent="0.25">
      <c r="A57" s="12"/>
      <c r="B57" s="12"/>
      <c r="C57" s="12"/>
      <c r="D57" s="12"/>
      <c r="E57" s="12"/>
      <c r="F57" s="12"/>
      <c r="G57" s="12"/>
      <c r="H57" s="12"/>
      <c r="I57" s="15"/>
      <c r="J57" s="15"/>
      <c r="K57" s="15"/>
      <c r="L57" s="12"/>
      <c r="M57" s="12"/>
      <c r="N57" s="12"/>
      <c r="O57" s="12"/>
      <c r="P57" s="12"/>
      <c r="Q57" s="12"/>
      <c r="R57" s="12"/>
      <c r="S57" s="75"/>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row>
    <row r="58" spans="1:49" x14ac:dyDescent="0.25">
      <c r="A58" s="12"/>
      <c r="B58" s="12" t="s">
        <v>143</v>
      </c>
      <c r="C58" s="12"/>
      <c r="D58" s="12"/>
      <c r="E58" s="12"/>
      <c r="F58" s="12"/>
      <c r="G58" s="12"/>
      <c r="H58" s="12"/>
      <c r="I58" s="15"/>
      <c r="J58" s="15"/>
      <c r="K58" s="15"/>
      <c r="L58" s="12"/>
      <c r="M58" s="12"/>
      <c r="N58" s="12"/>
      <c r="O58" s="12"/>
      <c r="P58" s="12"/>
      <c r="Q58" s="12"/>
      <c r="R58" s="12"/>
      <c r="S58" s="75"/>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row>
    <row r="59" spans="1:49" x14ac:dyDescent="0.25">
      <c r="A59" s="12"/>
      <c r="B59" s="109" t="s">
        <v>144</v>
      </c>
      <c r="C59" s="12"/>
      <c r="D59" s="12"/>
      <c r="E59" s="12"/>
      <c r="F59" s="12"/>
      <c r="G59" s="12"/>
      <c r="H59" s="12"/>
      <c r="I59" s="15"/>
      <c r="J59" s="15"/>
      <c r="K59" s="15"/>
      <c r="L59" s="12"/>
      <c r="M59" s="12"/>
      <c r="N59" s="12"/>
      <c r="O59" s="12"/>
      <c r="P59" s="12"/>
      <c r="Q59" s="12"/>
      <c r="R59" s="12"/>
      <c r="S59" s="75"/>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row>
    <row r="60" spans="1:49" x14ac:dyDescent="0.25">
      <c r="A60" s="12"/>
      <c r="B60" s="109" t="s">
        <v>145</v>
      </c>
      <c r="C60" s="12"/>
      <c r="D60" s="12"/>
      <c r="E60" s="12"/>
      <c r="F60" s="12"/>
      <c r="G60" s="12"/>
      <c r="H60" s="12"/>
      <c r="I60" s="15"/>
      <c r="J60" s="15"/>
      <c r="K60" s="15"/>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row>
    <row r="61" spans="1:49" x14ac:dyDescent="0.25">
      <c r="A61" s="12"/>
      <c r="B61" s="12"/>
      <c r="C61" s="12"/>
      <c r="D61" s="12"/>
      <c r="E61" s="12"/>
      <c r="F61" s="12"/>
      <c r="G61" s="12"/>
      <c r="H61" s="12"/>
      <c r="I61" s="15"/>
      <c r="J61" s="15"/>
      <c r="K61" s="15"/>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row>
    <row r="62" spans="1:49" x14ac:dyDescent="0.25">
      <c r="A62" s="12"/>
      <c r="B62" s="12"/>
      <c r="C62" s="12"/>
      <c r="D62" s="12"/>
      <c r="E62" s="12"/>
      <c r="F62" s="12"/>
      <c r="G62" s="12"/>
      <c r="H62" s="12"/>
      <c r="I62" s="15"/>
      <c r="J62" s="15"/>
      <c r="K62" s="15"/>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row>
    <row r="63" spans="1:49" x14ac:dyDescent="0.25">
      <c r="A63" s="12"/>
      <c r="B63" s="12"/>
      <c r="C63" s="12"/>
      <c r="D63" s="12"/>
      <c r="E63" s="12"/>
      <c r="F63" s="12"/>
      <c r="G63" s="12"/>
      <c r="H63" s="12"/>
      <c r="I63" s="15"/>
      <c r="J63" s="15"/>
      <c r="K63" s="15"/>
      <c r="L63" s="12"/>
      <c r="M63" s="12"/>
      <c r="N63" s="12"/>
      <c r="O63" s="12"/>
      <c r="P63" s="12"/>
      <c r="Q63" s="12"/>
      <c r="R63" s="12"/>
      <c r="S63" s="75"/>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row>
  </sheetData>
  <mergeCells count="3">
    <mergeCell ref="D1:G1"/>
    <mergeCell ref="I1:L1"/>
    <mergeCell ref="N1:Q1"/>
  </mergeCells>
  <hyperlinks>
    <hyperlink ref="B59" r:id="rId1" xr:uid="{95AD97C1-7CE2-40A0-A14D-9F7352151137}"/>
    <hyperlink ref="B60" r:id="rId2" xr:uid="{17C1764D-1F8E-4E13-BBAB-4B968850FC79}"/>
    <hyperlink ref="B17" r:id="rId3" display="kg CH4/head/yr (EPA) Was hyperlinked" xr:uid="{B31DDA5C-4144-4B8D-B196-42DD436C833E}"/>
    <hyperlink ref="B24" r:id="rId4" display="animal liveweight (kg/head) was hyperlinked" xr:uid="{2D14D882-0FB9-4AB9-AE18-4B0C793ADCC2}"/>
    <hyperlink ref="B25" r:id="rId5" xr:uid="{A5EB13B7-5E45-43D1-BC68-984FA384A083}"/>
    <hyperlink ref="B26" r:id="rId6" xr:uid="{990C04AF-DEA5-4EF3-A169-2D2C3F146DF3}"/>
    <hyperlink ref="B38" r:id="rId7" xr:uid="{B8599A48-9D35-42A5-A56A-C2626F056C69}"/>
  </hyperlinks>
  <pageMargins left="0.7" right="0.7" top="0.75" bottom="0.75" header="0.3" footer="0.3"/>
  <legacy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2"/>
  <sheetViews>
    <sheetView topLeftCell="O1" workbookViewId="0">
      <selection activeCell="V45" activeCellId="5" sqref="U4:U7 U9:U11 U13:U22 U26:U38 U40:U41 V45:V50"/>
    </sheetView>
  </sheetViews>
  <sheetFormatPr defaultRowHeight="15" x14ac:dyDescent="0.25"/>
  <cols>
    <col min="2" max="2" width="47.85546875" customWidth="1"/>
    <col min="3" max="3" width="2.28515625" customWidth="1"/>
    <col min="7" max="7" width="2.28515625" customWidth="1"/>
    <col min="11" max="11" width="2.28515625" customWidth="1"/>
    <col min="15" max="15" width="2.28515625" customWidth="1"/>
    <col min="16" max="16" width="42.85546875" customWidth="1"/>
    <col min="18" max="18" width="2.28515625" customWidth="1"/>
    <col min="19" max="19" width="36.42578125" customWidth="1"/>
    <col min="20" max="20" width="18.140625" customWidth="1"/>
    <col min="21" max="21" width="18.28515625" customWidth="1"/>
    <col min="22" max="22" width="18.42578125" customWidth="1"/>
  </cols>
  <sheetData>
    <row r="1" spans="1:25" x14ac:dyDescent="0.25">
      <c r="A1" s="110"/>
      <c r="B1" s="12"/>
      <c r="C1" s="111"/>
      <c r="D1" s="112" t="s">
        <v>2</v>
      </c>
      <c r="E1" s="112"/>
      <c r="F1" s="112"/>
      <c r="G1" s="111"/>
      <c r="H1" s="113" t="s">
        <v>3</v>
      </c>
      <c r="I1" s="113"/>
      <c r="J1" s="113"/>
      <c r="K1" s="111"/>
      <c r="L1" s="112" t="s">
        <v>4</v>
      </c>
      <c r="M1" s="112"/>
      <c r="N1" s="112"/>
      <c r="O1" s="111"/>
      <c r="P1" s="12"/>
      <c r="Q1" s="12"/>
      <c r="R1" s="111"/>
      <c r="S1" s="33" t="s">
        <v>13</v>
      </c>
      <c r="T1" s="22"/>
      <c r="U1" s="22"/>
      <c r="V1" s="12"/>
      <c r="W1" s="110"/>
      <c r="X1" s="110"/>
      <c r="Y1" s="110"/>
    </row>
    <row r="2" spans="1:25" x14ac:dyDescent="0.25">
      <c r="A2" s="12"/>
      <c r="B2" s="13" t="s">
        <v>148</v>
      </c>
      <c r="C2" s="16"/>
      <c r="D2" s="13"/>
      <c r="E2" s="13"/>
      <c r="F2" s="13"/>
      <c r="G2" s="16"/>
      <c r="H2" s="15"/>
      <c r="I2" s="15"/>
      <c r="J2" s="12"/>
      <c r="K2" s="16"/>
      <c r="L2" s="12"/>
      <c r="M2" s="12"/>
      <c r="N2" s="12"/>
      <c r="O2" s="16"/>
      <c r="P2" s="13" t="s">
        <v>10</v>
      </c>
      <c r="Q2" s="12"/>
      <c r="R2" s="16"/>
      <c r="S2" s="33" t="s">
        <v>149</v>
      </c>
      <c r="T2" s="33"/>
      <c r="U2" s="114"/>
      <c r="V2" s="12"/>
      <c r="W2" s="12"/>
      <c r="X2" s="12"/>
      <c r="Y2" s="12"/>
    </row>
    <row r="3" spans="1:25" x14ac:dyDescent="0.25">
      <c r="A3" s="22"/>
      <c r="B3" s="22" t="s">
        <v>7</v>
      </c>
      <c r="C3" s="16"/>
      <c r="D3" s="12"/>
      <c r="E3" s="12"/>
      <c r="F3" s="115">
        <f>F26</f>
        <v>0</v>
      </c>
      <c r="G3" s="16"/>
      <c r="H3" s="12"/>
      <c r="I3" s="12"/>
      <c r="J3" s="115">
        <f>J26</f>
        <v>0</v>
      </c>
      <c r="K3" s="16"/>
      <c r="L3" s="12"/>
      <c r="M3" s="12"/>
      <c r="N3" s="115">
        <f>N26</f>
        <v>0</v>
      </c>
      <c r="O3" s="16"/>
      <c r="P3" s="12" t="s">
        <v>12</v>
      </c>
      <c r="Q3" s="116">
        <f>[1]Dairy!T7</f>
        <v>28</v>
      </c>
      <c r="R3" s="16"/>
      <c r="S3" s="13" t="s">
        <v>18</v>
      </c>
      <c r="T3" s="12"/>
      <c r="U3" s="13" t="s">
        <v>19</v>
      </c>
      <c r="V3" s="12"/>
      <c r="W3" s="12"/>
      <c r="X3" s="12"/>
      <c r="Y3" s="12"/>
    </row>
    <row r="4" spans="1:25" x14ac:dyDescent="0.25">
      <c r="A4" s="24"/>
      <c r="B4" s="24" t="s">
        <v>8</v>
      </c>
      <c r="C4" s="16"/>
      <c r="D4" s="12"/>
      <c r="E4" s="12"/>
      <c r="F4" s="117">
        <f>F37</f>
        <v>0</v>
      </c>
      <c r="G4" s="16"/>
      <c r="H4" s="12"/>
      <c r="I4" s="12"/>
      <c r="J4" s="117">
        <f>J37</f>
        <v>0</v>
      </c>
      <c r="K4" s="16"/>
      <c r="L4" s="12"/>
      <c r="M4" s="12"/>
      <c r="N4" s="117">
        <f>N37</f>
        <v>0</v>
      </c>
      <c r="O4" s="16"/>
      <c r="P4" s="12" t="s">
        <v>15</v>
      </c>
      <c r="Q4" s="116">
        <f>[1]Dairy!T8</f>
        <v>265</v>
      </c>
      <c r="R4" s="16"/>
      <c r="S4" s="12" t="s">
        <v>24</v>
      </c>
      <c r="T4" s="37">
        <v>0.2</v>
      </c>
      <c r="U4" s="202" t="s">
        <v>25</v>
      </c>
      <c r="V4" s="39"/>
      <c r="W4" s="12"/>
      <c r="X4" s="12"/>
      <c r="Y4" s="12"/>
    </row>
    <row r="5" spans="1:25" x14ac:dyDescent="0.25">
      <c r="A5" s="26"/>
      <c r="B5" s="26" t="s">
        <v>9</v>
      </c>
      <c r="C5" s="16"/>
      <c r="D5" s="12"/>
      <c r="E5" s="12"/>
      <c r="F5" s="118">
        <f>F48</f>
        <v>0</v>
      </c>
      <c r="G5" s="16"/>
      <c r="H5" s="12"/>
      <c r="I5" s="12"/>
      <c r="J5" s="118">
        <f>J48</f>
        <v>0</v>
      </c>
      <c r="K5" s="16"/>
      <c r="L5" s="12"/>
      <c r="M5" s="12"/>
      <c r="N5" s="118">
        <f>N48</f>
        <v>0</v>
      </c>
      <c r="O5" s="16"/>
      <c r="P5" s="34" t="str">
        <f>[1]Dairy!S9</f>
        <v>GWP Source: International Panel on Climate Change Fifth Assessment Report.</v>
      </c>
      <c r="Q5" s="12"/>
      <c r="R5" s="16"/>
      <c r="S5" s="12" t="s">
        <v>27</v>
      </c>
      <c r="T5" s="42">
        <v>0.24</v>
      </c>
      <c r="U5" s="202" t="s">
        <v>28</v>
      </c>
      <c r="V5" s="39"/>
      <c r="W5" s="39"/>
      <c r="X5" s="39"/>
      <c r="Y5" s="39"/>
    </row>
    <row r="6" spans="1:25" ht="15.75" thickBot="1" x14ac:dyDescent="0.3">
      <c r="A6" s="12"/>
      <c r="B6" s="12"/>
      <c r="C6" s="16"/>
      <c r="D6" s="12"/>
      <c r="E6" s="12"/>
      <c r="F6" s="15"/>
      <c r="G6" s="16"/>
      <c r="H6" s="12"/>
      <c r="I6" s="12"/>
      <c r="J6" s="15"/>
      <c r="K6" s="16"/>
      <c r="L6" s="12"/>
      <c r="M6" s="12"/>
      <c r="N6" s="15"/>
      <c r="O6" s="16"/>
      <c r="P6" s="12"/>
      <c r="Q6" s="12"/>
      <c r="R6" s="16"/>
      <c r="S6" s="12" t="s">
        <v>30</v>
      </c>
      <c r="T6" s="42">
        <v>0.24</v>
      </c>
      <c r="U6" s="202" t="s">
        <v>31</v>
      </c>
      <c r="V6" s="12"/>
      <c r="W6" s="39"/>
      <c r="X6" s="39"/>
      <c r="Y6" s="39"/>
    </row>
    <row r="7" spans="1:25" ht="15.75" thickBot="1" x14ac:dyDescent="0.3">
      <c r="A7" s="12"/>
      <c r="B7" s="13" t="s">
        <v>14</v>
      </c>
      <c r="C7" s="16"/>
      <c r="D7" s="13"/>
      <c r="E7" s="13"/>
      <c r="F7" s="31">
        <f>SUM(F3:F5)</f>
        <v>0</v>
      </c>
      <c r="G7" s="16"/>
      <c r="H7" s="12"/>
      <c r="I7" s="12"/>
      <c r="J7" s="31">
        <f>SUM(J3:J5)</f>
        <v>0</v>
      </c>
      <c r="K7" s="16"/>
      <c r="L7" s="12"/>
      <c r="M7" s="12"/>
      <c r="N7" s="31">
        <f>SUM(N3:N5)</f>
        <v>0</v>
      </c>
      <c r="O7" s="16"/>
      <c r="P7" s="12"/>
      <c r="Q7" s="12"/>
      <c r="R7" s="16"/>
      <c r="S7" s="12" t="s">
        <v>33</v>
      </c>
      <c r="T7" s="42">
        <v>0.24</v>
      </c>
      <c r="U7" s="202" t="s">
        <v>31</v>
      </c>
      <c r="V7" s="12"/>
      <c r="W7" s="12"/>
      <c r="X7" s="12"/>
      <c r="Y7" s="12"/>
    </row>
    <row r="8" spans="1:25" x14ac:dyDescent="0.25">
      <c r="A8" s="16"/>
      <c r="B8" s="18"/>
      <c r="C8" s="16"/>
      <c r="D8" s="18"/>
      <c r="E8" s="18"/>
      <c r="F8" s="18"/>
      <c r="G8" s="16"/>
      <c r="H8" s="119"/>
      <c r="I8" s="119"/>
      <c r="J8" s="18"/>
      <c r="K8" s="16"/>
      <c r="L8" s="18"/>
      <c r="M8" s="18"/>
      <c r="N8" s="18"/>
      <c r="O8" s="16"/>
      <c r="P8" s="12"/>
      <c r="Q8" s="12"/>
      <c r="R8" s="16"/>
      <c r="S8" s="13" t="s">
        <v>150</v>
      </c>
      <c r="T8" s="13"/>
      <c r="U8" s="120"/>
      <c r="V8" s="12"/>
      <c r="W8" s="12"/>
      <c r="X8" s="12"/>
      <c r="Y8" s="12"/>
    </row>
    <row r="9" spans="1:25" ht="15.75" thickBot="1" x14ac:dyDescent="0.3">
      <c r="A9" s="12"/>
      <c r="B9" s="12"/>
      <c r="C9" s="16"/>
      <c r="D9" s="35" t="s">
        <v>151</v>
      </c>
      <c r="E9" s="35" t="s">
        <v>152</v>
      </c>
      <c r="F9" s="35" t="s">
        <v>23</v>
      </c>
      <c r="G9" s="16"/>
      <c r="H9" s="35" t="str">
        <f>D9</f>
        <v>Pullets</v>
      </c>
      <c r="I9" s="35" t="str">
        <f>E9</f>
        <v>Layers</v>
      </c>
      <c r="J9" s="35" t="s">
        <v>23</v>
      </c>
      <c r="K9" s="16"/>
      <c r="L9" s="35" t="str">
        <f>D9</f>
        <v>Pullets</v>
      </c>
      <c r="M9" s="35" t="str">
        <f>E9</f>
        <v>Layers</v>
      </c>
      <c r="N9" s="35" t="s">
        <v>23</v>
      </c>
      <c r="O9" s="16"/>
      <c r="P9" s="12"/>
      <c r="Q9" s="12"/>
      <c r="R9" s="16"/>
      <c r="S9" s="12" t="s">
        <v>34</v>
      </c>
      <c r="T9" s="121">
        <v>0.68</v>
      </c>
      <c r="U9" s="202" t="s">
        <v>31</v>
      </c>
      <c r="V9" s="39"/>
      <c r="W9" s="12"/>
      <c r="X9" s="12"/>
      <c r="Y9" s="12"/>
    </row>
    <row r="10" spans="1:25" ht="15.75" thickBot="1" x14ac:dyDescent="0.3">
      <c r="A10" s="12" t="s">
        <v>38</v>
      </c>
      <c r="B10" s="40" t="s">
        <v>26</v>
      </c>
      <c r="C10" s="16"/>
      <c r="D10" s="3"/>
      <c r="E10" s="3"/>
      <c r="F10" s="28">
        <f>D10+E10</f>
        <v>0</v>
      </c>
      <c r="G10" s="16"/>
      <c r="H10" s="3"/>
      <c r="I10" s="3"/>
      <c r="J10" s="28">
        <f>H10+I10</f>
        <v>0</v>
      </c>
      <c r="K10" s="16"/>
      <c r="L10" s="28">
        <f>D10+H10</f>
        <v>0</v>
      </c>
      <c r="M10" s="28">
        <f>E10+I10</f>
        <v>0</v>
      </c>
      <c r="N10" s="28">
        <f>L10+M10</f>
        <v>0</v>
      </c>
      <c r="O10" s="16"/>
      <c r="P10" s="12"/>
      <c r="Q10" s="12"/>
      <c r="R10" s="16"/>
      <c r="S10" s="12" t="s">
        <v>153</v>
      </c>
      <c r="T10" s="122">
        <v>1.4999999999999999E-2</v>
      </c>
      <c r="U10" s="202" t="s">
        <v>25</v>
      </c>
      <c r="V10" s="12"/>
      <c r="W10" s="39"/>
      <c r="X10" s="39"/>
      <c r="Y10" s="39"/>
    </row>
    <row r="11" spans="1:25" x14ac:dyDescent="0.25">
      <c r="A11" s="28"/>
      <c r="B11" s="12" t="s">
        <v>29</v>
      </c>
      <c r="C11" s="41"/>
      <c r="D11" s="12">
        <v>3.0000000000000001E-3</v>
      </c>
      <c r="E11" s="12">
        <v>3.0000000000000001E-3</v>
      </c>
      <c r="F11" s="28"/>
      <c r="G11" s="41"/>
      <c r="H11" s="92">
        <f>D11</f>
        <v>3.0000000000000001E-3</v>
      </c>
      <c r="I11" s="92">
        <f>E11</f>
        <v>3.0000000000000001E-3</v>
      </c>
      <c r="J11" s="44"/>
      <c r="K11" s="41"/>
      <c r="L11" s="92">
        <f>D11</f>
        <v>3.0000000000000001E-3</v>
      </c>
      <c r="M11" s="92">
        <f>E11</f>
        <v>3.0000000000000001E-3</v>
      </c>
      <c r="N11" s="44"/>
      <c r="O11" s="41"/>
      <c r="P11" s="12"/>
      <c r="Q11" s="12"/>
      <c r="R11" s="41"/>
      <c r="S11" s="12" t="s">
        <v>154</v>
      </c>
      <c r="T11" s="122">
        <v>1.4999999999999999E-2</v>
      </c>
      <c r="U11" s="202" t="s">
        <v>25</v>
      </c>
      <c r="V11" s="12"/>
      <c r="W11" s="12"/>
      <c r="X11" s="12"/>
      <c r="Y11" s="12"/>
    </row>
    <row r="12" spans="1:25" x14ac:dyDescent="0.25">
      <c r="A12" s="12" t="s">
        <v>41</v>
      </c>
      <c r="B12" s="12" t="s">
        <v>32</v>
      </c>
      <c r="C12" s="16"/>
      <c r="D12" s="12">
        <f t="shared" ref="D12:E12" si="0">D10*D11</f>
        <v>0</v>
      </c>
      <c r="E12" s="12">
        <f t="shared" si="0"/>
        <v>0</v>
      </c>
      <c r="F12" s="28">
        <f t="shared" ref="F12" si="1">D12+E12</f>
        <v>0</v>
      </c>
      <c r="G12" s="16"/>
      <c r="H12" s="12">
        <f>H10*H11</f>
        <v>0</v>
      </c>
      <c r="I12" s="12">
        <f>I10*I11</f>
        <v>0</v>
      </c>
      <c r="J12" s="28">
        <f>H12+I12</f>
        <v>0</v>
      </c>
      <c r="K12" s="16"/>
      <c r="L12" s="12">
        <f>L10*L11</f>
        <v>0</v>
      </c>
      <c r="M12" s="12">
        <f t="shared" ref="M12" si="2">M10*M11</f>
        <v>0</v>
      </c>
      <c r="N12" s="28">
        <f>L12+M12</f>
        <v>0</v>
      </c>
      <c r="O12" s="16"/>
      <c r="P12" s="12"/>
      <c r="Q12" s="12"/>
      <c r="R12" s="16"/>
      <c r="S12" s="13" t="s">
        <v>37</v>
      </c>
      <c r="T12" s="54"/>
      <c r="U12" s="12"/>
      <c r="V12" s="13"/>
      <c r="W12" s="12"/>
      <c r="X12" s="12"/>
      <c r="Y12" s="12"/>
    </row>
    <row r="13" spans="1:25" x14ac:dyDescent="0.25">
      <c r="A13" s="12"/>
      <c r="B13" s="12"/>
      <c r="C13" s="16"/>
      <c r="D13" s="12"/>
      <c r="E13" s="12"/>
      <c r="F13" s="12"/>
      <c r="G13" s="16"/>
      <c r="H13" s="15"/>
      <c r="I13" s="15"/>
      <c r="J13" s="12"/>
      <c r="K13" s="16"/>
      <c r="L13" s="12"/>
      <c r="M13" s="12"/>
      <c r="N13" s="12"/>
      <c r="O13" s="16"/>
      <c r="P13" s="12"/>
      <c r="Q13" s="12"/>
      <c r="R13" s="16"/>
      <c r="S13" s="12" t="s">
        <v>40</v>
      </c>
      <c r="T13" s="42">
        <v>0</v>
      </c>
      <c r="U13" s="202" t="s">
        <v>25</v>
      </c>
      <c r="V13" s="12"/>
      <c r="W13" s="13"/>
      <c r="X13" s="13"/>
      <c r="Y13" s="13"/>
    </row>
    <row r="14" spans="1:25" x14ac:dyDescent="0.25">
      <c r="A14" s="16"/>
      <c r="B14" s="17"/>
      <c r="C14" s="16"/>
      <c r="D14" s="17"/>
      <c r="E14" s="17"/>
      <c r="F14" s="17"/>
      <c r="G14" s="16"/>
      <c r="H14" s="17"/>
      <c r="I14" s="17"/>
      <c r="J14" s="17"/>
      <c r="K14" s="16"/>
      <c r="L14" s="17"/>
      <c r="M14" s="17"/>
      <c r="N14" s="17"/>
      <c r="O14" s="16"/>
      <c r="P14" s="123"/>
      <c r="Q14" s="17"/>
      <c r="R14" s="16"/>
      <c r="S14" s="12" t="s">
        <v>24</v>
      </c>
      <c r="T14" s="37">
        <v>0.2</v>
      </c>
      <c r="U14" s="202" t="s">
        <v>25</v>
      </c>
      <c r="V14" s="12"/>
      <c r="W14" s="12"/>
      <c r="X14" s="12"/>
      <c r="Y14" s="12"/>
    </row>
    <row r="15" spans="1:25" x14ac:dyDescent="0.25">
      <c r="A15" s="22"/>
      <c r="B15" s="33" t="s">
        <v>155</v>
      </c>
      <c r="C15" s="16"/>
      <c r="D15" s="66" t="s">
        <v>151</v>
      </c>
      <c r="E15" s="66" t="s">
        <v>152</v>
      </c>
      <c r="F15" s="66" t="s">
        <v>23</v>
      </c>
      <c r="G15" s="16"/>
      <c r="H15" s="66" t="s">
        <v>151</v>
      </c>
      <c r="I15" s="66" t="s">
        <v>152</v>
      </c>
      <c r="J15" s="66" t="s">
        <v>23</v>
      </c>
      <c r="K15" s="16"/>
      <c r="L15" s="66" t="s">
        <v>151</v>
      </c>
      <c r="M15" s="66" t="s">
        <v>152</v>
      </c>
      <c r="N15" s="66" t="s">
        <v>23</v>
      </c>
      <c r="O15" s="16"/>
      <c r="P15" s="35" t="s">
        <v>36</v>
      </c>
      <c r="Q15" s="12"/>
      <c r="R15" s="16"/>
      <c r="S15" s="12" t="s">
        <v>47</v>
      </c>
      <c r="T15" s="42">
        <v>0.01</v>
      </c>
      <c r="U15" s="202" t="s">
        <v>25</v>
      </c>
      <c r="V15" s="12"/>
      <c r="W15" s="12"/>
      <c r="X15" s="12"/>
      <c r="Y15" s="12"/>
    </row>
    <row r="16" spans="1:25" x14ac:dyDescent="0.25">
      <c r="A16" s="12" t="s">
        <v>55</v>
      </c>
      <c r="B16" s="12" t="s">
        <v>56</v>
      </c>
      <c r="C16" s="16"/>
      <c r="D16" s="47">
        <f>D10</f>
        <v>0</v>
      </c>
      <c r="E16" s="47">
        <f>E10</f>
        <v>0</v>
      </c>
      <c r="F16" s="12"/>
      <c r="G16" s="16"/>
      <c r="H16" s="47">
        <f>H10</f>
        <v>0</v>
      </c>
      <c r="I16" s="47">
        <f>I10</f>
        <v>0</v>
      </c>
      <c r="J16" s="12"/>
      <c r="K16" s="16"/>
      <c r="L16" s="47">
        <f>L10</f>
        <v>0</v>
      </c>
      <c r="M16" s="47">
        <f>M10</f>
        <v>0</v>
      </c>
      <c r="N16" s="12"/>
      <c r="O16" s="16"/>
      <c r="P16" s="124"/>
      <c r="Q16" s="12"/>
      <c r="R16" s="16"/>
      <c r="S16" s="12" t="s">
        <v>49</v>
      </c>
      <c r="T16" s="42">
        <v>0.02</v>
      </c>
      <c r="U16" s="202" t="s">
        <v>25</v>
      </c>
      <c r="V16" s="12"/>
      <c r="W16" s="12"/>
      <c r="X16" s="12"/>
      <c r="Y16" s="12"/>
    </row>
    <row r="17" spans="1:25" x14ac:dyDescent="0.25">
      <c r="A17" s="12" t="s">
        <v>58</v>
      </c>
      <c r="B17" s="12" t="s">
        <v>59</v>
      </c>
      <c r="C17" s="16"/>
      <c r="D17" s="12">
        <v>1.8</v>
      </c>
      <c r="E17" s="12">
        <v>1.8</v>
      </c>
      <c r="F17" s="12"/>
      <c r="G17" s="16"/>
      <c r="H17" s="12">
        <f t="shared" ref="H17:I20" si="3">D17</f>
        <v>1.8</v>
      </c>
      <c r="I17" s="12">
        <f t="shared" si="3"/>
        <v>1.8</v>
      </c>
      <c r="J17" s="12"/>
      <c r="K17" s="16"/>
      <c r="L17" s="12">
        <f t="shared" ref="L17:M19" si="4">D17</f>
        <v>1.8</v>
      </c>
      <c r="M17" s="12">
        <f t="shared" si="4"/>
        <v>1.8</v>
      </c>
      <c r="N17" s="12"/>
      <c r="O17" s="16"/>
      <c r="P17" s="201" t="s">
        <v>156</v>
      </c>
      <c r="Q17" s="12"/>
      <c r="R17" s="16"/>
      <c r="S17" s="12" t="s">
        <v>132</v>
      </c>
      <c r="T17" s="42">
        <v>1E-3</v>
      </c>
      <c r="U17" s="202" t="s">
        <v>25</v>
      </c>
      <c r="V17" s="12"/>
      <c r="W17" s="12"/>
      <c r="X17" s="12"/>
      <c r="Y17" s="12"/>
    </row>
    <row r="18" spans="1:25" x14ac:dyDescent="0.25">
      <c r="A18" s="12" t="s">
        <v>62</v>
      </c>
      <c r="B18" s="12" t="s">
        <v>63</v>
      </c>
      <c r="C18" s="16"/>
      <c r="D18" s="48">
        <f>(10.2*365)/1000</f>
        <v>3.7229999999999994</v>
      </c>
      <c r="E18" s="48">
        <f>(10.2*365)/1000</f>
        <v>3.7229999999999994</v>
      </c>
      <c r="F18" s="12"/>
      <c r="G18" s="16"/>
      <c r="H18" s="48">
        <f t="shared" si="3"/>
        <v>3.7229999999999994</v>
      </c>
      <c r="I18" s="48">
        <f t="shared" si="3"/>
        <v>3.7229999999999994</v>
      </c>
      <c r="J18" s="48"/>
      <c r="K18" s="16"/>
      <c r="L18" s="48">
        <f t="shared" si="4"/>
        <v>3.7229999999999994</v>
      </c>
      <c r="M18" s="48">
        <f t="shared" si="4"/>
        <v>3.7229999999999994</v>
      </c>
      <c r="N18" s="12"/>
      <c r="O18" s="16"/>
      <c r="P18" s="201" t="s">
        <v>157</v>
      </c>
      <c r="Q18" s="12"/>
      <c r="R18" s="16"/>
      <c r="S18" s="12" t="s">
        <v>52</v>
      </c>
      <c r="T18" s="65">
        <v>4.7000000000000002E-3</v>
      </c>
      <c r="U18" s="202" t="s">
        <v>25</v>
      </c>
      <c r="V18" s="12"/>
      <c r="W18" s="12"/>
      <c r="X18" s="12"/>
      <c r="Y18" s="12"/>
    </row>
    <row r="19" spans="1:25" x14ac:dyDescent="0.25">
      <c r="A19" s="12" t="s">
        <v>66</v>
      </c>
      <c r="B19" s="12" t="s">
        <v>158</v>
      </c>
      <c r="C19" s="16"/>
      <c r="D19" s="12">
        <v>0.39</v>
      </c>
      <c r="E19" s="12">
        <v>0.39</v>
      </c>
      <c r="F19" s="12"/>
      <c r="G19" s="16"/>
      <c r="H19" s="12">
        <f t="shared" si="3"/>
        <v>0.39</v>
      </c>
      <c r="I19" s="12">
        <f t="shared" si="3"/>
        <v>0.39</v>
      </c>
      <c r="J19" s="12"/>
      <c r="K19" s="16"/>
      <c r="L19" s="12">
        <f t="shared" si="4"/>
        <v>0.39</v>
      </c>
      <c r="M19" s="12">
        <f t="shared" si="4"/>
        <v>0.39</v>
      </c>
      <c r="N19" s="12"/>
      <c r="O19" s="16"/>
      <c r="P19" s="201" t="s">
        <v>156</v>
      </c>
      <c r="Q19" s="12"/>
      <c r="R19" s="16"/>
      <c r="S19" s="12" t="s">
        <v>54</v>
      </c>
      <c r="T19" s="42">
        <v>5.0000000000000001E-3</v>
      </c>
      <c r="U19" s="202" t="s">
        <v>25</v>
      </c>
      <c r="V19" s="12"/>
      <c r="W19" s="12"/>
      <c r="X19" s="12"/>
      <c r="Y19" s="12"/>
    </row>
    <row r="20" spans="1:25" x14ac:dyDescent="0.25">
      <c r="A20" s="12" t="s">
        <v>70</v>
      </c>
      <c r="B20" s="12" t="s">
        <v>71</v>
      </c>
      <c r="C20" s="16"/>
      <c r="D20" s="12">
        <v>0.66200000000000003</v>
      </c>
      <c r="E20" s="12">
        <v>0.66200000000000003</v>
      </c>
      <c r="F20" s="12"/>
      <c r="G20" s="16"/>
      <c r="H20" s="12">
        <f t="shared" si="3"/>
        <v>0.66200000000000003</v>
      </c>
      <c r="I20" s="12">
        <f t="shared" si="3"/>
        <v>0.66200000000000003</v>
      </c>
      <c r="J20" s="12"/>
      <c r="K20" s="16"/>
      <c r="L20" s="12">
        <f>H20</f>
        <v>0.66200000000000003</v>
      </c>
      <c r="M20" s="12">
        <f>I20</f>
        <v>0.66200000000000003</v>
      </c>
      <c r="N20" s="12"/>
      <c r="O20" s="16"/>
      <c r="P20" s="75"/>
      <c r="Q20" s="12"/>
      <c r="R20" s="16"/>
      <c r="S20" s="12" t="s">
        <v>57</v>
      </c>
      <c r="T20" s="42">
        <v>0.01</v>
      </c>
      <c r="U20" s="202" t="s">
        <v>25</v>
      </c>
      <c r="V20" s="12"/>
      <c r="W20" s="12"/>
      <c r="X20" s="12"/>
      <c r="Y20" s="12"/>
    </row>
    <row r="21" spans="1:25" ht="15.75" thickBot="1" x14ac:dyDescent="0.3">
      <c r="A21" s="12" t="s">
        <v>74</v>
      </c>
      <c r="B21" s="12" t="s">
        <v>75</v>
      </c>
      <c r="C21" s="16"/>
      <c r="D21" s="28">
        <f>D16*D17*D18*D19*D20</f>
        <v>0</v>
      </c>
      <c r="E21" s="28">
        <f t="shared" ref="E21" si="5">E16*E17*E18*E19*E20</f>
        <v>0</v>
      </c>
      <c r="F21" s="12"/>
      <c r="G21" s="16"/>
      <c r="H21" s="28">
        <f>H16*H17*H18*H19*H20</f>
        <v>0</v>
      </c>
      <c r="I21" s="28">
        <f t="shared" ref="I21" si="6">I16*I17*I18*I19*I20</f>
        <v>0</v>
      </c>
      <c r="J21" s="12"/>
      <c r="K21" s="16"/>
      <c r="L21" s="28">
        <f>L16*L17*L18*L19*L20</f>
        <v>0</v>
      </c>
      <c r="M21" s="28">
        <f t="shared" ref="M21" si="7">M16*M17*M18*M19*M20</f>
        <v>0</v>
      </c>
      <c r="N21" s="12"/>
      <c r="O21" s="16"/>
      <c r="P21" s="75"/>
      <c r="Q21" s="12"/>
      <c r="R21" s="16"/>
      <c r="S21" s="12" t="s">
        <v>61</v>
      </c>
      <c r="T21" s="42">
        <v>0.01</v>
      </c>
      <c r="U21" s="202" t="s">
        <v>25</v>
      </c>
      <c r="V21" s="12"/>
      <c r="W21" s="12"/>
      <c r="X21" s="12"/>
      <c r="Y21" s="12"/>
    </row>
    <row r="22" spans="1:25" ht="15.75" thickBot="1" x14ac:dyDescent="0.3">
      <c r="A22" s="12" t="s">
        <v>77</v>
      </c>
      <c r="B22" s="64" t="s">
        <v>78</v>
      </c>
      <c r="C22" s="16"/>
      <c r="D22" s="77">
        <f>T6</f>
        <v>0.24</v>
      </c>
      <c r="E22" s="77">
        <f>T6</f>
        <v>0.24</v>
      </c>
      <c r="F22" s="12"/>
      <c r="G22" s="16"/>
      <c r="H22" s="77">
        <f>D22</f>
        <v>0.24</v>
      </c>
      <c r="I22" s="77">
        <f>E22</f>
        <v>0.24</v>
      </c>
      <c r="J22" s="12"/>
      <c r="K22" s="16"/>
      <c r="L22" s="125">
        <f>D22</f>
        <v>0.24</v>
      </c>
      <c r="M22" s="125">
        <f>E22</f>
        <v>0.24</v>
      </c>
      <c r="N22" s="12"/>
      <c r="O22" s="16"/>
      <c r="P22" s="201" t="s">
        <v>159</v>
      </c>
      <c r="Q22" s="12"/>
      <c r="R22" s="16"/>
      <c r="S22" s="12" t="s">
        <v>65</v>
      </c>
      <c r="T22" s="42">
        <v>5.0000000000000001E-3</v>
      </c>
      <c r="U22" s="202" t="s">
        <v>25</v>
      </c>
      <c r="V22" s="12"/>
      <c r="W22" s="12"/>
      <c r="X22" s="12"/>
      <c r="Y22" s="12"/>
    </row>
    <row r="23" spans="1:25" x14ac:dyDescent="0.25">
      <c r="A23" s="12" t="s">
        <v>79</v>
      </c>
      <c r="B23" s="12" t="s">
        <v>80</v>
      </c>
      <c r="C23" s="16"/>
      <c r="D23" s="15">
        <f>D21/1000*D22</f>
        <v>0</v>
      </c>
      <c r="E23" s="15">
        <f t="shared" ref="E23" si="8">E21/1000*E22</f>
        <v>0</v>
      </c>
      <c r="F23" s="12"/>
      <c r="G23" s="16"/>
      <c r="H23" s="15">
        <f>H21/1000*H22</f>
        <v>0</v>
      </c>
      <c r="I23" s="15">
        <f t="shared" ref="I23" si="9">I21/1000*I22</f>
        <v>0</v>
      </c>
      <c r="J23" s="12"/>
      <c r="K23" s="16"/>
      <c r="L23" s="15">
        <f>L21/1000*L22</f>
        <v>0</v>
      </c>
      <c r="M23" s="15">
        <f t="shared" ref="M23" si="10">M21/1000*M22</f>
        <v>0</v>
      </c>
      <c r="N23" s="12"/>
      <c r="O23" s="16"/>
      <c r="P23" s="75"/>
      <c r="Q23" s="12"/>
      <c r="R23" s="16"/>
      <c r="S23" s="74" t="s">
        <v>69</v>
      </c>
      <c r="T23" s="24"/>
      <c r="U23" s="126"/>
      <c r="V23" s="12"/>
      <c r="W23" s="12"/>
      <c r="X23" s="12"/>
      <c r="Y23" s="12"/>
    </row>
    <row r="24" spans="1:25" x14ac:dyDescent="0.25">
      <c r="A24" s="12" t="s">
        <v>82</v>
      </c>
      <c r="B24" s="12" t="s">
        <v>160</v>
      </c>
      <c r="C24" s="16"/>
      <c r="D24" s="60">
        <f>1000*2.2046/2000</f>
        <v>1.1023000000000001</v>
      </c>
      <c r="E24" s="60">
        <f t="shared" ref="E24" si="11">1000*2.2046/2000</f>
        <v>1.1023000000000001</v>
      </c>
      <c r="F24" s="12"/>
      <c r="G24" s="16"/>
      <c r="H24" s="79">
        <f>D24</f>
        <v>1.1023000000000001</v>
      </c>
      <c r="I24" s="79">
        <f>E24</f>
        <v>1.1023000000000001</v>
      </c>
      <c r="J24" s="12"/>
      <c r="K24" s="16"/>
      <c r="L24" s="79">
        <f>D24</f>
        <v>1.1023000000000001</v>
      </c>
      <c r="M24" s="79">
        <f>E24</f>
        <v>1.1023000000000001</v>
      </c>
      <c r="N24" s="12"/>
      <c r="O24" s="16"/>
      <c r="P24" s="75"/>
      <c r="Q24" s="12"/>
      <c r="R24" s="16"/>
      <c r="S24" s="74" t="s">
        <v>73</v>
      </c>
      <c r="T24" s="127"/>
      <c r="U24" s="128"/>
      <c r="V24" s="12"/>
      <c r="W24" s="54"/>
      <c r="X24" s="12"/>
      <c r="Y24" s="12"/>
    </row>
    <row r="25" spans="1:25" x14ac:dyDescent="0.25">
      <c r="A25" s="12" t="s">
        <v>85</v>
      </c>
      <c r="B25" s="12" t="s">
        <v>86</v>
      </c>
      <c r="C25" s="16"/>
      <c r="D25" s="15">
        <f>D23*D24</f>
        <v>0</v>
      </c>
      <c r="E25" s="15">
        <f t="shared" ref="E25" si="12">E23*E24</f>
        <v>0</v>
      </c>
      <c r="F25" s="49">
        <f>SUM(D25:E25)</f>
        <v>0</v>
      </c>
      <c r="G25" s="16"/>
      <c r="H25" s="15">
        <f>H23*H24</f>
        <v>0</v>
      </c>
      <c r="I25" s="15">
        <f t="shared" ref="I25" si="13">I23*I24</f>
        <v>0</v>
      </c>
      <c r="J25" s="49">
        <f>SUM(H25:I25)</f>
        <v>0</v>
      </c>
      <c r="K25" s="16"/>
      <c r="L25" s="15">
        <f>L23*L24</f>
        <v>0</v>
      </c>
      <c r="M25" s="15">
        <f t="shared" ref="M25" si="14">M23*M24</f>
        <v>0</v>
      </c>
      <c r="N25" s="49">
        <f>SUM(L25:M25)</f>
        <v>0</v>
      </c>
      <c r="O25" s="16"/>
      <c r="P25" s="75"/>
      <c r="Q25" s="12"/>
      <c r="R25" s="16"/>
      <c r="S25" s="13" t="s">
        <v>37</v>
      </c>
      <c r="T25" s="12"/>
      <c r="U25" s="129" t="s">
        <v>19</v>
      </c>
      <c r="V25" s="12"/>
      <c r="W25" s="130"/>
      <c r="X25" s="38"/>
      <c r="Y25" s="12"/>
    </row>
    <row r="26" spans="1:25" x14ac:dyDescent="0.25">
      <c r="A26" s="12" t="s">
        <v>88</v>
      </c>
      <c r="B26" s="12" t="s">
        <v>89</v>
      </c>
      <c r="C26" s="16"/>
      <c r="D26" s="67">
        <f>D25*Q3</f>
        <v>0</v>
      </c>
      <c r="E26" s="67">
        <f>E25*Q3</f>
        <v>0</v>
      </c>
      <c r="F26" s="67">
        <f>SUM(D26:E26)</f>
        <v>0</v>
      </c>
      <c r="G26" s="16"/>
      <c r="H26" s="67">
        <f>H25*Q3</f>
        <v>0</v>
      </c>
      <c r="I26" s="67">
        <f>I25*Q3</f>
        <v>0</v>
      </c>
      <c r="J26" s="67">
        <f>SUM(H26:I26)</f>
        <v>0</v>
      </c>
      <c r="K26" s="16"/>
      <c r="L26" s="67">
        <f>L25*Q3</f>
        <v>0</v>
      </c>
      <c r="M26" s="67">
        <f>M25*Q3</f>
        <v>0</v>
      </c>
      <c r="N26" s="67">
        <f>SUM(L26:M26)</f>
        <v>0</v>
      </c>
      <c r="O26" s="16"/>
      <c r="P26" s="75"/>
      <c r="Q26" s="12"/>
      <c r="R26" s="16"/>
      <c r="S26" s="12" t="s">
        <v>33</v>
      </c>
      <c r="T26" s="76">
        <v>5.0000000000000001E-3</v>
      </c>
      <c r="U26" s="202" t="s">
        <v>76</v>
      </c>
      <c r="V26" s="39"/>
      <c r="W26" s="54"/>
      <c r="X26" s="38"/>
      <c r="Y26" s="12"/>
    </row>
    <row r="27" spans="1:25" x14ac:dyDescent="0.25">
      <c r="A27" s="16"/>
      <c r="B27" s="17"/>
      <c r="C27" s="16"/>
      <c r="D27" s="17"/>
      <c r="E27" s="17" t="s">
        <v>11</v>
      </c>
      <c r="F27" s="17"/>
      <c r="G27" s="16"/>
      <c r="H27" s="17"/>
      <c r="I27" s="17"/>
      <c r="J27" s="17"/>
      <c r="K27" s="16"/>
      <c r="L27" s="17"/>
      <c r="M27" s="17"/>
      <c r="N27" s="17"/>
      <c r="O27" s="16"/>
      <c r="P27" s="75"/>
      <c r="Q27" s="12"/>
      <c r="R27" s="16"/>
      <c r="S27" s="12" t="s">
        <v>34</v>
      </c>
      <c r="T27" s="76">
        <v>0</v>
      </c>
      <c r="U27" s="202" t="s">
        <v>76</v>
      </c>
      <c r="V27" s="12"/>
      <c r="W27" s="130"/>
      <c r="X27" s="38"/>
      <c r="Y27" s="12"/>
    </row>
    <row r="28" spans="1:25" x14ac:dyDescent="0.25">
      <c r="A28" s="24"/>
      <c r="B28" s="74" t="s">
        <v>161</v>
      </c>
      <c r="C28" s="16"/>
      <c r="D28" s="81" t="s">
        <v>151</v>
      </c>
      <c r="E28" s="81" t="s">
        <v>152</v>
      </c>
      <c r="F28" s="81" t="s">
        <v>23</v>
      </c>
      <c r="G28" s="16"/>
      <c r="H28" s="81" t="s">
        <v>151</v>
      </c>
      <c r="I28" s="81" t="s">
        <v>152</v>
      </c>
      <c r="J28" s="81" t="s">
        <v>23</v>
      </c>
      <c r="K28" s="16"/>
      <c r="L28" s="81" t="s">
        <v>151</v>
      </c>
      <c r="M28" s="81" t="s">
        <v>152</v>
      </c>
      <c r="N28" s="81" t="s">
        <v>23</v>
      </c>
      <c r="O28" s="16"/>
      <c r="P28" s="75"/>
      <c r="Q28" s="12"/>
      <c r="R28" s="16"/>
      <c r="S28" s="12" t="s">
        <v>81</v>
      </c>
      <c r="T28" s="76">
        <v>0.01</v>
      </c>
      <c r="U28" s="202" t="s">
        <v>76</v>
      </c>
      <c r="V28" s="12"/>
      <c r="W28" s="130"/>
      <c r="X28" s="38"/>
      <c r="Y28" s="12"/>
    </row>
    <row r="29" spans="1:25" x14ac:dyDescent="0.25">
      <c r="A29" s="12" t="s">
        <v>92</v>
      </c>
      <c r="B29" s="12" t="s">
        <v>56</v>
      </c>
      <c r="C29" s="16"/>
      <c r="D29" s="47">
        <f>D10</f>
        <v>0</v>
      </c>
      <c r="E29" s="47">
        <f>E10</f>
        <v>0</v>
      </c>
      <c r="F29" s="12"/>
      <c r="G29" s="16"/>
      <c r="H29" s="47">
        <f>H10</f>
        <v>0</v>
      </c>
      <c r="I29" s="47">
        <f>I10</f>
        <v>0</v>
      </c>
      <c r="J29" s="12"/>
      <c r="K29" s="16"/>
      <c r="L29" s="47">
        <f>L10</f>
        <v>0</v>
      </c>
      <c r="M29" s="47">
        <f>M10</f>
        <v>0</v>
      </c>
      <c r="N29" s="12"/>
      <c r="O29" s="16"/>
      <c r="P29" s="75"/>
      <c r="Q29" s="12"/>
      <c r="R29" s="16"/>
      <c r="S29" s="12" t="s">
        <v>84</v>
      </c>
      <c r="T29" s="76">
        <v>5.0000000000000001E-3</v>
      </c>
      <c r="U29" s="202" t="s">
        <v>76</v>
      </c>
      <c r="V29" s="12"/>
      <c r="W29" s="130"/>
      <c r="X29" s="38"/>
      <c r="Y29" s="12"/>
    </row>
    <row r="30" spans="1:25" x14ac:dyDescent="0.25">
      <c r="A30" s="12" t="s">
        <v>93</v>
      </c>
      <c r="B30" s="12" t="s">
        <v>59</v>
      </c>
      <c r="C30" s="16"/>
      <c r="D30" s="12">
        <f>D17</f>
        <v>1.8</v>
      </c>
      <c r="E30" s="12">
        <f>E17</f>
        <v>1.8</v>
      </c>
      <c r="F30" s="12"/>
      <c r="G30" s="16"/>
      <c r="H30" s="12">
        <f>H17</f>
        <v>1.8</v>
      </c>
      <c r="I30" s="12">
        <f>I17</f>
        <v>1.8</v>
      </c>
      <c r="J30" s="12"/>
      <c r="K30" s="16"/>
      <c r="L30" s="12">
        <f>L17</f>
        <v>1.8</v>
      </c>
      <c r="M30" s="12">
        <f>M17</f>
        <v>1.8</v>
      </c>
      <c r="N30" s="12"/>
      <c r="O30" s="16"/>
      <c r="P30" s="201" t="s">
        <v>156</v>
      </c>
      <c r="Q30" s="12"/>
      <c r="R30" s="16"/>
      <c r="S30" s="12" t="s">
        <v>27</v>
      </c>
      <c r="T30" s="76">
        <v>2E-3</v>
      </c>
      <c r="U30" s="202" t="s">
        <v>87</v>
      </c>
      <c r="V30" s="12"/>
      <c r="W30" s="130"/>
      <c r="X30" s="38"/>
      <c r="Y30" s="12"/>
    </row>
    <row r="31" spans="1:25" ht="15.75" thickBot="1" x14ac:dyDescent="0.3">
      <c r="A31" s="12" t="s">
        <v>94</v>
      </c>
      <c r="B31" s="131" t="s">
        <v>95</v>
      </c>
      <c r="C31" s="16"/>
      <c r="D31" s="86">
        <f>(0.79*365)/1000</f>
        <v>0.28835</v>
      </c>
      <c r="E31" s="86">
        <f>(0.79*365)/1000</f>
        <v>0.28835</v>
      </c>
      <c r="F31" s="12"/>
      <c r="G31" s="16"/>
      <c r="H31" s="84">
        <f t="shared" ref="H31:I33" si="15">D31</f>
        <v>0.28835</v>
      </c>
      <c r="I31" s="84">
        <f t="shared" si="15"/>
        <v>0.28835</v>
      </c>
      <c r="J31" s="54"/>
      <c r="K31" s="16"/>
      <c r="L31" s="86">
        <f t="shared" ref="L31:M33" si="16">D31</f>
        <v>0.28835</v>
      </c>
      <c r="M31" s="86">
        <f t="shared" si="16"/>
        <v>0.28835</v>
      </c>
      <c r="N31" s="12"/>
      <c r="O31" s="16"/>
      <c r="P31" s="201" t="s">
        <v>162</v>
      </c>
      <c r="Q31" s="12"/>
      <c r="R31" s="16"/>
      <c r="S31" s="12" t="s">
        <v>47</v>
      </c>
      <c r="T31" s="80">
        <v>0.02</v>
      </c>
      <c r="U31" s="202" t="s">
        <v>76</v>
      </c>
      <c r="V31" s="12"/>
      <c r="W31" s="130"/>
      <c r="X31" s="38"/>
      <c r="Y31" s="12"/>
    </row>
    <row r="32" spans="1:25" ht="15.75" thickBot="1" x14ac:dyDescent="0.3">
      <c r="A32" s="12" t="s">
        <v>98</v>
      </c>
      <c r="B32" s="132" t="s">
        <v>99</v>
      </c>
      <c r="C32" s="16"/>
      <c r="D32" s="133">
        <f>T29</f>
        <v>5.0000000000000001E-3</v>
      </c>
      <c r="E32" s="133">
        <f>T29</f>
        <v>5.0000000000000001E-3</v>
      </c>
      <c r="F32" s="12"/>
      <c r="G32" s="16"/>
      <c r="H32" s="134">
        <f t="shared" si="15"/>
        <v>5.0000000000000001E-3</v>
      </c>
      <c r="I32" s="134">
        <f t="shared" si="15"/>
        <v>5.0000000000000001E-3</v>
      </c>
      <c r="J32" s="12"/>
      <c r="K32" s="16"/>
      <c r="L32" s="133">
        <f t="shared" si="16"/>
        <v>5.0000000000000001E-3</v>
      </c>
      <c r="M32" s="133">
        <f t="shared" si="16"/>
        <v>5.0000000000000001E-3</v>
      </c>
      <c r="N32" s="12"/>
      <c r="O32" s="16"/>
      <c r="P32" s="201" t="s">
        <v>163</v>
      </c>
      <c r="Q32" s="12"/>
      <c r="R32" s="16"/>
      <c r="S32" s="12" t="s">
        <v>49</v>
      </c>
      <c r="T32" s="80">
        <v>0.01</v>
      </c>
      <c r="U32" s="202" t="s">
        <v>76</v>
      </c>
      <c r="V32" s="39"/>
      <c r="W32" s="130"/>
      <c r="X32" s="38"/>
      <c r="Y32" s="12"/>
    </row>
    <row r="33" spans="1:25" x14ac:dyDescent="0.25">
      <c r="A33" s="12" t="s">
        <v>102</v>
      </c>
      <c r="B33" s="90" t="s">
        <v>103</v>
      </c>
      <c r="C33" s="16"/>
      <c r="D33" s="15">
        <v>1.5711338145316169</v>
      </c>
      <c r="E33" s="15">
        <v>1.5711338145316169</v>
      </c>
      <c r="F33" s="12"/>
      <c r="G33" s="16"/>
      <c r="H33" s="92">
        <f t="shared" si="15"/>
        <v>1.5711338145316169</v>
      </c>
      <c r="I33" s="92">
        <f t="shared" si="15"/>
        <v>1.5711338145316169</v>
      </c>
      <c r="J33" s="12"/>
      <c r="K33" s="16"/>
      <c r="L33" s="49">
        <f t="shared" si="16"/>
        <v>1.5711338145316169</v>
      </c>
      <c r="M33" s="49">
        <f t="shared" si="16"/>
        <v>1.5711338145316169</v>
      </c>
      <c r="N33" s="12"/>
      <c r="O33" s="16"/>
      <c r="P33" s="75"/>
      <c r="Q33" s="12"/>
      <c r="R33" s="16"/>
      <c r="S33" s="12" t="s">
        <v>91</v>
      </c>
      <c r="T33" s="80">
        <v>0</v>
      </c>
      <c r="U33" s="202" t="s">
        <v>76</v>
      </c>
      <c r="V33" s="12"/>
      <c r="W33" s="135"/>
      <c r="X33" s="38"/>
      <c r="Y33" s="12"/>
    </row>
    <row r="34" spans="1:25" x14ac:dyDescent="0.25">
      <c r="A34" s="12" t="s">
        <v>105</v>
      </c>
      <c r="B34" s="12" t="s">
        <v>106</v>
      </c>
      <c r="C34" s="16"/>
      <c r="D34" s="15">
        <f>D29*D30*D31*D32*D33/1000</f>
        <v>0</v>
      </c>
      <c r="E34" s="15">
        <f>E29*E30*E31*E32*E33/1000</f>
        <v>0</v>
      </c>
      <c r="F34" s="12"/>
      <c r="G34" s="16"/>
      <c r="H34" s="15">
        <f>H29*H30*H31*H32*H33/1000</f>
        <v>0</v>
      </c>
      <c r="I34" s="15">
        <f t="shared" ref="I34" si="17">I29*I30*I31*I32*I33/1000</f>
        <v>0</v>
      </c>
      <c r="J34" s="12"/>
      <c r="K34" s="16"/>
      <c r="L34" s="15">
        <f>L29*L30*L31*L32*L33/1000</f>
        <v>0</v>
      </c>
      <c r="M34" s="15">
        <f>M29*M30*M31*M32*M33/1000</f>
        <v>0</v>
      </c>
      <c r="N34" s="12"/>
      <c r="O34" s="16"/>
      <c r="P34" s="75"/>
      <c r="Q34" s="12"/>
      <c r="R34" s="16"/>
      <c r="S34" s="12" t="s">
        <v>52</v>
      </c>
      <c r="T34" s="80">
        <v>0</v>
      </c>
      <c r="U34" s="202" t="s">
        <v>76</v>
      </c>
      <c r="V34" s="12"/>
      <c r="W34" s="130"/>
      <c r="X34" s="38"/>
      <c r="Y34" s="12"/>
    </row>
    <row r="35" spans="1:25" x14ac:dyDescent="0.25">
      <c r="A35" s="12" t="s">
        <v>108</v>
      </c>
      <c r="B35" s="12" t="s">
        <v>160</v>
      </c>
      <c r="C35" s="16"/>
      <c r="D35" s="60">
        <f>1000*2.2046/2000</f>
        <v>1.1023000000000001</v>
      </c>
      <c r="E35" s="60">
        <f>1000*2.2046/2000</f>
        <v>1.1023000000000001</v>
      </c>
      <c r="F35" s="12"/>
      <c r="G35" s="16"/>
      <c r="H35" s="92">
        <f>D35</f>
        <v>1.1023000000000001</v>
      </c>
      <c r="I35" s="92">
        <f>E35</f>
        <v>1.1023000000000001</v>
      </c>
      <c r="J35" s="12"/>
      <c r="K35" s="16"/>
      <c r="L35" s="79">
        <f>D35</f>
        <v>1.1023000000000001</v>
      </c>
      <c r="M35" s="79">
        <f>E35</f>
        <v>1.1023000000000001</v>
      </c>
      <c r="N35" s="12"/>
      <c r="O35" s="16"/>
      <c r="P35" s="75"/>
      <c r="Q35" s="12"/>
      <c r="R35" s="16"/>
      <c r="S35" s="12" t="s">
        <v>54</v>
      </c>
      <c r="T35" s="80">
        <v>6.0000000000000001E-3</v>
      </c>
      <c r="U35" s="202" t="s">
        <v>76</v>
      </c>
      <c r="V35" s="12"/>
      <c r="W35" s="130"/>
      <c r="X35" s="38"/>
      <c r="Y35" s="12"/>
    </row>
    <row r="36" spans="1:25" x14ac:dyDescent="0.25">
      <c r="A36" s="12" t="s">
        <v>110</v>
      </c>
      <c r="B36" s="12" t="s">
        <v>111</v>
      </c>
      <c r="C36" s="16"/>
      <c r="D36" s="15">
        <f>D34*D35</f>
        <v>0</v>
      </c>
      <c r="E36" s="15">
        <f t="shared" ref="E36" si="18">E34*E35</f>
        <v>0</v>
      </c>
      <c r="F36" s="49">
        <f>SUM(D36:E36)</f>
        <v>0</v>
      </c>
      <c r="G36" s="16"/>
      <c r="H36" s="15">
        <f>H34*H35</f>
        <v>0</v>
      </c>
      <c r="I36" s="15">
        <f t="shared" ref="I36" si="19">I34*I35</f>
        <v>0</v>
      </c>
      <c r="J36" s="49">
        <f>SUM(H36:I36)</f>
        <v>0</v>
      </c>
      <c r="K36" s="16"/>
      <c r="L36" s="15">
        <f>L34*L35</f>
        <v>0</v>
      </c>
      <c r="M36" s="15">
        <f t="shared" ref="M36" si="20">M34*M35</f>
        <v>0</v>
      </c>
      <c r="N36" s="49">
        <f>SUM(L36:M36)</f>
        <v>0</v>
      </c>
      <c r="O36" s="16"/>
      <c r="P36" s="75"/>
      <c r="Q36" s="12"/>
      <c r="R36" s="16"/>
      <c r="S36" s="12" t="s">
        <v>97</v>
      </c>
      <c r="T36" s="80">
        <v>0.01</v>
      </c>
      <c r="U36" s="202" t="s">
        <v>76</v>
      </c>
      <c r="V36" s="39"/>
      <c r="W36" s="130"/>
      <c r="X36" s="38"/>
      <c r="Y36" s="12"/>
    </row>
    <row r="37" spans="1:25" x14ac:dyDescent="0.25">
      <c r="A37" s="12" t="s">
        <v>114</v>
      </c>
      <c r="B37" s="12" t="s">
        <v>89</v>
      </c>
      <c r="C37" s="16"/>
      <c r="D37" s="67">
        <f>D36*Q4</f>
        <v>0</v>
      </c>
      <c r="E37" s="67">
        <f>E36*Q4</f>
        <v>0</v>
      </c>
      <c r="F37" s="67">
        <f>SUM(D37:E37)</f>
        <v>0</v>
      </c>
      <c r="G37" s="16"/>
      <c r="H37" s="67">
        <f>H36*Q4</f>
        <v>0</v>
      </c>
      <c r="I37" s="67">
        <f>I36*Q4</f>
        <v>0</v>
      </c>
      <c r="J37" s="67">
        <f>SUM(H37:I37)</f>
        <v>0</v>
      </c>
      <c r="K37" s="16"/>
      <c r="L37" s="67">
        <f>L36*Q4</f>
        <v>0</v>
      </c>
      <c r="M37" s="67">
        <f>M36*Q4</f>
        <v>0</v>
      </c>
      <c r="N37" s="67">
        <f>SUM(L37:M37)</f>
        <v>0</v>
      </c>
      <c r="O37" s="16"/>
      <c r="P37" s="75"/>
      <c r="Q37" s="12"/>
      <c r="R37" s="16"/>
      <c r="S37" s="12" t="s">
        <v>101</v>
      </c>
      <c r="T37" s="80">
        <v>0.01</v>
      </c>
      <c r="U37" s="202" t="s">
        <v>76</v>
      </c>
      <c r="V37" s="12"/>
      <c r="W37" s="130"/>
      <c r="X37" s="38"/>
      <c r="Y37" s="12"/>
    </row>
    <row r="38" spans="1:25" x14ac:dyDescent="0.25">
      <c r="A38" s="16"/>
      <c r="B38" s="17"/>
      <c r="C38" s="16"/>
      <c r="D38" s="17"/>
      <c r="E38" s="17"/>
      <c r="F38" s="17"/>
      <c r="G38" s="16"/>
      <c r="H38" s="17"/>
      <c r="I38" s="17"/>
      <c r="J38" s="17"/>
      <c r="K38" s="16"/>
      <c r="L38" s="17"/>
      <c r="M38" s="17"/>
      <c r="N38" s="17"/>
      <c r="O38" s="16"/>
      <c r="P38" s="75"/>
      <c r="Q38" s="12"/>
      <c r="R38" s="16"/>
      <c r="S38" s="12" t="s">
        <v>104</v>
      </c>
      <c r="T38" s="80">
        <v>5.0000000000000001E-3</v>
      </c>
      <c r="U38" s="202" t="s">
        <v>76</v>
      </c>
      <c r="V38" s="39"/>
      <c r="W38" s="12"/>
      <c r="X38" s="12"/>
      <c r="Y38" s="12"/>
    </row>
    <row r="39" spans="1:25" x14ac:dyDescent="0.25">
      <c r="A39" s="26"/>
      <c r="B39" s="99" t="s">
        <v>164</v>
      </c>
      <c r="C39" s="16"/>
      <c r="D39" s="136" t="s">
        <v>151</v>
      </c>
      <c r="E39" s="136" t="s">
        <v>152</v>
      </c>
      <c r="F39" s="136" t="s">
        <v>23</v>
      </c>
      <c r="G39" s="16"/>
      <c r="H39" s="136" t="s">
        <v>151</v>
      </c>
      <c r="I39" s="136" t="s">
        <v>152</v>
      </c>
      <c r="J39" s="136" t="s">
        <v>23</v>
      </c>
      <c r="K39" s="16"/>
      <c r="L39" s="136" t="s">
        <v>151</v>
      </c>
      <c r="M39" s="136" t="s">
        <v>152</v>
      </c>
      <c r="N39" s="136" t="s">
        <v>23</v>
      </c>
      <c r="O39" s="16"/>
      <c r="P39" s="75"/>
      <c r="Q39" s="12"/>
      <c r="R39" s="16"/>
      <c r="S39" s="13" t="s">
        <v>150</v>
      </c>
      <c r="T39" s="13"/>
      <c r="U39" s="13"/>
      <c r="V39" s="12"/>
      <c r="W39" s="12"/>
      <c r="X39" s="12"/>
      <c r="Y39" s="12"/>
    </row>
    <row r="40" spans="1:25" ht="15.75" thickBot="1" x14ac:dyDescent="0.3">
      <c r="A40" s="12" t="s">
        <v>120</v>
      </c>
      <c r="B40" s="12" t="s">
        <v>165</v>
      </c>
      <c r="C40" s="16"/>
      <c r="D40" s="28">
        <f>(D29*D30*D31)-D34*1000/D33</f>
        <v>0</v>
      </c>
      <c r="E40" s="28">
        <f>(E29*E30*E31)-E34*1000/E33</f>
        <v>0</v>
      </c>
      <c r="F40" s="12"/>
      <c r="G40" s="16"/>
      <c r="H40" s="28">
        <f>(H29*H30*H31)-H34*1000/H33</f>
        <v>0</v>
      </c>
      <c r="I40" s="28">
        <f>(I29*I30*I31)-I34*1000/I33</f>
        <v>0</v>
      </c>
      <c r="J40" s="12"/>
      <c r="K40" s="16"/>
      <c r="L40" s="28">
        <f>(L29*L30*L31)-L34*1000/L33</f>
        <v>0</v>
      </c>
      <c r="M40" s="28">
        <f>(M29*M30*M31)-M34*1000/M33</f>
        <v>0</v>
      </c>
      <c r="N40" s="12"/>
      <c r="O40" s="16"/>
      <c r="P40" s="75"/>
      <c r="Q40" s="12"/>
      <c r="R40" s="16"/>
      <c r="S40" s="12" t="s">
        <v>153</v>
      </c>
      <c r="T40" s="24">
        <v>1E-3</v>
      </c>
      <c r="U40" s="202" t="s">
        <v>76</v>
      </c>
      <c r="V40" s="12"/>
      <c r="W40" s="12"/>
      <c r="X40" s="12"/>
      <c r="Y40" s="12"/>
    </row>
    <row r="41" spans="1:25" ht="15.75" thickBot="1" x14ac:dyDescent="0.3">
      <c r="A41" s="12" t="s">
        <v>124</v>
      </c>
      <c r="B41" s="64" t="s">
        <v>125</v>
      </c>
      <c r="C41" s="16"/>
      <c r="D41" s="137">
        <f>T45</f>
        <v>0</v>
      </c>
      <c r="E41" s="137">
        <v>0</v>
      </c>
      <c r="F41" s="12"/>
      <c r="G41" s="16"/>
      <c r="H41" s="137">
        <f t="shared" ref="H41:I44" si="21">D41</f>
        <v>0</v>
      </c>
      <c r="I41" s="137">
        <f t="shared" si="21"/>
        <v>0</v>
      </c>
      <c r="J41" s="12"/>
      <c r="K41" s="16"/>
      <c r="L41" s="137">
        <f t="shared" ref="L41:M44" si="22">D41</f>
        <v>0</v>
      </c>
      <c r="M41" s="137">
        <f t="shared" si="22"/>
        <v>0</v>
      </c>
      <c r="N41" s="12"/>
      <c r="O41" s="16"/>
      <c r="P41" s="201" t="s">
        <v>126</v>
      </c>
      <c r="Q41" s="12"/>
      <c r="R41" s="16"/>
      <c r="S41" s="12" t="s">
        <v>154</v>
      </c>
      <c r="T41" s="24">
        <v>1E-3</v>
      </c>
      <c r="U41" s="202" t="s">
        <v>76</v>
      </c>
      <c r="V41" s="12"/>
      <c r="W41" s="12"/>
      <c r="X41" s="12"/>
      <c r="Y41" s="12"/>
    </row>
    <row r="42" spans="1:25" ht="15.75" thickBot="1" x14ac:dyDescent="0.3">
      <c r="A42" s="12" t="s">
        <v>127</v>
      </c>
      <c r="B42" s="138" t="s">
        <v>128</v>
      </c>
      <c r="C42" s="16"/>
      <c r="D42" s="139">
        <f>U45</f>
        <v>0.26</v>
      </c>
      <c r="E42" s="139">
        <v>0.26</v>
      </c>
      <c r="F42" s="140"/>
      <c r="G42" s="16"/>
      <c r="H42" s="139">
        <f t="shared" si="21"/>
        <v>0.26</v>
      </c>
      <c r="I42" s="139">
        <f t="shared" si="21"/>
        <v>0.26</v>
      </c>
      <c r="J42" s="140"/>
      <c r="K42" s="16"/>
      <c r="L42" s="139">
        <f t="shared" si="22"/>
        <v>0.26</v>
      </c>
      <c r="M42" s="139">
        <f t="shared" si="22"/>
        <v>0.26</v>
      </c>
      <c r="N42" s="140"/>
      <c r="O42" s="16"/>
      <c r="P42" s="201" t="s">
        <v>126</v>
      </c>
      <c r="Q42" s="12"/>
      <c r="R42" s="16"/>
      <c r="S42" s="99" t="s">
        <v>164</v>
      </c>
      <c r="T42" s="26"/>
      <c r="U42" s="26"/>
      <c r="V42" s="12"/>
      <c r="W42" s="12"/>
      <c r="X42" s="12"/>
      <c r="Y42" s="12"/>
    </row>
    <row r="43" spans="1:25" x14ac:dyDescent="0.25">
      <c r="A43" s="12" t="s">
        <v>129</v>
      </c>
      <c r="B43" s="105" t="s">
        <v>130</v>
      </c>
      <c r="C43" s="16"/>
      <c r="D43" s="141">
        <v>0.01</v>
      </c>
      <c r="E43" s="141">
        <v>0.01</v>
      </c>
      <c r="F43" s="105"/>
      <c r="G43" s="16"/>
      <c r="H43" s="141">
        <v>0.01</v>
      </c>
      <c r="I43" s="141">
        <v>0.01</v>
      </c>
      <c r="J43" s="105"/>
      <c r="K43" s="16"/>
      <c r="L43" s="142">
        <v>0.01</v>
      </c>
      <c r="M43" s="142">
        <v>0.01</v>
      </c>
      <c r="N43" s="105"/>
      <c r="O43" s="16"/>
      <c r="P43" s="201" t="s">
        <v>131</v>
      </c>
      <c r="Q43" s="12"/>
      <c r="R43" s="16"/>
      <c r="S43" s="99" t="s">
        <v>109</v>
      </c>
      <c r="T43" s="26"/>
      <c r="U43" s="26"/>
      <c r="V43" s="12"/>
      <c r="W43" s="12"/>
      <c r="X43" s="12"/>
      <c r="Y43" s="12"/>
    </row>
    <row r="44" spans="1:25" x14ac:dyDescent="0.25">
      <c r="A44" s="12" t="s">
        <v>133</v>
      </c>
      <c r="B44" s="90" t="s">
        <v>134</v>
      </c>
      <c r="C44" s="16"/>
      <c r="D44" s="143">
        <v>1.5711338145316169</v>
      </c>
      <c r="E44" s="143">
        <v>1.5711338145316169</v>
      </c>
      <c r="F44" s="90"/>
      <c r="G44" s="16"/>
      <c r="H44" s="143">
        <f t="shared" si="21"/>
        <v>1.5711338145316169</v>
      </c>
      <c r="I44" s="143">
        <f t="shared" si="21"/>
        <v>1.5711338145316169</v>
      </c>
      <c r="J44" s="90"/>
      <c r="K44" s="16"/>
      <c r="L44" s="143">
        <f t="shared" si="22"/>
        <v>1.5711338145316169</v>
      </c>
      <c r="M44" s="143">
        <f t="shared" si="22"/>
        <v>1.5711338145316169</v>
      </c>
      <c r="N44" s="90"/>
      <c r="O44" s="16"/>
      <c r="P44" s="75"/>
      <c r="Q44" s="12"/>
      <c r="R44" s="16"/>
      <c r="S44" s="13" t="s">
        <v>150</v>
      </c>
      <c r="T44" s="144" t="s">
        <v>112</v>
      </c>
      <c r="U44" s="144" t="s">
        <v>113</v>
      </c>
      <c r="V44" s="13" t="s">
        <v>19</v>
      </c>
      <c r="W44" s="12"/>
      <c r="X44" s="12"/>
      <c r="Y44" s="12"/>
    </row>
    <row r="45" spans="1:25" x14ac:dyDescent="0.25">
      <c r="A45" s="12" t="s">
        <v>135</v>
      </c>
      <c r="B45" s="12" t="s">
        <v>136</v>
      </c>
      <c r="C45" s="16"/>
      <c r="D45" s="49">
        <f>(D40-((D41+D42)*D40))*D43*D44/1000</f>
        <v>0</v>
      </c>
      <c r="E45" s="49">
        <f t="shared" ref="E45" si="23">(E40-((E41+E42)*E40))*E43*E44/1000</f>
        <v>0</v>
      </c>
      <c r="F45" s="12"/>
      <c r="G45" s="16"/>
      <c r="H45" s="49">
        <f>(H40-((H41+H42)*H40))*H43*H44/1000</f>
        <v>0</v>
      </c>
      <c r="I45" s="49">
        <f t="shared" ref="I45" si="24">(I40-((I41+I42)*I40))*I43*I44/1000</f>
        <v>0</v>
      </c>
      <c r="J45" s="12"/>
      <c r="K45" s="16"/>
      <c r="L45" s="49">
        <f>(L40-((L41+L42)*L40))*L43*L44/1000</f>
        <v>0</v>
      </c>
      <c r="M45" s="49">
        <f t="shared" ref="M45" si="25">(M40-((M41+M42)*M40))*M43*M44/1000</f>
        <v>0</v>
      </c>
      <c r="N45" s="12"/>
      <c r="O45" s="16"/>
      <c r="P45" s="75"/>
      <c r="Q45" s="12"/>
      <c r="R45" s="16"/>
      <c r="S45" s="12" t="s">
        <v>166</v>
      </c>
      <c r="T45" s="96">
        <v>0</v>
      </c>
      <c r="U45" s="96">
        <v>0.26</v>
      </c>
      <c r="V45" s="202" t="s">
        <v>167</v>
      </c>
      <c r="W45" s="12"/>
      <c r="X45" s="12"/>
      <c r="Y45" s="12"/>
    </row>
    <row r="46" spans="1:25" x14ac:dyDescent="0.25">
      <c r="A46" s="12" t="s">
        <v>138</v>
      </c>
      <c r="B46" s="12" t="s">
        <v>160</v>
      </c>
      <c r="C46" s="16"/>
      <c r="D46" s="60">
        <f>1000*2.2046/2000</f>
        <v>1.1023000000000001</v>
      </c>
      <c r="E46" s="60">
        <f t="shared" ref="E46" si="26">1000*2.2046/2000</f>
        <v>1.1023000000000001</v>
      </c>
      <c r="F46" s="12"/>
      <c r="G46" s="16"/>
      <c r="H46" s="60">
        <f>D46</f>
        <v>1.1023000000000001</v>
      </c>
      <c r="I46" s="60">
        <f>E46</f>
        <v>1.1023000000000001</v>
      </c>
      <c r="J46" s="12"/>
      <c r="K46" s="16"/>
      <c r="L46" s="79">
        <f>D46</f>
        <v>1.1023000000000001</v>
      </c>
      <c r="M46" s="79">
        <f>E46</f>
        <v>1.1023000000000001</v>
      </c>
      <c r="N46" s="12"/>
      <c r="O46" s="16"/>
      <c r="P46" s="75"/>
      <c r="Q46" s="12"/>
      <c r="R46" s="16"/>
      <c r="S46" s="12" t="s">
        <v>168</v>
      </c>
      <c r="T46" s="96">
        <v>0</v>
      </c>
      <c r="U46" s="96">
        <v>0.34</v>
      </c>
      <c r="V46" s="202" t="s">
        <v>117</v>
      </c>
      <c r="W46" s="12"/>
      <c r="X46" s="12"/>
      <c r="Y46" s="12"/>
    </row>
    <row r="47" spans="1:25" x14ac:dyDescent="0.25">
      <c r="A47" s="12" t="s">
        <v>139</v>
      </c>
      <c r="B47" s="12" t="s">
        <v>140</v>
      </c>
      <c r="C47" s="16"/>
      <c r="D47" s="15">
        <f>D45*D46</f>
        <v>0</v>
      </c>
      <c r="E47" s="15">
        <f t="shared" ref="E47" si="27">E45*E46</f>
        <v>0</v>
      </c>
      <c r="F47" s="49">
        <f>SUM(D47:E47)</f>
        <v>0</v>
      </c>
      <c r="G47" s="16"/>
      <c r="H47" s="15">
        <f>H45*H46</f>
        <v>0</v>
      </c>
      <c r="I47" s="15">
        <f t="shared" ref="I47" si="28">I45*I46</f>
        <v>0</v>
      </c>
      <c r="J47" s="49">
        <f>SUM(H47:I47)</f>
        <v>0</v>
      </c>
      <c r="K47" s="16"/>
      <c r="L47" s="15">
        <f>L45*L46</f>
        <v>0</v>
      </c>
      <c r="M47" s="15">
        <f t="shared" ref="M47" si="29">M45*M46</f>
        <v>0</v>
      </c>
      <c r="N47" s="49">
        <f>SUM(L47:M47)</f>
        <v>0</v>
      </c>
      <c r="O47" s="16"/>
      <c r="P47" s="75"/>
      <c r="Q47" s="12"/>
      <c r="R47" s="16"/>
      <c r="S47" s="12" t="s">
        <v>119</v>
      </c>
      <c r="T47" s="145">
        <v>4.0000000000000001E-3</v>
      </c>
      <c r="U47" s="145">
        <v>0.26</v>
      </c>
      <c r="V47" s="202" t="s">
        <v>117</v>
      </c>
      <c r="W47" s="12"/>
      <c r="X47" s="12"/>
      <c r="Y47" s="12"/>
    </row>
    <row r="48" spans="1:25" x14ac:dyDescent="0.25">
      <c r="A48" s="12" t="s">
        <v>141</v>
      </c>
      <c r="B48" s="12" t="s">
        <v>89</v>
      </c>
      <c r="C48" s="16"/>
      <c r="D48" s="62">
        <f>D47*Q4</f>
        <v>0</v>
      </c>
      <c r="E48" s="62">
        <f>E47*Q4</f>
        <v>0</v>
      </c>
      <c r="F48" s="67">
        <f>SUM(D48:E48)</f>
        <v>0</v>
      </c>
      <c r="G48" s="16"/>
      <c r="H48" s="62">
        <f>H47*Q4</f>
        <v>0</v>
      </c>
      <c r="I48" s="62">
        <f>I47*Q4</f>
        <v>0</v>
      </c>
      <c r="J48" s="67">
        <f>SUM(H48:I48)</f>
        <v>0</v>
      </c>
      <c r="K48" s="16"/>
      <c r="L48" s="62">
        <f>L47*Q4</f>
        <v>0</v>
      </c>
      <c r="M48" s="62">
        <f>M47*Q4</f>
        <v>0</v>
      </c>
      <c r="N48" s="67">
        <f>SUM(L48:M48)</f>
        <v>0</v>
      </c>
      <c r="O48" s="16"/>
      <c r="P48" s="146"/>
      <c r="Q48" s="12"/>
      <c r="R48" s="16"/>
      <c r="S48" s="12" t="s">
        <v>34</v>
      </c>
      <c r="T48" s="145">
        <v>4.0000000000000001E-3</v>
      </c>
      <c r="U48" s="145">
        <v>0.54</v>
      </c>
      <c r="V48" s="202" t="s">
        <v>117</v>
      </c>
      <c r="W48" s="12"/>
      <c r="X48" s="12"/>
      <c r="Y48" s="12"/>
    </row>
    <row r="49" spans="1:25" x14ac:dyDescent="0.25">
      <c r="A49" s="16"/>
      <c r="B49" s="17"/>
      <c r="C49" s="16"/>
      <c r="D49" s="17"/>
      <c r="E49" s="17"/>
      <c r="F49" s="17"/>
      <c r="G49" s="16"/>
      <c r="H49" s="17"/>
      <c r="I49" s="17"/>
      <c r="J49" s="17"/>
      <c r="K49" s="16"/>
      <c r="L49" s="17"/>
      <c r="M49" s="17"/>
      <c r="N49" s="17"/>
      <c r="O49" s="16"/>
      <c r="P49" s="147"/>
      <c r="Q49" s="17"/>
      <c r="R49" s="16"/>
      <c r="S49" s="12" t="s">
        <v>52</v>
      </c>
      <c r="T49" s="145">
        <v>0</v>
      </c>
      <c r="U49" s="145">
        <v>0</v>
      </c>
      <c r="V49" s="202" t="s">
        <v>117</v>
      </c>
      <c r="W49" s="12"/>
      <c r="X49" s="12"/>
      <c r="Y49" s="12"/>
    </row>
    <row r="50" spans="1:25" x14ac:dyDescent="0.25">
      <c r="A50" s="12"/>
      <c r="B50" s="12"/>
      <c r="C50" s="12"/>
      <c r="D50" s="12"/>
      <c r="E50" s="12"/>
      <c r="F50" s="12"/>
      <c r="G50" s="12"/>
      <c r="H50" s="12"/>
      <c r="I50" s="12"/>
      <c r="J50" s="12"/>
      <c r="K50" s="12"/>
      <c r="L50" s="12"/>
      <c r="M50" s="12"/>
      <c r="N50" s="12"/>
      <c r="O50" s="12"/>
      <c r="P50" s="34"/>
      <c r="Q50" s="12"/>
      <c r="R50" s="12"/>
      <c r="S50" s="12" t="s">
        <v>49</v>
      </c>
      <c r="T50" s="145">
        <v>0</v>
      </c>
      <c r="U50" s="145">
        <v>0.08</v>
      </c>
      <c r="V50" s="202" t="s">
        <v>117</v>
      </c>
      <c r="W50" s="12"/>
      <c r="X50" s="12"/>
      <c r="Y50" s="12"/>
    </row>
    <row r="51" spans="1:25" x14ac:dyDescent="0.25">
      <c r="A51" s="12"/>
      <c r="B51" s="12"/>
      <c r="C51" s="12"/>
      <c r="D51" s="12"/>
      <c r="E51" s="12"/>
      <c r="F51" s="12"/>
      <c r="G51" s="12"/>
      <c r="H51" s="15"/>
      <c r="I51" s="15"/>
      <c r="J51" s="12"/>
      <c r="K51" s="12"/>
      <c r="L51" s="12"/>
      <c r="M51" s="12"/>
      <c r="N51" s="12"/>
      <c r="O51" s="12"/>
      <c r="P51" s="34"/>
      <c r="Q51" s="12"/>
      <c r="R51" s="12"/>
      <c r="S51" s="12" t="s">
        <v>169</v>
      </c>
      <c r="T51" s="12"/>
      <c r="U51" s="12"/>
      <c r="V51" s="12"/>
      <c r="W51" s="12"/>
      <c r="X51" s="12"/>
      <c r="Y51" s="12"/>
    </row>
    <row r="52" spans="1:25" x14ac:dyDescent="0.25">
      <c r="A52" s="12"/>
      <c r="B52" s="12"/>
      <c r="C52" s="12"/>
      <c r="D52" s="12"/>
      <c r="E52" s="12"/>
      <c r="F52" s="12"/>
      <c r="G52" s="12"/>
      <c r="H52" s="15"/>
      <c r="I52" s="15"/>
      <c r="J52" s="12"/>
      <c r="K52" s="12"/>
      <c r="L52" s="12"/>
      <c r="M52" s="12"/>
      <c r="N52" s="12"/>
      <c r="O52" s="12"/>
      <c r="P52" s="34"/>
      <c r="Q52" s="12"/>
      <c r="R52" s="12"/>
      <c r="S52" s="12"/>
      <c r="T52" s="12"/>
      <c r="U52" s="12"/>
      <c r="V52" s="12"/>
      <c r="W52" s="12"/>
      <c r="X52" s="12"/>
      <c r="Y52" s="12"/>
    </row>
  </sheetData>
  <mergeCells count="3">
    <mergeCell ref="D1:F1"/>
    <mergeCell ref="H1:J1"/>
    <mergeCell ref="L1:N1"/>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A5A51-655E-47E1-8D02-C501D8ECD421}">
  <dimension ref="A1:AA57"/>
  <sheetViews>
    <sheetView topLeftCell="A3" zoomScaleNormal="100" workbookViewId="0">
      <selection activeCell="Y50" activeCellId="4" sqref="X15:X18 X20 X22:X31 X34:X46 Y50:Y54"/>
    </sheetView>
  </sheetViews>
  <sheetFormatPr defaultRowHeight="15" x14ac:dyDescent="0.25"/>
  <cols>
    <col min="2" max="2" width="45.42578125" customWidth="1"/>
    <col min="3" max="3" width="2.28515625" customWidth="1"/>
    <col min="8" max="8" width="2.28515625" customWidth="1"/>
    <col min="13" max="13" width="2.28515625" customWidth="1"/>
    <col min="18" max="18" width="2.28515625" customWidth="1"/>
    <col min="19" max="19" width="38.85546875" customWidth="1"/>
    <col min="21" max="21" width="2.28515625" customWidth="1"/>
    <col min="22" max="22" width="36.42578125" customWidth="1"/>
    <col min="23" max="23" width="18.42578125" customWidth="1"/>
    <col min="24" max="24" width="27.140625" customWidth="1"/>
    <col min="25" max="25" width="29.85546875" customWidth="1"/>
    <col min="26" max="26" width="2.28515625" customWidth="1"/>
  </cols>
  <sheetData>
    <row r="1" spans="1:27" x14ac:dyDescent="0.25">
      <c r="A1" s="110"/>
      <c r="B1" s="12"/>
      <c r="C1" s="111"/>
      <c r="D1" s="148" t="s">
        <v>2</v>
      </c>
      <c r="E1" s="148"/>
      <c r="F1" s="148"/>
      <c r="G1" s="148"/>
      <c r="H1" s="111"/>
      <c r="I1" s="149" t="s">
        <v>3</v>
      </c>
      <c r="J1" s="149"/>
      <c r="K1" s="149"/>
      <c r="L1" s="149"/>
      <c r="M1" s="111"/>
      <c r="N1" s="148" t="s">
        <v>4</v>
      </c>
      <c r="O1" s="148"/>
      <c r="P1" s="148"/>
      <c r="Q1" s="148"/>
      <c r="R1" s="111"/>
      <c r="S1" s="12"/>
      <c r="T1" s="12"/>
      <c r="U1" s="17"/>
      <c r="V1" s="110"/>
      <c r="W1" s="110"/>
      <c r="X1" s="12"/>
      <c r="Y1" s="110"/>
      <c r="Z1" s="18"/>
      <c r="AA1" s="110"/>
    </row>
    <row r="2" spans="1:27" x14ac:dyDescent="0.25">
      <c r="A2" s="12"/>
      <c r="B2" s="13" t="s">
        <v>170</v>
      </c>
      <c r="C2" s="16"/>
      <c r="D2" s="13"/>
      <c r="E2" s="13"/>
      <c r="F2" s="13"/>
      <c r="G2" s="13"/>
      <c r="H2" s="16"/>
      <c r="I2" s="15"/>
      <c r="J2" s="15"/>
      <c r="K2" s="15"/>
      <c r="L2" s="12"/>
      <c r="M2" s="16"/>
      <c r="N2" s="12"/>
      <c r="O2" s="12"/>
      <c r="P2" s="12"/>
      <c r="Q2" s="12"/>
      <c r="R2" s="16"/>
      <c r="S2" s="13" t="s">
        <v>10</v>
      </c>
      <c r="T2" s="12"/>
      <c r="U2" s="17"/>
      <c r="V2" s="110"/>
      <c r="W2" s="110"/>
      <c r="X2" s="12"/>
      <c r="Y2" s="110"/>
      <c r="Z2" s="18"/>
      <c r="AA2" s="12"/>
    </row>
    <row r="3" spans="1:27" x14ac:dyDescent="0.25">
      <c r="A3" s="12"/>
      <c r="B3" s="20" t="s">
        <v>6</v>
      </c>
      <c r="C3" s="16"/>
      <c r="D3" s="13"/>
      <c r="E3" s="13"/>
      <c r="F3" s="13"/>
      <c r="G3" s="21">
        <f>G20</f>
        <v>0</v>
      </c>
      <c r="H3" s="16"/>
      <c r="I3" s="15"/>
      <c r="J3" s="15"/>
      <c r="K3" s="15"/>
      <c r="L3" s="21">
        <f>L20</f>
        <v>0</v>
      </c>
      <c r="M3" s="16"/>
      <c r="N3" s="12"/>
      <c r="O3" s="12"/>
      <c r="P3" s="12"/>
      <c r="Q3" s="21">
        <f>Q20</f>
        <v>0</v>
      </c>
      <c r="R3" s="16"/>
      <c r="S3" s="12"/>
      <c r="T3" s="12"/>
      <c r="U3" s="17"/>
      <c r="V3" s="110"/>
      <c r="W3" s="12"/>
      <c r="X3" s="12"/>
      <c r="Y3" s="12"/>
      <c r="Z3" s="18"/>
      <c r="AA3" s="12"/>
    </row>
    <row r="4" spans="1:27" x14ac:dyDescent="0.25">
      <c r="A4" s="12"/>
      <c r="B4" s="22" t="s">
        <v>7</v>
      </c>
      <c r="C4" s="16"/>
      <c r="D4" s="12"/>
      <c r="E4" s="12"/>
      <c r="F4" s="12"/>
      <c r="G4" s="23">
        <f>G33</f>
        <v>0</v>
      </c>
      <c r="H4" s="16"/>
      <c r="I4" s="12"/>
      <c r="J4" s="12"/>
      <c r="K4" s="15"/>
      <c r="L4" s="23">
        <f>L33</f>
        <v>0</v>
      </c>
      <c r="M4" s="16"/>
      <c r="N4" s="12"/>
      <c r="O4" s="12"/>
      <c r="P4" s="12"/>
      <c r="Q4" s="23">
        <f>Q33</f>
        <v>0</v>
      </c>
      <c r="R4" s="16"/>
      <c r="S4" s="12" t="s">
        <v>12</v>
      </c>
      <c r="T4" s="116">
        <f>[1]Dairy!T7</f>
        <v>28</v>
      </c>
      <c r="U4" s="150"/>
      <c r="V4" s="110"/>
      <c r="W4" s="110"/>
      <c r="X4" s="12"/>
      <c r="Y4" s="110"/>
      <c r="Z4" s="18"/>
      <c r="AA4" s="12"/>
    </row>
    <row r="5" spans="1:27" x14ac:dyDescent="0.25">
      <c r="A5" s="12"/>
      <c r="B5" s="24" t="s">
        <v>8</v>
      </c>
      <c r="C5" s="16"/>
      <c r="D5" s="12"/>
      <c r="E5" s="12"/>
      <c r="F5" s="12"/>
      <c r="G5" s="25">
        <f>G44</f>
        <v>0</v>
      </c>
      <c r="H5" s="16"/>
      <c r="I5" s="12"/>
      <c r="J5" s="12"/>
      <c r="K5" s="15"/>
      <c r="L5" s="25">
        <f>L44</f>
        <v>0</v>
      </c>
      <c r="M5" s="16"/>
      <c r="N5" s="12"/>
      <c r="O5" s="12"/>
      <c r="P5" s="12"/>
      <c r="Q5" s="25">
        <f>Q44</f>
        <v>0</v>
      </c>
      <c r="R5" s="16"/>
      <c r="S5" s="12" t="s">
        <v>15</v>
      </c>
      <c r="T5" s="116">
        <f>[1]Dairy!T8</f>
        <v>265</v>
      </c>
      <c r="U5" s="150"/>
      <c r="V5" s="110"/>
      <c r="W5" s="12"/>
      <c r="X5" s="12"/>
      <c r="Y5" s="12"/>
      <c r="Z5" s="18"/>
      <c r="AA5" s="12"/>
    </row>
    <row r="6" spans="1:27" x14ac:dyDescent="0.25">
      <c r="A6" s="12"/>
      <c r="B6" s="26" t="s">
        <v>9</v>
      </c>
      <c r="C6" s="16"/>
      <c r="D6" s="12"/>
      <c r="E6" s="12"/>
      <c r="F6" s="12"/>
      <c r="G6" s="27">
        <f>G55</f>
        <v>0</v>
      </c>
      <c r="H6" s="16"/>
      <c r="I6" s="12"/>
      <c r="J6" s="12"/>
      <c r="K6" s="15"/>
      <c r="L6" s="27">
        <f>L55</f>
        <v>0</v>
      </c>
      <c r="M6" s="16"/>
      <c r="N6" s="12"/>
      <c r="O6" s="12"/>
      <c r="P6" s="12"/>
      <c r="Q6" s="27">
        <f>Q55</f>
        <v>0</v>
      </c>
      <c r="R6" s="16"/>
      <c r="S6" s="34" t="str">
        <f>[1]Dairy!S9</f>
        <v>GWP Source: International Panel on Climate Change Fifth Assessment Report.</v>
      </c>
      <c r="T6" s="12"/>
      <c r="U6" s="17"/>
      <c r="V6" s="110"/>
      <c r="W6" s="110"/>
      <c r="X6" s="110"/>
      <c r="Y6" s="110"/>
      <c r="Z6" s="18"/>
      <c r="AA6" s="12"/>
    </row>
    <row r="7" spans="1:27" ht="15.75" thickBot="1" x14ac:dyDescent="0.3">
      <c r="A7" s="12"/>
      <c r="B7" s="12"/>
      <c r="C7" s="16"/>
      <c r="D7" s="12"/>
      <c r="E7" s="12"/>
      <c r="F7" s="12"/>
      <c r="G7" s="15"/>
      <c r="H7" s="16"/>
      <c r="I7" s="12"/>
      <c r="J7" s="12"/>
      <c r="K7" s="15"/>
      <c r="L7" s="15"/>
      <c r="M7" s="16"/>
      <c r="N7" s="12"/>
      <c r="O7" s="12"/>
      <c r="P7" s="12"/>
      <c r="Q7" s="15"/>
      <c r="R7" s="16"/>
      <c r="S7" s="12"/>
      <c r="T7" s="12"/>
      <c r="U7" s="17"/>
      <c r="V7" s="110"/>
      <c r="W7" s="110"/>
      <c r="X7" s="110"/>
      <c r="Y7" s="110"/>
      <c r="Z7" s="18"/>
      <c r="AA7" s="12"/>
    </row>
    <row r="8" spans="1:27" ht="15.75" thickBot="1" x14ac:dyDescent="0.3">
      <c r="A8" s="12"/>
      <c r="B8" s="13" t="s">
        <v>14</v>
      </c>
      <c r="C8" s="16"/>
      <c r="D8" s="13"/>
      <c r="E8" s="13"/>
      <c r="F8" s="13"/>
      <c r="G8" s="31">
        <f>SUM(G3:G6)</f>
        <v>0</v>
      </c>
      <c r="H8" s="16"/>
      <c r="I8" s="12"/>
      <c r="J8" s="12"/>
      <c r="K8" s="15"/>
      <c r="L8" s="31">
        <f>SUM(L3:L6)</f>
        <v>0</v>
      </c>
      <c r="M8" s="16"/>
      <c r="N8" s="12"/>
      <c r="O8" s="12"/>
      <c r="P8" s="12"/>
      <c r="Q8" s="31">
        <f>SUM(Q3:Q6)</f>
        <v>0</v>
      </c>
      <c r="R8" s="16"/>
      <c r="S8" s="12"/>
      <c r="T8" s="12"/>
      <c r="U8" s="17"/>
      <c r="V8" s="110"/>
      <c r="W8" s="110"/>
      <c r="X8" s="110"/>
      <c r="Y8" s="110"/>
      <c r="Z8" s="18"/>
      <c r="AA8" s="12"/>
    </row>
    <row r="9" spans="1:27" x14ac:dyDescent="0.25">
      <c r="A9" s="17"/>
      <c r="B9" s="17"/>
      <c r="C9" s="16"/>
      <c r="D9" s="17"/>
      <c r="E9" s="17"/>
      <c r="F9" s="17"/>
      <c r="G9" s="17"/>
      <c r="H9" s="16"/>
      <c r="I9" s="151"/>
      <c r="J9" s="151"/>
      <c r="K9" s="151"/>
      <c r="L9" s="17"/>
      <c r="M9" s="16"/>
      <c r="N9" s="17"/>
      <c r="O9" s="17"/>
      <c r="P9" s="17"/>
      <c r="Q9" s="17"/>
      <c r="R9" s="16"/>
      <c r="S9" s="12"/>
      <c r="T9" s="12"/>
      <c r="U9" s="17"/>
      <c r="V9" s="110"/>
      <c r="W9" s="110"/>
      <c r="X9" s="110"/>
      <c r="Y9" s="110"/>
      <c r="Z9" s="18"/>
      <c r="AA9" s="12"/>
    </row>
    <row r="10" spans="1:27" ht="45.75" thickBot="1" x14ac:dyDescent="0.3">
      <c r="A10" s="12"/>
      <c r="B10" s="12"/>
      <c r="C10" s="16"/>
      <c r="D10" s="152" t="s">
        <v>171</v>
      </c>
      <c r="E10" s="152" t="s">
        <v>172</v>
      </c>
      <c r="F10" s="152" t="s">
        <v>173</v>
      </c>
      <c r="G10" s="152" t="s">
        <v>23</v>
      </c>
      <c r="H10" s="153"/>
      <c r="I10" s="152" t="str">
        <f>D10</f>
        <v>Swine &lt; 55 lbs</v>
      </c>
      <c r="J10" s="152" t="str">
        <f t="shared" ref="J10" si="0">E10</f>
        <v>Swine 55-330 lbs</v>
      </c>
      <c r="K10" s="152" t="str">
        <f>F10</f>
        <v>Swine &gt; 330 lbs [breeding]</v>
      </c>
      <c r="L10" s="152" t="s">
        <v>23</v>
      </c>
      <c r="M10" s="153"/>
      <c r="N10" s="152" t="str">
        <f>D10</f>
        <v>Swine &lt; 55 lbs</v>
      </c>
      <c r="O10" s="152" t="str">
        <f t="shared" ref="O10:P10" si="1">E10</f>
        <v>Swine 55-330 lbs</v>
      </c>
      <c r="P10" s="152" t="str">
        <f t="shared" si="1"/>
        <v>Swine &gt; 330 lbs [breeding]</v>
      </c>
      <c r="Q10" s="152" t="s">
        <v>23</v>
      </c>
      <c r="R10" s="16"/>
      <c r="S10" s="12"/>
      <c r="T10" s="12"/>
      <c r="U10" s="17"/>
      <c r="V10" s="110"/>
      <c r="W10" s="110"/>
      <c r="X10" s="110"/>
      <c r="Y10" s="110"/>
      <c r="Z10" s="18"/>
      <c r="AA10" s="12"/>
    </row>
    <row r="11" spans="1:27" ht="15.75" thickBot="1" x14ac:dyDescent="0.3">
      <c r="A11" s="12" t="s">
        <v>38</v>
      </c>
      <c r="B11" s="40" t="s">
        <v>26</v>
      </c>
      <c r="C11" s="16"/>
      <c r="D11" s="3"/>
      <c r="E11" s="3"/>
      <c r="F11" s="3"/>
      <c r="G11" s="28">
        <f>D11+F11+E11</f>
        <v>0</v>
      </c>
      <c r="H11" s="16"/>
      <c r="I11" s="3"/>
      <c r="J11" s="3"/>
      <c r="K11" s="3"/>
      <c r="L11" s="28">
        <f>I11+K11+J11</f>
        <v>0</v>
      </c>
      <c r="M11" s="16"/>
      <c r="N11" s="28">
        <f>D11+I11</f>
        <v>0</v>
      </c>
      <c r="O11" s="28">
        <f>E11+J11</f>
        <v>0</v>
      </c>
      <c r="P11" s="28">
        <f>F11+K11</f>
        <v>0</v>
      </c>
      <c r="Q11" s="28">
        <f>N11+O11+P11</f>
        <v>0</v>
      </c>
      <c r="R11" s="16"/>
      <c r="S11" s="12"/>
      <c r="T11" s="12"/>
      <c r="U11" s="17"/>
      <c r="V11" s="12"/>
      <c r="W11" s="12"/>
      <c r="X11" s="12"/>
      <c r="Y11" s="12"/>
      <c r="Z11" s="18"/>
      <c r="AA11" s="12"/>
    </row>
    <row r="12" spans="1:27" x14ac:dyDescent="0.25">
      <c r="A12" s="28"/>
      <c r="B12" s="12" t="s">
        <v>29</v>
      </c>
      <c r="C12" s="41"/>
      <c r="D12" s="71">
        <v>0.05</v>
      </c>
      <c r="E12" s="71">
        <v>0.3</v>
      </c>
      <c r="F12" s="71">
        <v>0.4</v>
      </c>
      <c r="G12" s="44"/>
      <c r="H12" s="41"/>
      <c r="I12" s="15">
        <f>D12</f>
        <v>0.05</v>
      </c>
      <c r="J12" s="15">
        <f t="shared" ref="J12:K12" si="2">E12</f>
        <v>0.3</v>
      </c>
      <c r="K12" s="15">
        <f t="shared" si="2"/>
        <v>0.4</v>
      </c>
      <c r="L12" s="44"/>
      <c r="M12" s="41"/>
      <c r="N12" s="15">
        <f>D12</f>
        <v>0.05</v>
      </c>
      <c r="O12" s="15">
        <f t="shared" ref="O12:P12" si="3">E12</f>
        <v>0.3</v>
      </c>
      <c r="P12" s="15">
        <f t="shared" si="3"/>
        <v>0.4</v>
      </c>
      <c r="Q12" s="44"/>
      <c r="R12" s="41"/>
      <c r="S12" s="12"/>
      <c r="T12" s="12"/>
      <c r="U12" s="17"/>
      <c r="V12" s="33" t="s">
        <v>13</v>
      </c>
      <c r="W12" s="22"/>
      <c r="X12" s="22"/>
      <c r="Y12" s="22"/>
      <c r="Z12" s="18"/>
      <c r="AA12" s="28"/>
    </row>
    <row r="13" spans="1:27" x14ac:dyDescent="0.25">
      <c r="A13" s="12" t="s">
        <v>41</v>
      </c>
      <c r="B13" s="12" t="s">
        <v>32</v>
      </c>
      <c r="C13" s="16"/>
      <c r="D13" s="12">
        <f t="shared" ref="D13:F13" si="4">D11*D12</f>
        <v>0</v>
      </c>
      <c r="E13" s="12">
        <f t="shared" si="4"/>
        <v>0</v>
      </c>
      <c r="F13" s="12">
        <f t="shared" si="4"/>
        <v>0</v>
      </c>
      <c r="G13" s="28">
        <f>D13+F13+E13</f>
        <v>0</v>
      </c>
      <c r="H13" s="16"/>
      <c r="I13" s="12">
        <f>I11*I12</f>
        <v>0</v>
      </c>
      <c r="J13" s="12">
        <f>J11*J12</f>
        <v>0</v>
      </c>
      <c r="K13" s="12">
        <f>K11*K12</f>
        <v>0</v>
      </c>
      <c r="L13" s="28">
        <f>I13+K13+J13</f>
        <v>0</v>
      </c>
      <c r="M13" s="16"/>
      <c r="N13" s="12">
        <f>N11*N12</f>
        <v>0</v>
      </c>
      <c r="O13" s="12">
        <f t="shared" ref="O13:P13" si="5">O11*O12</f>
        <v>0</v>
      </c>
      <c r="P13" s="12">
        <f t="shared" si="5"/>
        <v>0</v>
      </c>
      <c r="Q13" s="44">
        <f t="shared" ref="Q13" si="6">N13+O13+P13</f>
        <v>0</v>
      </c>
      <c r="R13" s="16"/>
      <c r="S13" s="12"/>
      <c r="T13" s="12"/>
      <c r="U13" s="17"/>
      <c r="V13" s="33" t="s">
        <v>149</v>
      </c>
      <c r="W13" s="22"/>
      <c r="X13" s="22"/>
      <c r="Y13" s="22"/>
      <c r="Z13" s="18"/>
      <c r="AA13" s="12"/>
    </row>
    <row r="14" spans="1:27" x14ac:dyDescent="0.25">
      <c r="A14" s="17"/>
      <c r="B14" s="17"/>
      <c r="C14" s="16"/>
      <c r="D14" s="17"/>
      <c r="E14" s="17"/>
      <c r="F14" s="17"/>
      <c r="G14" s="17"/>
      <c r="H14" s="16"/>
      <c r="I14" s="17"/>
      <c r="J14" s="17"/>
      <c r="K14" s="17"/>
      <c r="L14" s="17"/>
      <c r="M14" s="16"/>
      <c r="N14" s="17"/>
      <c r="O14" s="17"/>
      <c r="P14" s="17"/>
      <c r="Q14" s="17"/>
      <c r="R14" s="16"/>
      <c r="S14" s="16"/>
      <c r="T14" s="16"/>
      <c r="U14" s="17"/>
      <c r="V14" s="13" t="s">
        <v>174</v>
      </c>
      <c r="W14" s="12"/>
      <c r="X14" s="13" t="s">
        <v>19</v>
      </c>
      <c r="Y14" s="12"/>
      <c r="Z14" s="18"/>
      <c r="AA14" s="12"/>
    </row>
    <row r="15" spans="1:27" ht="45" x14ac:dyDescent="0.25">
      <c r="A15" s="12"/>
      <c r="B15" s="50" t="s">
        <v>175</v>
      </c>
      <c r="C15" s="16"/>
      <c r="D15" s="154" t="s">
        <v>171</v>
      </c>
      <c r="E15" s="154" t="s">
        <v>172</v>
      </c>
      <c r="F15" s="155" t="s">
        <v>173</v>
      </c>
      <c r="G15" s="154" t="s">
        <v>23</v>
      </c>
      <c r="H15" s="156"/>
      <c r="I15" s="154" t="str">
        <f>D15</f>
        <v>Swine &lt; 55 lbs</v>
      </c>
      <c r="J15" s="154" t="str">
        <f t="shared" ref="J15" si="7">E15</f>
        <v>Swine 55-330 lbs</v>
      </c>
      <c r="K15" s="155" t="str">
        <f>F15</f>
        <v>Swine &gt; 330 lbs [breeding]</v>
      </c>
      <c r="L15" s="157" t="s">
        <v>23</v>
      </c>
      <c r="M15" s="156"/>
      <c r="N15" s="154" t="str">
        <f>D15</f>
        <v>Swine &lt; 55 lbs</v>
      </c>
      <c r="O15" s="154" t="str">
        <f t="shared" ref="O15:P15" si="8">E15</f>
        <v>Swine 55-330 lbs</v>
      </c>
      <c r="P15" s="155" t="str">
        <f t="shared" si="8"/>
        <v>Swine &gt; 330 lbs [breeding]</v>
      </c>
      <c r="Q15" s="154" t="s">
        <v>23</v>
      </c>
      <c r="R15" s="16"/>
      <c r="S15" s="35" t="s">
        <v>36</v>
      </c>
      <c r="T15" s="12"/>
      <c r="U15" s="17"/>
      <c r="V15" s="12" t="s">
        <v>30</v>
      </c>
      <c r="W15" s="122">
        <v>0.25</v>
      </c>
      <c r="X15" s="202" t="s">
        <v>31</v>
      </c>
      <c r="Y15" s="39"/>
      <c r="Z15" s="18"/>
      <c r="AA15" s="12"/>
    </row>
    <row r="16" spans="1:27" x14ac:dyDescent="0.25">
      <c r="A16" s="12" t="s">
        <v>38</v>
      </c>
      <c r="B16" s="12" t="s">
        <v>39</v>
      </c>
      <c r="C16" s="16"/>
      <c r="D16" s="28">
        <f>D11</f>
        <v>0</v>
      </c>
      <c r="E16" s="28">
        <f>E11</f>
        <v>0</v>
      </c>
      <c r="F16" s="28">
        <f>F11</f>
        <v>0</v>
      </c>
      <c r="G16" s="47"/>
      <c r="H16" s="16"/>
      <c r="I16" s="28">
        <f>I11</f>
        <v>0</v>
      </c>
      <c r="J16" s="28">
        <f>J11</f>
        <v>0</v>
      </c>
      <c r="K16" s="28">
        <f>K11</f>
        <v>0</v>
      </c>
      <c r="L16" s="47"/>
      <c r="M16" s="16"/>
      <c r="N16" s="28">
        <f>N11</f>
        <v>0</v>
      </c>
      <c r="O16" s="28">
        <f>O11</f>
        <v>0</v>
      </c>
      <c r="P16" s="28">
        <f>P11</f>
        <v>0</v>
      </c>
      <c r="Q16" s="12"/>
      <c r="R16" s="16"/>
      <c r="S16" s="12"/>
      <c r="T16" s="12"/>
      <c r="U16" s="17"/>
      <c r="V16" s="12" t="s">
        <v>33</v>
      </c>
      <c r="W16" s="122">
        <v>0.25</v>
      </c>
      <c r="X16" s="202" t="s">
        <v>31</v>
      </c>
      <c r="Y16" s="39"/>
      <c r="Z16" s="18"/>
      <c r="AA16" s="12"/>
    </row>
    <row r="17" spans="1:27" x14ac:dyDescent="0.25">
      <c r="A17" s="12" t="s">
        <v>41</v>
      </c>
      <c r="B17" s="12" t="s">
        <v>176</v>
      </c>
      <c r="C17" s="16"/>
      <c r="D17" s="15">
        <v>1.5</v>
      </c>
      <c r="E17" s="15">
        <v>1.5</v>
      </c>
      <c r="F17" s="15">
        <v>1.5</v>
      </c>
      <c r="G17" s="12"/>
      <c r="H17" s="16"/>
      <c r="I17" s="15">
        <f>D17</f>
        <v>1.5</v>
      </c>
      <c r="J17" s="15">
        <f t="shared" ref="J17:K17" si="9">E17</f>
        <v>1.5</v>
      </c>
      <c r="K17" s="15">
        <f t="shared" si="9"/>
        <v>1.5</v>
      </c>
      <c r="L17" s="12"/>
      <c r="M17" s="16"/>
      <c r="N17" s="15">
        <f>D17</f>
        <v>1.5</v>
      </c>
      <c r="O17" s="15">
        <f t="shared" ref="O17:P17" si="10">E17</f>
        <v>1.5</v>
      </c>
      <c r="P17" s="15">
        <f t="shared" si="10"/>
        <v>1.5</v>
      </c>
      <c r="Q17" s="12"/>
      <c r="R17" s="16"/>
      <c r="S17" s="201" t="s">
        <v>177</v>
      </c>
      <c r="T17" s="12"/>
      <c r="U17" s="17"/>
      <c r="V17" s="12" t="s">
        <v>27</v>
      </c>
      <c r="W17" s="122">
        <v>0.25</v>
      </c>
      <c r="X17" s="202" t="s">
        <v>28</v>
      </c>
      <c r="Y17" s="39"/>
      <c r="Z17" s="18"/>
      <c r="AA17" s="12"/>
    </row>
    <row r="18" spans="1:27" x14ac:dyDescent="0.25">
      <c r="A18" s="12" t="s">
        <v>45</v>
      </c>
      <c r="B18" s="12" t="s">
        <v>178</v>
      </c>
      <c r="C18" s="16"/>
      <c r="D18" s="60">
        <f>2.2046/2000</f>
        <v>1.1023000000000001E-3</v>
      </c>
      <c r="E18" s="60">
        <f>2.2046/2000</f>
        <v>1.1023000000000001E-3</v>
      </c>
      <c r="F18" s="60">
        <f>2.2046/2000</f>
        <v>1.1023000000000001E-3</v>
      </c>
      <c r="G18" s="12"/>
      <c r="H18" s="16"/>
      <c r="I18" s="60">
        <f>2.2046/2000</f>
        <v>1.1023000000000001E-3</v>
      </c>
      <c r="J18" s="60">
        <f>2.2046/2000</f>
        <v>1.1023000000000001E-3</v>
      </c>
      <c r="K18" s="60">
        <f>2.2046/2000</f>
        <v>1.1023000000000001E-3</v>
      </c>
      <c r="L18" s="12"/>
      <c r="M18" s="16"/>
      <c r="N18" s="60">
        <f>2.2046/2000</f>
        <v>1.1023000000000001E-3</v>
      </c>
      <c r="O18" s="60">
        <f>2.2046/2000</f>
        <v>1.1023000000000001E-3</v>
      </c>
      <c r="P18" s="60">
        <f>2.2046/2000</f>
        <v>1.1023000000000001E-3</v>
      </c>
      <c r="Q18" s="12"/>
      <c r="R18" s="16"/>
      <c r="S18" s="146"/>
      <c r="T18" s="12"/>
      <c r="U18" s="17"/>
      <c r="V18" s="64" t="s">
        <v>34</v>
      </c>
      <c r="W18" s="122">
        <v>0.68</v>
      </c>
      <c r="X18" s="202" t="s">
        <v>31</v>
      </c>
      <c r="Y18" s="39"/>
      <c r="Z18" s="18"/>
      <c r="AA18" s="12"/>
    </row>
    <row r="19" spans="1:27" ht="15.75" thickBot="1" x14ac:dyDescent="0.3">
      <c r="A19" s="12"/>
      <c r="B19" s="12" t="s">
        <v>48</v>
      </c>
      <c r="C19" s="16"/>
      <c r="D19" s="15">
        <f>D16*D17*D18</f>
        <v>0</v>
      </c>
      <c r="E19" s="15">
        <f>E16*E17*E18</f>
        <v>0</v>
      </c>
      <c r="F19" s="15">
        <f>F16*F17*F18</f>
        <v>0</v>
      </c>
      <c r="G19" s="49">
        <f>SUM(D19:F19)</f>
        <v>0</v>
      </c>
      <c r="H19" s="16"/>
      <c r="I19" s="15">
        <f>I16*I17*I18</f>
        <v>0</v>
      </c>
      <c r="J19" s="15">
        <f>J16*J17*J18</f>
        <v>0</v>
      </c>
      <c r="K19" s="15">
        <f>K16*K17*K18</f>
        <v>0</v>
      </c>
      <c r="L19" s="49">
        <f>SUM(I19:K19)</f>
        <v>0</v>
      </c>
      <c r="M19" s="16"/>
      <c r="N19" s="15">
        <f>N16*N17*N18</f>
        <v>0</v>
      </c>
      <c r="O19" s="15">
        <f>O16*O17*O18</f>
        <v>0</v>
      </c>
      <c r="P19" s="15">
        <f>P16*P17*P18</f>
        <v>0</v>
      </c>
      <c r="Q19" s="67">
        <f>N19+O19+P19</f>
        <v>0</v>
      </c>
      <c r="R19" s="16"/>
      <c r="S19" s="146"/>
      <c r="T19" s="12"/>
      <c r="U19" s="17"/>
      <c r="V19" s="13" t="s">
        <v>18</v>
      </c>
      <c r="W19" s="92"/>
      <c r="X19" s="39"/>
      <c r="Y19" s="39"/>
      <c r="Z19" s="18"/>
      <c r="AA19" s="12"/>
    </row>
    <row r="20" spans="1:27" ht="15.75" thickBot="1" x14ac:dyDescent="0.3">
      <c r="A20" s="12"/>
      <c r="B20" s="13" t="s">
        <v>50</v>
      </c>
      <c r="C20" s="16"/>
      <c r="D20" s="62">
        <f>D19*T4</f>
        <v>0</v>
      </c>
      <c r="E20" s="62">
        <f>E19*T4</f>
        <v>0</v>
      </c>
      <c r="F20" s="62">
        <f>F19*T4</f>
        <v>0</v>
      </c>
      <c r="G20" s="31">
        <f>SUM(D20:F20)</f>
        <v>0</v>
      </c>
      <c r="H20" s="16"/>
      <c r="I20" s="62">
        <f>I19*T4</f>
        <v>0</v>
      </c>
      <c r="J20" s="62">
        <f>J19*T4</f>
        <v>0</v>
      </c>
      <c r="K20" s="62">
        <f>K19*T4</f>
        <v>0</v>
      </c>
      <c r="L20" s="31">
        <f>SUM(I20:K20)</f>
        <v>0</v>
      </c>
      <c r="M20" s="16"/>
      <c r="N20" s="62">
        <f>N19*T4</f>
        <v>0</v>
      </c>
      <c r="O20" s="62">
        <f>O19*T4</f>
        <v>0</v>
      </c>
      <c r="P20" s="62">
        <f>P19*T4</f>
        <v>0</v>
      </c>
      <c r="Q20" s="31">
        <f>N20+O20+P20</f>
        <v>0</v>
      </c>
      <c r="R20" s="16"/>
      <c r="S20" s="146"/>
      <c r="T20" s="12"/>
      <c r="U20" s="17"/>
      <c r="V20" s="12" t="s">
        <v>24</v>
      </c>
      <c r="W20" s="37">
        <v>0.2</v>
      </c>
      <c r="X20" s="202" t="s">
        <v>25</v>
      </c>
      <c r="Y20" s="39"/>
      <c r="Z20" s="18"/>
      <c r="AA20" s="12"/>
    </row>
    <row r="21" spans="1:27" x14ac:dyDescent="0.25">
      <c r="A21" s="16"/>
      <c r="B21" s="14"/>
      <c r="C21" s="16"/>
      <c r="D21" s="158"/>
      <c r="E21" s="158"/>
      <c r="F21" s="158"/>
      <c r="G21" s="63"/>
      <c r="H21" s="16"/>
      <c r="I21" s="159"/>
      <c r="J21" s="159"/>
      <c r="K21" s="159"/>
      <c r="L21" s="63"/>
      <c r="M21" s="16"/>
      <c r="N21" s="159"/>
      <c r="O21" s="159"/>
      <c r="P21" s="159"/>
      <c r="Q21" s="63"/>
      <c r="R21" s="16"/>
      <c r="S21" s="75"/>
      <c r="T21" s="12"/>
      <c r="U21" s="17"/>
      <c r="V21" s="13" t="s">
        <v>37</v>
      </c>
      <c r="W21" s="54"/>
      <c r="X21" s="12"/>
      <c r="Y21" s="39"/>
      <c r="Z21" s="18"/>
      <c r="AA21" s="12"/>
    </row>
    <row r="22" spans="1:27" ht="45" x14ac:dyDescent="0.25">
      <c r="A22" s="12"/>
      <c r="B22" s="33" t="s">
        <v>53</v>
      </c>
      <c r="C22" s="16"/>
      <c r="D22" s="160" t="s">
        <v>171</v>
      </c>
      <c r="E22" s="160" t="s">
        <v>172</v>
      </c>
      <c r="F22" s="160" t="s">
        <v>173</v>
      </c>
      <c r="G22" s="160" t="s">
        <v>23</v>
      </c>
      <c r="H22" s="153"/>
      <c r="I22" s="160" t="str">
        <f>D22</f>
        <v>Swine &lt; 55 lbs</v>
      </c>
      <c r="J22" s="160" t="str">
        <f t="shared" ref="J22" si="11">E22</f>
        <v>Swine 55-330 lbs</v>
      </c>
      <c r="K22" s="160" t="str">
        <f>F22</f>
        <v>Swine &gt; 330 lbs [breeding]</v>
      </c>
      <c r="L22" s="160" t="s">
        <v>23</v>
      </c>
      <c r="M22" s="153"/>
      <c r="N22" s="160" t="str">
        <f>D22</f>
        <v>Swine &lt; 55 lbs</v>
      </c>
      <c r="O22" s="160" t="str">
        <f t="shared" ref="O22:P22" si="12">E22</f>
        <v>Swine 55-330 lbs</v>
      </c>
      <c r="P22" s="160" t="str">
        <f t="shared" si="12"/>
        <v>Swine &gt; 330 lbs [breeding]</v>
      </c>
      <c r="Q22" s="160" t="s">
        <v>23</v>
      </c>
      <c r="R22" s="16"/>
      <c r="S22" s="75"/>
      <c r="T22" s="12"/>
      <c r="U22" s="17"/>
      <c r="V22" s="12" t="s">
        <v>40</v>
      </c>
      <c r="W22" s="42">
        <v>0</v>
      </c>
      <c r="X22" s="202" t="s">
        <v>25</v>
      </c>
      <c r="Y22" s="39"/>
      <c r="Z22" s="18"/>
      <c r="AA22" s="12"/>
    </row>
    <row r="23" spans="1:27" x14ac:dyDescent="0.25">
      <c r="A23" s="12" t="s">
        <v>55</v>
      </c>
      <c r="B23" s="12" t="s">
        <v>56</v>
      </c>
      <c r="C23" s="16"/>
      <c r="D23" s="47">
        <f>D11</f>
        <v>0</v>
      </c>
      <c r="E23" s="47">
        <f>E11</f>
        <v>0</v>
      </c>
      <c r="F23" s="47">
        <f>F11</f>
        <v>0</v>
      </c>
      <c r="G23" s="13"/>
      <c r="H23" s="16"/>
      <c r="I23" s="47">
        <f>I11</f>
        <v>0</v>
      </c>
      <c r="J23" s="47">
        <f>J11</f>
        <v>0</v>
      </c>
      <c r="K23" s="47">
        <f>K11</f>
        <v>0</v>
      </c>
      <c r="L23" s="49"/>
      <c r="M23" s="16"/>
      <c r="N23" s="47">
        <f>N11</f>
        <v>0</v>
      </c>
      <c r="O23" s="47">
        <f>O11</f>
        <v>0</v>
      </c>
      <c r="P23" s="47">
        <f>P11</f>
        <v>0</v>
      </c>
      <c r="Q23" s="67"/>
      <c r="R23" s="16"/>
      <c r="S23" s="89"/>
      <c r="T23" s="12"/>
      <c r="U23" s="17"/>
      <c r="V23" s="12" t="s">
        <v>24</v>
      </c>
      <c r="W23" s="37">
        <v>0.2</v>
      </c>
      <c r="X23" s="202" t="s">
        <v>25</v>
      </c>
      <c r="Y23" s="39"/>
      <c r="Z23" s="18"/>
      <c r="AA23" s="12"/>
    </row>
    <row r="24" spans="1:27" ht="109.5" customHeight="1" x14ac:dyDescent="0.25">
      <c r="A24" s="12" t="s">
        <v>58</v>
      </c>
      <c r="B24" s="12" t="s">
        <v>59</v>
      </c>
      <c r="C24" s="16"/>
      <c r="D24" s="12">
        <v>16</v>
      </c>
      <c r="E24" s="15">
        <f>((41*2450)+(68*1540)+(91*1390))/(2450+1540+1390)</f>
        <v>61.646840148698885</v>
      </c>
      <c r="F24" s="12">
        <v>198</v>
      </c>
      <c r="G24" s="12"/>
      <c r="H24" s="16"/>
      <c r="I24" s="28">
        <f>D24</f>
        <v>16</v>
      </c>
      <c r="J24" s="28">
        <f>E24</f>
        <v>61.646840148698885</v>
      </c>
      <c r="K24" s="28">
        <f>F24</f>
        <v>198</v>
      </c>
      <c r="L24" s="49"/>
      <c r="M24" s="16"/>
      <c r="N24" s="68">
        <f>D24</f>
        <v>16</v>
      </c>
      <c r="O24" s="68">
        <f t="shared" ref="O24:P27" si="13">E24</f>
        <v>61.646840148698885</v>
      </c>
      <c r="P24" s="68">
        <f t="shared" si="13"/>
        <v>198</v>
      </c>
      <c r="Q24" s="67"/>
      <c r="R24" s="16"/>
      <c r="S24" s="206" t="s">
        <v>179</v>
      </c>
      <c r="T24" s="12"/>
      <c r="U24" s="17"/>
      <c r="V24" s="12" t="s">
        <v>47</v>
      </c>
      <c r="W24" s="42">
        <v>0.01</v>
      </c>
      <c r="X24" s="202" t="s">
        <v>25</v>
      </c>
      <c r="Y24" s="39"/>
      <c r="Z24" s="18"/>
      <c r="AA24" s="12"/>
    </row>
    <row r="25" spans="1:27" x14ac:dyDescent="0.25">
      <c r="A25" s="12" t="s">
        <v>62</v>
      </c>
      <c r="B25" s="12" t="s">
        <v>63</v>
      </c>
      <c r="C25" s="16"/>
      <c r="D25" s="48">
        <f>(8.8*365)/1000</f>
        <v>3.2120000000000006</v>
      </c>
      <c r="E25" s="48">
        <f>(5.4*365)/1000</f>
        <v>1.9710000000000003</v>
      </c>
      <c r="F25" s="48">
        <f>(2.7*365)/1000</f>
        <v>0.98550000000000015</v>
      </c>
      <c r="G25" s="12"/>
      <c r="H25" s="16"/>
      <c r="I25" s="12">
        <f t="shared" ref="I25:K27" si="14">D25</f>
        <v>3.2120000000000006</v>
      </c>
      <c r="J25" s="12">
        <f t="shared" si="14"/>
        <v>1.9710000000000003</v>
      </c>
      <c r="K25" s="12">
        <f t="shared" si="14"/>
        <v>0.98550000000000015</v>
      </c>
      <c r="L25" s="49"/>
      <c r="M25" s="16"/>
      <c r="N25" s="12">
        <f>D25</f>
        <v>3.2120000000000006</v>
      </c>
      <c r="O25" s="12">
        <f t="shared" si="13"/>
        <v>1.9710000000000003</v>
      </c>
      <c r="P25" s="12">
        <f t="shared" si="13"/>
        <v>0.98550000000000015</v>
      </c>
      <c r="Q25" s="67"/>
      <c r="R25" s="16"/>
      <c r="S25" s="201" t="s">
        <v>157</v>
      </c>
      <c r="T25" s="12"/>
      <c r="U25" s="17"/>
      <c r="V25" s="12" t="s">
        <v>49</v>
      </c>
      <c r="W25" s="42">
        <v>0.02</v>
      </c>
      <c r="X25" s="202" t="s">
        <v>25</v>
      </c>
      <c r="Y25" s="39"/>
      <c r="Z25" s="18"/>
      <c r="AA25" s="12"/>
    </row>
    <row r="26" spans="1:27" x14ac:dyDescent="0.25">
      <c r="A26" s="12" t="s">
        <v>66</v>
      </c>
      <c r="B26" s="12" t="s">
        <v>158</v>
      </c>
      <c r="C26" s="16"/>
      <c r="D26" s="12">
        <v>0.48</v>
      </c>
      <c r="E26" s="12">
        <v>0.48</v>
      </c>
      <c r="F26" s="12">
        <v>0.48</v>
      </c>
      <c r="G26" s="12"/>
      <c r="H26" s="16"/>
      <c r="I26" s="12">
        <f t="shared" si="14"/>
        <v>0.48</v>
      </c>
      <c r="J26" s="12">
        <f t="shared" si="14"/>
        <v>0.48</v>
      </c>
      <c r="K26" s="12">
        <f t="shared" si="14"/>
        <v>0.48</v>
      </c>
      <c r="L26" s="49"/>
      <c r="M26" s="16"/>
      <c r="N26" s="12">
        <f>D26</f>
        <v>0.48</v>
      </c>
      <c r="O26" s="12">
        <f t="shared" si="13"/>
        <v>0.48</v>
      </c>
      <c r="P26" s="12">
        <f t="shared" si="13"/>
        <v>0.48</v>
      </c>
      <c r="Q26" s="67"/>
      <c r="R26" s="16"/>
      <c r="S26" s="201" t="s">
        <v>156</v>
      </c>
      <c r="T26" s="12"/>
      <c r="U26" s="17"/>
      <c r="V26" s="12" t="s">
        <v>132</v>
      </c>
      <c r="W26" s="42">
        <v>1E-3</v>
      </c>
      <c r="X26" s="202" t="s">
        <v>25</v>
      </c>
      <c r="Y26" s="39"/>
      <c r="Z26" s="18"/>
      <c r="AA26" s="12"/>
    </row>
    <row r="27" spans="1:27" x14ac:dyDescent="0.25">
      <c r="A27" s="12" t="s">
        <v>70</v>
      </c>
      <c r="B27" s="12" t="s">
        <v>71</v>
      </c>
      <c r="C27" s="16"/>
      <c r="D27" s="12">
        <v>0.66200000000000003</v>
      </c>
      <c r="E27" s="12">
        <v>0.66200000000000003</v>
      </c>
      <c r="F27" s="12">
        <v>0.66200000000000003</v>
      </c>
      <c r="G27" s="12"/>
      <c r="H27" s="16"/>
      <c r="I27" s="12">
        <f t="shared" si="14"/>
        <v>0.66200000000000003</v>
      </c>
      <c r="J27" s="12">
        <f t="shared" si="14"/>
        <v>0.66200000000000003</v>
      </c>
      <c r="K27" s="12">
        <f t="shared" si="14"/>
        <v>0.66200000000000003</v>
      </c>
      <c r="L27" s="49"/>
      <c r="M27" s="16"/>
      <c r="N27" s="12">
        <f>D27</f>
        <v>0.66200000000000003</v>
      </c>
      <c r="O27" s="12">
        <f t="shared" si="13"/>
        <v>0.66200000000000003</v>
      </c>
      <c r="P27" s="12">
        <f t="shared" si="13"/>
        <v>0.66200000000000003</v>
      </c>
      <c r="Q27" s="67"/>
      <c r="R27" s="16"/>
      <c r="S27" s="75"/>
      <c r="T27" s="12"/>
      <c r="U27" s="17"/>
      <c r="V27" s="12" t="s">
        <v>52</v>
      </c>
      <c r="W27" s="65">
        <v>4.7000000000000002E-3</v>
      </c>
      <c r="X27" s="202" t="s">
        <v>25</v>
      </c>
      <c r="Y27" s="39"/>
      <c r="Z27" s="18"/>
      <c r="AA27" s="12"/>
    </row>
    <row r="28" spans="1:27" ht="15.75" thickBot="1" x14ac:dyDescent="0.3">
      <c r="A28" s="12" t="s">
        <v>74</v>
      </c>
      <c r="B28" s="64" t="s">
        <v>180</v>
      </c>
      <c r="C28" s="16"/>
      <c r="D28" s="28">
        <f>D23*D24*D25*D26*D27</f>
        <v>0</v>
      </c>
      <c r="E28" s="28">
        <f>E23*E24*E25*E26*E27</f>
        <v>0</v>
      </c>
      <c r="F28" s="28">
        <f>F23*F24*F25*F26*F27</f>
        <v>0</v>
      </c>
      <c r="G28" s="13"/>
      <c r="H28" s="16"/>
      <c r="I28" s="28">
        <f>I23*I24*I25*I26*I27</f>
        <v>0</v>
      </c>
      <c r="J28" s="28">
        <f t="shared" ref="J28:K28" si="15">J23*J24*J25*J26*J27</f>
        <v>0</v>
      </c>
      <c r="K28" s="28">
        <f t="shared" si="15"/>
        <v>0</v>
      </c>
      <c r="L28" s="49"/>
      <c r="M28" s="16"/>
      <c r="N28" s="28">
        <f>N23*N24*N25*N26*N27</f>
        <v>0</v>
      </c>
      <c r="O28" s="28">
        <f t="shared" ref="O28:P28" si="16">O23*O24*O25*O26*O27</f>
        <v>0</v>
      </c>
      <c r="P28" s="28">
        <f t="shared" si="16"/>
        <v>0</v>
      </c>
      <c r="Q28" s="67"/>
      <c r="R28" s="16"/>
      <c r="S28" s="75"/>
      <c r="T28" s="12"/>
      <c r="U28" s="17"/>
      <c r="V28" s="12" t="s">
        <v>54</v>
      </c>
      <c r="W28" s="42">
        <v>5.0000000000000001E-3</v>
      </c>
      <c r="X28" s="202" t="s">
        <v>25</v>
      </c>
      <c r="Y28" s="39"/>
      <c r="Z28" s="18"/>
      <c r="AA28" s="12"/>
    </row>
    <row r="29" spans="1:27" ht="15.75" thickBot="1" x14ac:dyDescent="0.3">
      <c r="A29" s="12" t="s">
        <v>77</v>
      </c>
      <c r="B29" s="64" t="s">
        <v>78</v>
      </c>
      <c r="C29" s="16"/>
      <c r="D29" s="77">
        <f>W15</f>
        <v>0.25</v>
      </c>
      <c r="E29" s="77">
        <f>W15</f>
        <v>0.25</v>
      </c>
      <c r="F29" s="77">
        <f>W15</f>
        <v>0.25</v>
      </c>
      <c r="G29" s="13"/>
      <c r="H29" s="16"/>
      <c r="I29" s="139">
        <f>D29</f>
        <v>0.25</v>
      </c>
      <c r="J29" s="139">
        <f>E29</f>
        <v>0.25</v>
      </c>
      <c r="K29" s="139">
        <f>F29</f>
        <v>0.25</v>
      </c>
      <c r="L29" s="49"/>
      <c r="M29" s="16"/>
      <c r="N29" s="139">
        <f>D29</f>
        <v>0.25</v>
      </c>
      <c r="O29" s="139">
        <f t="shared" ref="O29:P29" si="17">E29</f>
        <v>0.25</v>
      </c>
      <c r="P29" s="139">
        <f t="shared" si="17"/>
        <v>0.25</v>
      </c>
      <c r="Q29" s="67"/>
      <c r="R29" s="16"/>
      <c r="S29" s="201" t="s">
        <v>181</v>
      </c>
      <c r="T29" s="12"/>
      <c r="U29" s="17"/>
      <c r="V29" s="12" t="s">
        <v>57</v>
      </c>
      <c r="W29" s="42">
        <v>0.01</v>
      </c>
      <c r="X29" s="202" t="s">
        <v>25</v>
      </c>
      <c r="Y29" s="39"/>
      <c r="Z29" s="18"/>
      <c r="AA29" s="12"/>
    </row>
    <row r="30" spans="1:27" x14ac:dyDescent="0.25">
      <c r="A30" s="12" t="s">
        <v>79</v>
      </c>
      <c r="B30" s="64" t="s">
        <v>182</v>
      </c>
      <c r="C30" s="16"/>
      <c r="D30" s="15">
        <f>D28/1000*D29</f>
        <v>0</v>
      </c>
      <c r="E30" s="15">
        <f t="shared" ref="E30:F30" si="18">E28/1000*E29</f>
        <v>0</v>
      </c>
      <c r="F30" s="15">
        <f t="shared" si="18"/>
        <v>0</v>
      </c>
      <c r="G30" s="13"/>
      <c r="H30" s="16"/>
      <c r="I30" s="15">
        <f>I28/1000*I29</f>
        <v>0</v>
      </c>
      <c r="J30" s="15">
        <f t="shared" ref="J30:K30" si="19">J28/1000*J29</f>
        <v>0</v>
      </c>
      <c r="K30" s="15">
        <f t="shared" si="19"/>
        <v>0</v>
      </c>
      <c r="L30" s="49"/>
      <c r="M30" s="16"/>
      <c r="N30" s="15">
        <f>N28/1000*N29</f>
        <v>0</v>
      </c>
      <c r="O30" s="15">
        <f t="shared" ref="O30:P30" si="20">O28/1000*O29</f>
        <v>0</v>
      </c>
      <c r="P30" s="15">
        <f t="shared" si="20"/>
        <v>0</v>
      </c>
      <c r="Q30" s="67"/>
      <c r="R30" s="16"/>
      <c r="S30" s="75"/>
      <c r="T30" s="12"/>
      <c r="U30" s="17"/>
      <c r="V30" s="12" t="s">
        <v>61</v>
      </c>
      <c r="W30" s="42">
        <v>0.01</v>
      </c>
      <c r="X30" s="202" t="s">
        <v>25</v>
      </c>
      <c r="Y30" s="39"/>
      <c r="Z30" s="18"/>
      <c r="AA30" s="12"/>
    </row>
    <row r="31" spans="1:27" x14ac:dyDescent="0.25">
      <c r="A31" s="12" t="s">
        <v>82</v>
      </c>
      <c r="B31" s="12" t="s">
        <v>160</v>
      </c>
      <c r="C31" s="16"/>
      <c r="D31" s="60">
        <f>1000*2.2046/2000</f>
        <v>1.1023000000000001</v>
      </c>
      <c r="E31" s="60">
        <f t="shared" ref="E31:F31" si="21">1000*2.2046/2000</f>
        <v>1.1023000000000001</v>
      </c>
      <c r="F31" s="60">
        <f t="shared" si="21"/>
        <v>1.1023000000000001</v>
      </c>
      <c r="G31" s="13"/>
      <c r="H31" s="16"/>
      <c r="I31" s="12">
        <f>D31</f>
        <v>1.1023000000000001</v>
      </c>
      <c r="J31" s="12">
        <f>E31</f>
        <v>1.1023000000000001</v>
      </c>
      <c r="K31" s="12">
        <f>F31</f>
        <v>1.1023000000000001</v>
      </c>
      <c r="L31" s="49"/>
      <c r="M31" s="16"/>
      <c r="N31" s="79">
        <f>D31</f>
        <v>1.1023000000000001</v>
      </c>
      <c r="O31" s="79">
        <f t="shared" ref="O31:P31" si="22">E31</f>
        <v>1.1023000000000001</v>
      </c>
      <c r="P31" s="79">
        <f t="shared" si="22"/>
        <v>1.1023000000000001</v>
      </c>
      <c r="Q31" s="67"/>
      <c r="R31" s="16"/>
      <c r="S31" s="75"/>
      <c r="T31" s="12"/>
      <c r="U31" s="17"/>
      <c r="V31" s="12" t="s">
        <v>65</v>
      </c>
      <c r="W31" s="42">
        <v>5.0000000000000001E-3</v>
      </c>
      <c r="X31" s="202" t="s">
        <v>25</v>
      </c>
      <c r="Y31" s="39"/>
      <c r="Z31" s="18"/>
      <c r="AA31" s="12"/>
    </row>
    <row r="32" spans="1:27" ht="15.75" thickBot="1" x14ac:dyDescent="0.3">
      <c r="A32" s="12" t="s">
        <v>85</v>
      </c>
      <c r="B32" s="12" t="s">
        <v>86</v>
      </c>
      <c r="C32" s="16"/>
      <c r="D32" s="15">
        <f>D30*D31</f>
        <v>0</v>
      </c>
      <c r="E32" s="15">
        <f t="shared" ref="E32:F32" si="23">E30*E31</f>
        <v>0</v>
      </c>
      <c r="F32" s="15">
        <f t="shared" si="23"/>
        <v>0</v>
      </c>
      <c r="G32" s="49">
        <f>SUM(D32:F32)</f>
        <v>0</v>
      </c>
      <c r="H32" s="16"/>
      <c r="I32" s="15">
        <f>I30*I31</f>
        <v>0</v>
      </c>
      <c r="J32" s="15">
        <f t="shared" ref="J32:K32" si="24">J30*J31</f>
        <v>0</v>
      </c>
      <c r="K32" s="15">
        <f t="shared" si="24"/>
        <v>0</v>
      </c>
      <c r="L32" s="49">
        <f>SUM(I32:K32)</f>
        <v>0</v>
      </c>
      <c r="M32" s="16"/>
      <c r="N32" s="15">
        <f>N30*N31</f>
        <v>0</v>
      </c>
      <c r="O32" s="15">
        <f t="shared" ref="O32:P32" si="25">O30*O31</f>
        <v>0</v>
      </c>
      <c r="P32" s="15">
        <f t="shared" si="25"/>
        <v>0</v>
      </c>
      <c r="Q32" s="67">
        <f t="shared" ref="Q32:Q33" si="26">N32+O32+P32</f>
        <v>0</v>
      </c>
      <c r="R32" s="16"/>
      <c r="S32" s="75"/>
      <c r="T32" s="12"/>
      <c r="U32" s="17"/>
      <c r="V32" s="74" t="s">
        <v>69</v>
      </c>
      <c r="W32" s="24"/>
      <c r="X32" s="24"/>
      <c r="Y32" s="24"/>
      <c r="Z32" s="18"/>
      <c r="AA32" s="12"/>
    </row>
    <row r="33" spans="1:27" ht="15.75" thickBot="1" x14ac:dyDescent="0.3">
      <c r="A33" s="12" t="s">
        <v>88</v>
      </c>
      <c r="B33" s="13" t="s">
        <v>50</v>
      </c>
      <c r="C33" s="16"/>
      <c r="D33" s="67">
        <f>D32*T4</f>
        <v>0</v>
      </c>
      <c r="E33" s="67">
        <f>E32*T4</f>
        <v>0</v>
      </c>
      <c r="F33" s="67">
        <f>F32*T4</f>
        <v>0</v>
      </c>
      <c r="G33" s="31">
        <f>SUM(D33:F33)</f>
        <v>0</v>
      </c>
      <c r="H33" s="16"/>
      <c r="I33" s="67">
        <f>I32*T4</f>
        <v>0</v>
      </c>
      <c r="J33" s="67">
        <f>J32*T4</f>
        <v>0</v>
      </c>
      <c r="K33" s="67">
        <f>K32*T4</f>
        <v>0</v>
      </c>
      <c r="L33" s="31">
        <f>SUM(I33:K33)</f>
        <v>0</v>
      </c>
      <c r="M33" s="16"/>
      <c r="N33" s="67">
        <f>N32*T4</f>
        <v>0</v>
      </c>
      <c r="O33" s="67">
        <f>O32*T4</f>
        <v>0</v>
      </c>
      <c r="P33" s="67">
        <f>P32*T4</f>
        <v>0</v>
      </c>
      <c r="Q33" s="31">
        <f t="shared" si="26"/>
        <v>0</v>
      </c>
      <c r="R33" s="16"/>
      <c r="S33" s="75"/>
      <c r="T33" s="12"/>
      <c r="U33" s="17"/>
      <c r="V33" s="74" t="s">
        <v>73</v>
      </c>
      <c r="W33" s="24"/>
      <c r="X33" s="24"/>
      <c r="Y33" s="24"/>
      <c r="Z33" s="18"/>
      <c r="AA33" s="12"/>
    </row>
    <row r="34" spans="1:27" x14ac:dyDescent="0.25">
      <c r="A34" s="16"/>
      <c r="B34" s="16"/>
      <c r="C34" s="16"/>
      <c r="D34" s="16"/>
      <c r="E34" s="16" t="s">
        <v>11</v>
      </c>
      <c r="F34" s="16"/>
      <c r="G34" s="16"/>
      <c r="H34" s="16"/>
      <c r="I34" s="45"/>
      <c r="J34" s="45"/>
      <c r="K34" s="45"/>
      <c r="L34" s="61"/>
      <c r="M34" s="16"/>
      <c r="N34" s="61"/>
      <c r="O34" s="61"/>
      <c r="P34" s="61"/>
      <c r="Q34" s="63"/>
      <c r="R34" s="16"/>
      <c r="S34" s="75"/>
      <c r="T34" s="12"/>
      <c r="U34" s="17"/>
      <c r="V34" s="12" t="s">
        <v>33</v>
      </c>
      <c r="W34" s="76">
        <v>5.0000000000000001E-3</v>
      </c>
      <c r="X34" s="202" t="s">
        <v>76</v>
      </c>
      <c r="Y34" s="12"/>
      <c r="Z34" s="18"/>
      <c r="AA34" s="12"/>
    </row>
    <row r="35" spans="1:27" ht="45" x14ac:dyDescent="0.25">
      <c r="A35" s="12"/>
      <c r="B35" s="74" t="s">
        <v>90</v>
      </c>
      <c r="C35" s="16"/>
      <c r="D35" s="161" t="s">
        <v>171</v>
      </c>
      <c r="E35" s="161" t="s">
        <v>172</v>
      </c>
      <c r="F35" s="161" t="s">
        <v>173</v>
      </c>
      <c r="G35" s="161" t="s">
        <v>23</v>
      </c>
      <c r="H35" s="153"/>
      <c r="I35" s="161" t="str">
        <f>D35</f>
        <v>Swine &lt; 55 lbs</v>
      </c>
      <c r="J35" s="161" t="str">
        <f t="shared" ref="J35" si="27">E35</f>
        <v>Swine 55-330 lbs</v>
      </c>
      <c r="K35" s="161" t="str">
        <f>F35</f>
        <v>Swine &gt; 330 lbs [breeding]</v>
      </c>
      <c r="L35" s="161" t="s">
        <v>23</v>
      </c>
      <c r="M35" s="153"/>
      <c r="N35" s="161" t="str">
        <f>D35</f>
        <v>Swine &lt; 55 lbs</v>
      </c>
      <c r="O35" s="161" t="str">
        <f t="shared" ref="O35:P35" si="28">E35</f>
        <v>Swine 55-330 lbs</v>
      </c>
      <c r="P35" s="161" t="str">
        <f t="shared" si="28"/>
        <v>Swine &gt; 330 lbs [breeding]</v>
      </c>
      <c r="Q35" s="161" t="s">
        <v>23</v>
      </c>
      <c r="R35" s="16"/>
      <c r="S35" s="75"/>
      <c r="T35" s="12"/>
      <c r="U35" s="17"/>
      <c r="V35" s="12" t="s">
        <v>34</v>
      </c>
      <c r="W35" s="76">
        <v>0</v>
      </c>
      <c r="X35" s="202" t="s">
        <v>76</v>
      </c>
      <c r="Y35" s="12"/>
      <c r="Z35" s="18"/>
      <c r="AA35" s="12"/>
    </row>
    <row r="36" spans="1:27" x14ac:dyDescent="0.25">
      <c r="A36" s="12" t="s">
        <v>92</v>
      </c>
      <c r="B36" s="12" t="s">
        <v>56</v>
      </c>
      <c r="C36" s="16"/>
      <c r="D36" s="28">
        <f>D11</f>
        <v>0</v>
      </c>
      <c r="E36" s="28">
        <f>E11</f>
        <v>0</v>
      </c>
      <c r="F36" s="28">
        <f>F11</f>
        <v>0</v>
      </c>
      <c r="G36" s="13"/>
      <c r="H36" s="16"/>
      <c r="I36" s="28">
        <f>I11</f>
        <v>0</v>
      </c>
      <c r="J36" s="28">
        <f>J11</f>
        <v>0</v>
      </c>
      <c r="K36" s="28">
        <f>K11</f>
        <v>0</v>
      </c>
      <c r="L36" s="49"/>
      <c r="M36" s="16"/>
      <c r="N36" s="28">
        <f>N11</f>
        <v>0</v>
      </c>
      <c r="O36" s="28">
        <f>O11</f>
        <v>0</v>
      </c>
      <c r="P36" s="28">
        <f>P11</f>
        <v>0</v>
      </c>
      <c r="Q36" s="67"/>
      <c r="R36" s="16"/>
      <c r="S36" s="75"/>
      <c r="T36" s="12"/>
      <c r="U36" s="17"/>
      <c r="V36" s="12" t="s">
        <v>81</v>
      </c>
      <c r="W36" s="76">
        <v>0.01</v>
      </c>
      <c r="X36" s="202" t="s">
        <v>76</v>
      </c>
      <c r="Y36" s="12"/>
      <c r="Z36" s="18"/>
      <c r="AA36" s="12"/>
    </row>
    <row r="37" spans="1:27" x14ac:dyDescent="0.25">
      <c r="A37" s="12" t="s">
        <v>93</v>
      </c>
      <c r="B37" s="12" t="s">
        <v>59</v>
      </c>
      <c r="C37" s="16"/>
      <c r="D37" s="28">
        <f>D24</f>
        <v>16</v>
      </c>
      <c r="E37" s="28">
        <f>E24</f>
        <v>61.646840148698885</v>
      </c>
      <c r="F37" s="28">
        <f>F24</f>
        <v>198</v>
      </c>
      <c r="G37" s="13"/>
      <c r="H37" s="16"/>
      <c r="I37" s="28">
        <f>I24</f>
        <v>16</v>
      </c>
      <c r="J37" s="28">
        <f>J24</f>
        <v>61.646840148698885</v>
      </c>
      <c r="K37" s="28">
        <f>K24</f>
        <v>198</v>
      </c>
      <c r="L37" s="49"/>
      <c r="M37" s="16"/>
      <c r="N37" s="28">
        <f>N24</f>
        <v>16</v>
      </c>
      <c r="O37" s="28">
        <f>O24</f>
        <v>61.646840148698885</v>
      </c>
      <c r="P37" s="28">
        <f>P24</f>
        <v>198</v>
      </c>
      <c r="Q37" s="67"/>
      <c r="R37" s="16"/>
      <c r="S37" s="162"/>
      <c r="T37" s="12"/>
      <c r="U37" s="17"/>
      <c r="V37" s="12" t="s">
        <v>84</v>
      </c>
      <c r="W37" s="80">
        <v>5.0000000000000001E-3</v>
      </c>
      <c r="X37" s="202" t="s">
        <v>76</v>
      </c>
      <c r="Y37" s="12"/>
      <c r="Z37" s="18"/>
      <c r="AA37" s="12"/>
    </row>
    <row r="38" spans="1:27" ht="15.75" thickBot="1" x14ac:dyDescent="0.3">
      <c r="A38" s="12" t="s">
        <v>94</v>
      </c>
      <c r="B38" s="12" t="s">
        <v>95</v>
      </c>
      <c r="C38" s="16"/>
      <c r="D38" s="86">
        <f>(0.92*365)/1000</f>
        <v>0.33579999999999999</v>
      </c>
      <c r="E38" s="86">
        <f>(0.54*365)/1000</f>
        <v>0.19710000000000003</v>
      </c>
      <c r="F38" s="86">
        <f>(0.2*365)/1000</f>
        <v>7.2999999999999995E-2</v>
      </c>
      <c r="G38" s="13"/>
      <c r="H38" s="16"/>
      <c r="I38" s="163">
        <f>D38</f>
        <v>0.33579999999999999</v>
      </c>
      <c r="J38" s="163">
        <v>0.19700000000000001</v>
      </c>
      <c r="K38" s="84">
        <f t="shared" ref="J38:K40" si="29">F38</f>
        <v>7.2999999999999995E-2</v>
      </c>
      <c r="L38" s="49"/>
      <c r="M38" s="16"/>
      <c r="N38" s="163">
        <f>D38</f>
        <v>0.33579999999999999</v>
      </c>
      <c r="O38" s="163">
        <v>0.19700000000000001</v>
      </c>
      <c r="P38" s="84">
        <f t="shared" ref="O38:P40" si="30">F38</f>
        <v>7.2999999999999995E-2</v>
      </c>
      <c r="Q38" s="67"/>
      <c r="R38" s="16"/>
      <c r="S38" s="201" t="s">
        <v>183</v>
      </c>
      <c r="T38" s="12"/>
      <c r="U38" s="17"/>
      <c r="V38" s="12" t="s">
        <v>27</v>
      </c>
      <c r="W38" s="80">
        <v>2E-3</v>
      </c>
      <c r="X38" s="202" t="s">
        <v>87</v>
      </c>
      <c r="Y38" s="12"/>
      <c r="Z38" s="18"/>
      <c r="AA38" s="12"/>
    </row>
    <row r="39" spans="1:27" ht="15.75" thickBot="1" x14ac:dyDescent="0.3">
      <c r="A39" s="12" t="s">
        <v>98</v>
      </c>
      <c r="B39" s="64" t="s">
        <v>99</v>
      </c>
      <c r="C39" s="16"/>
      <c r="D39" s="164">
        <f>W37</f>
        <v>5.0000000000000001E-3</v>
      </c>
      <c r="E39" s="133">
        <f>W37</f>
        <v>5.0000000000000001E-3</v>
      </c>
      <c r="F39" s="133">
        <f>W37</f>
        <v>5.0000000000000001E-3</v>
      </c>
      <c r="G39" s="13"/>
      <c r="H39" s="16"/>
      <c r="I39" s="134">
        <f>D39</f>
        <v>5.0000000000000001E-3</v>
      </c>
      <c r="J39" s="134">
        <f t="shared" si="29"/>
        <v>5.0000000000000001E-3</v>
      </c>
      <c r="K39" s="134">
        <f t="shared" si="29"/>
        <v>5.0000000000000001E-3</v>
      </c>
      <c r="L39" s="49"/>
      <c r="M39" s="16"/>
      <c r="N39" s="125">
        <f>D39</f>
        <v>5.0000000000000001E-3</v>
      </c>
      <c r="O39" s="125">
        <f t="shared" si="30"/>
        <v>5.0000000000000001E-3</v>
      </c>
      <c r="P39" s="125">
        <f t="shared" si="30"/>
        <v>5.0000000000000001E-3</v>
      </c>
      <c r="Q39" s="67"/>
      <c r="R39" s="16"/>
      <c r="S39" s="201" t="s">
        <v>184</v>
      </c>
      <c r="T39" s="12"/>
      <c r="U39" s="17"/>
      <c r="V39" s="12" t="s">
        <v>47</v>
      </c>
      <c r="W39" s="80">
        <v>0.02</v>
      </c>
      <c r="X39" s="202" t="s">
        <v>76</v>
      </c>
      <c r="Y39" s="12"/>
      <c r="Z39" s="18"/>
      <c r="AA39" s="12"/>
    </row>
    <row r="40" spans="1:27" x14ac:dyDescent="0.25">
      <c r="A40" s="12" t="s">
        <v>102</v>
      </c>
      <c r="B40" s="12" t="s">
        <v>103</v>
      </c>
      <c r="C40" s="16"/>
      <c r="D40" s="15">
        <v>1.5711338145316169</v>
      </c>
      <c r="E40" s="15">
        <v>1.5711338145316169</v>
      </c>
      <c r="F40" s="15">
        <v>1.5711338145316169</v>
      </c>
      <c r="G40" s="13"/>
      <c r="H40" s="16"/>
      <c r="I40" s="92">
        <f>D40</f>
        <v>1.5711338145316169</v>
      </c>
      <c r="J40" s="92">
        <f t="shared" si="29"/>
        <v>1.5711338145316169</v>
      </c>
      <c r="K40" s="92">
        <f t="shared" si="29"/>
        <v>1.5711338145316169</v>
      </c>
      <c r="L40" s="49"/>
      <c r="M40" s="16"/>
      <c r="N40" s="93">
        <f>D40</f>
        <v>1.5711338145316169</v>
      </c>
      <c r="O40" s="93">
        <f t="shared" si="30"/>
        <v>1.5711338145316169</v>
      </c>
      <c r="P40" s="93">
        <f t="shared" si="30"/>
        <v>1.5711338145316169</v>
      </c>
      <c r="Q40" s="67"/>
      <c r="R40" s="16"/>
      <c r="S40" s="75"/>
      <c r="T40" s="12"/>
      <c r="U40" s="17"/>
      <c r="V40" s="12" t="s">
        <v>49</v>
      </c>
      <c r="W40" s="80">
        <v>0.01</v>
      </c>
      <c r="X40" s="202" t="s">
        <v>76</v>
      </c>
      <c r="Y40" s="12"/>
      <c r="Z40" s="18"/>
      <c r="AA40" s="12"/>
    </row>
    <row r="41" spans="1:27" x14ac:dyDescent="0.25">
      <c r="A41" s="12" t="s">
        <v>105</v>
      </c>
      <c r="B41" s="12" t="s">
        <v>106</v>
      </c>
      <c r="C41" s="16"/>
      <c r="D41" s="15">
        <f>D36*D37*D38*D39*D40/1000</f>
        <v>0</v>
      </c>
      <c r="E41" s="15">
        <f>E36*E37*E38*E39*E40/1000</f>
        <v>0</v>
      </c>
      <c r="F41" s="15">
        <f t="shared" ref="F41" si="31">F36*F37*F38*F39*F40/1000</f>
        <v>0</v>
      </c>
      <c r="G41" s="13"/>
      <c r="H41" s="16"/>
      <c r="I41" s="15">
        <f>I36*I37*I38*I39*I40/1000</f>
        <v>0</v>
      </c>
      <c r="J41" s="15">
        <f t="shared" ref="J41:K41" si="32">J36*J37*J38*J39*J40/1000</f>
        <v>0</v>
      </c>
      <c r="K41" s="15">
        <f t="shared" si="32"/>
        <v>0</v>
      </c>
      <c r="L41" s="49"/>
      <c r="M41" s="16"/>
      <c r="N41" s="15">
        <f>N36*N37*N38*N39*N40/1000</f>
        <v>0</v>
      </c>
      <c r="O41" s="15">
        <f t="shared" ref="O41:P41" si="33">O36*O37*O38*O39*O40/1000</f>
        <v>0</v>
      </c>
      <c r="P41" s="15">
        <f t="shared" si="33"/>
        <v>0</v>
      </c>
      <c r="Q41" s="67"/>
      <c r="R41" s="16"/>
      <c r="S41" s="75"/>
      <c r="T41" s="12"/>
      <c r="U41" s="17"/>
      <c r="V41" s="12" t="s">
        <v>91</v>
      </c>
      <c r="W41" s="80">
        <v>0</v>
      </c>
      <c r="X41" s="202" t="s">
        <v>76</v>
      </c>
      <c r="Y41" s="12"/>
      <c r="Z41" s="18"/>
      <c r="AA41" s="12"/>
    </row>
    <row r="42" spans="1:27" x14ac:dyDescent="0.25">
      <c r="A42" s="12" t="s">
        <v>108</v>
      </c>
      <c r="B42" s="12" t="s">
        <v>160</v>
      </c>
      <c r="C42" s="16"/>
      <c r="D42" s="60">
        <f>1000*2.2046/2000</f>
        <v>1.1023000000000001</v>
      </c>
      <c r="E42" s="60">
        <f t="shared" ref="E42:F42" si="34">1000*2.2046/2000</f>
        <v>1.1023000000000001</v>
      </c>
      <c r="F42" s="60">
        <f t="shared" si="34"/>
        <v>1.1023000000000001</v>
      </c>
      <c r="G42" s="13"/>
      <c r="H42" s="16"/>
      <c r="I42" s="92">
        <f>D42</f>
        <v>1.1023000000000001</v>
      </c>
      <c r="J42" s="92">
        <f t="shared" ref="J42:K42" si="35">E42</f>
        <v>1.1023000000000001</v>
      </c>
      <c r="K42" s="92">
        <f t="shared" si="35"/>
        <v>1.1023000000000001</v>
      </c>
      <c r="L42" s="49"/>
      <c r="M42" s="16"/>
      <c r="N42" s="49">
        <f>D42</f>
        <v>1.1023000000000001</v>
      </c>
      <c r="O42" s="49">
        <f t="shared" ref="O42:P42" si="36">E42</f>
        <v>1.1023000000000001</v>
      </c>
      <c r="P42" s="49">
        <f t="shared" si="36"/>
        <v>1.1023000000000001</v>
      </c>
      <c r="Q42" s="67"/>
      <c r="R42" s="16"/>
      <c r="S42" s="75"/>
      <c r="T42" s="12"/>
      <c r="U42" s="17"/>
      <c r="V42" s="12" t="s">
        <v>52</v>
      </c>
      <c r="W42" s="80">
        <v>0</v>
      </c>
      <c r="X42" s="202" t="s">
        <v>76</v>
      </c>
      <c r="Y42" s="12"/>
      <c r="Z42" s="18"/>
      <c r="AA42" s="12"/>
    </row>
    <row r="43" spans="1:27" ht="15.75" thickBot="1" x14ac:dyDescent="0.3">
      <c r="A43" s="12" t="s">
        <v>110</v>
      </c>
      <c r="B43" s="12" t="s">
        <v>111</v>
      </c>
      <c r="C43" s="16"/>
      <c r="D43" s="15">
        <f>D41*D42</f>
        <v>0</v>
      </c>
      <c r="E43" s="15">
        <f t="shared" ref="E43:F43" si="37">E41*E42</f>
        <v>0</v>
      </c>
      <c r="F43" s="15">
        <f t="shared" si="37"/>
        <v>0</v>
      </c>
      <c r="G43" s="49">
        <f>SUM(D43:F43)</f>
        <v>0</v>
      </c>
      <c r="H43" s="16"/>
      <c r="I43" s="15">
        <f>I41*I42</f>
        <v>0</v>
      </c>
      <c r="J43" s="15">
        <f t="shared" ref="J43:K43" si="38">J41*J42</f>
        <v>0</v>
      </c>
      <c r="K43" s="15">
        <f t="shared" si="38"/>
        <v>0</v>
      </c>
      <c r="L43" s="49">
        <f>SUM(I43:K43)</f>
        <v>0</v>
      </c>
      <c r="M43" s="16"/>
      <c r="N43" s="15">
        <f>N41*N42</f>
        <v>0</v>
      </c>
      <c r="O43" s="15">
        <f t="shared" ref="O43:P43" si="39">O41*O42</f>
        <v>0</v>
      </c>
      <c r="P43" s="15">
        <f t="shared" si="39"/>
        <v>0</v>
      </c>
      <c r="Q43" s="49">
        <f>SUM(N43:P43)</f>
        <v>0</v>
      </c>
      <c r="R43" s="16"/>
      <c r="S43" s="75"/>
      <c r="T43" s="12"/>
      <c r="U43" s="17"/>
      <c r="V43" s="12" t="s">
        <v>54</v>
      </c>
      <c r="W43" s="80">
        <v>6.0000000000000001E-3</v>
      </c>
      <c r="X43" s="202" t="s">
        <v>76</v>
      </c>
      <c r="Y43" s="12"/>
      <c r="Z43" s="18"/>
      <c r="AA43" s="12"/>
    </row>
    <row r="44" spans="1:27" ht="15.75" thickBot="1" x14ac:dyDescent="0.3">
      <c r="A44" s="12" t="s">
        <v>114</v>
      </c>
      <c r="B44" s="13" t="s">
        <v>50</v>
      </c>
      <c r="C44" s="16"/>
      <c r="D44" s="67">
        <f>D43*T5</f>
        <v>0</v>
      </c>
      <c r="E44" s="67">
        <f>E43*T5</f>
        <v>0</v>
      </c>
      <c r="F44" s="67">
        <f>F43*T5</f>
        <v>0</v>
      </c>
      <c r="G44" s="31">
        <f>SUM(D44:F44)</f>
        <v>0</v>
      </c>
      <c r="H44" s="16"/>
      <c r="I44" s="67">
        <f>I43*T5</f>
        <v>0</v>
      </c>
      <c r="J44" s="67">
        <f>J43*T5</f>
        <v>0</v>
      </c>
      <c r="K44" s="67">
        <f>K43*T5</f>
        <v>0</v>
      </c>
      <c r="L44" s="31">
        <f>SUM(I44:K44)</f>
        <v>0</v>
      </c>
      <c r="M44" s="16"/>
      <c r="N44" s="67">
        <f>N43*T5</f>
        <v>0</v>
      </c>
      <c r="O44" s="67">
        <f>O43*T5</f>
        <v>0</v>
      </c>
      <c r="P44" s="67">
        <f>P43*T5</f>
        <v>0</v>
      </c>
      <c r="Q44" s="31">
        <f>SUM(N44:P44)</f>
        <v>0</v>
      </c>
      <c r="R44" s="16"/>
      <c r="S44" s="75"/>
      <c r="T44" s="12"/>
      <c r="U44" s="17"/>
      <c r="V44" s="12" t="s">
        <v>97</v>
      </c>
      <c r="W44" s="80">
        <v>0.01</v>
      </c>
      <c r="X44" s="202" t="s">
        <v>76</v>
      </c>
      <c r="Y44" s="12"/>
      <c r="Z44" s="18"/>
      <c r="AA44" s="12"/>
    </row>
    <row r="45" spans="1:27" x14ac:dyDescent="0.25">
      <c r="A45" s="16"/>
      <c r="B45" s="16"/>
      <c r="C45" s="16"/>
      <c r="D45" s="16"/>
      <c r="E45" s="16"/>
      <c r="F45" s="16"/>
      <c r="G45" s="16"/>
      <c r="H45" s="16"/>
      <c r="I45" s="45"/>
      <c r="J45" s="45"/>
      <c r="K45" s="45"/>
      <c r="L45" s="61"/>
      <c r="M45" s="16"/>
      <c r="N45" s="61"/>
      <c r="O45" s="61"/>
      <c r="P45" s="61"/>
      <c r="Q45" s="61"/>
      <c r="R45" s="16"/>
      <c r="S45" s="75"/>
      <c r="T45" s="12"/>
      <c r="U45" s="17"/>
      <c r="V45" s="12" t="s">
        <v>101</v>
      </c>
      <c r="W45" s="80">
        <v>0.01</v>
      </c>
      <c r="X45" s="202" t="s">
        <v>76</v>
      </c>
      <c r="Y45" s="12"/>
      <c r="Z45" s="18"/>
      <c r="AA45" s="12"/>
    </row>
    <row r="46" spans="1:27" ht="45" x14ac:dyDescent="0.25">
      <c r="A46" s="12"/>
      <c r="B46" s="99" t="s">
        <v>118</v>
      </c>
      <c r="C46" s="16"/>
      <c r="D46" s="165" t="s">
        <v>171</v>
      </c>
      <c r="E46" s="165" t="s">
        <v>172</v>
      </c>
      <c r="F46" s="165" t="s">
        <v>173</v>
      </c>
      <c r="G46" s="165" t="s">
        <v>23</v>
      </c>
      <c r="H46" s="153"/>
      <c r="I46" s="165" t="str">
        <f>D46</f>
        <v>Swine &lt; 55 lbs</v>
      </c>
      <c r="J46" s="165" t="str">
        <f t="shared" ref="J46" si="40">E46</f>
        <v>Swine 55-330 lbs</v>
      </c>
      <c r="K46" s="165" t="str">
        <f>F46</f>
        <v>Swine &gt; 330 lbs [breeding]</v>
      </c>
      <c r="L46" s="165" t="s">
        <v>23</v>
      </c>
      <c r="M46" s="153"/>
      <c r="N46" s="165" t="str">
        <f>D46</f>
        <v>Swine &lt; 55 lbs</v>
      </c>
      <c r="O46" s="165" t="str">
        <f t="shared" ref="O46:P46" si="41">E46</f>
        <v>Swine 55-330 lbs</v>
      </c>
      <c r="P46" s="165" t="str">
        <f t="shared" si="41"/>
        <v>Swine &gt; 330 lbs [breeding]</v>
      </c>
      <c r="Q46" s="165" t="s">
        <v>23</v>
      </c>
      <c r="R46" s="16"/>
      <c r="S46" s="75"/>
      <c r="T46" s="12"/>
      <c r="U46" s="17"/>
      <c r="V46" s="12" t="s">
        <v>104</v>
      </c>
      <c r="W46" s="80">
        <v>5.0000000000000001E-3</v>
      </c>
      <c r="X46" s="202" t="s">
        <v>76</v>
      </c>
      <c r="Y46" s="12"/>
      <c r="Z46" s="18"/>
      <c r="AA46" s="12"/>
    </row>
    <row r="47" spans="1:27" ht="15.75" thickBot="1" x14ac:dyDescent="0.3">
      <c r="A47" s="12" t="s">
        <v>120</v>
      </c>
      <c r="B47" s="12" t="s">
        <v>165</v>
      </c>
      <c r="C47" s="16"/>
      <c r="D47" s="28">
        <f>(D36*D37*D38)-D41*1000/D40</f>
        <v>0</v>
      </c>
      <c r="E47" s="28">
        <f>(E36*E37*E38)-E41*1000/E40</f>
        <v>0</v>
      </c>
      <c r="F47" s="28">
        <f>(F36*F37*F38)-F41*1000/F40</f>
        <v>0</v>
      </c>
      <c r="G47" s="12"/>
      <c r="H47" s="16"/>
      <c r="I47" s="28">
        <f>(I36*I37*I38)-I41*1000/I40</f>
        <v>0</v>
      </c>
      <c r="J47" s="28">
        <f>(J36*J37*J38)-J41*1000/J40</f>
        <v>0</v>
      </c>
      <c r="K47" s="28">
        <f>(K36*K37*K38)-K41*1000/K40</f>
        <v>0</v>
      </c>
      <c r="L47" s="49"/>
      <c r="M47" s="16"/>
      <c r="N47" s="28">
        <f>(N36*N37*N38)-N41*1000/N40</f>
        <v>0</v>
      </c>
      <c r="O47" s="28">
        <f>(O36*O37*O38)-O41*1000/O40</f>
        <v>0</v>
      </c>
      <c r="P47" s="28">
        <f>(P36*P37*P38)-P41*1000/P40</f>
        <v>0</v>
      </c>
      <c r="Q47" s="12"/>
      <c r="R47" s="16"/>
      <c r="S47" s="75"/>
      <c r="T47" s="12"/>
      <c r="U47" s="17"/>
      <c r="V47" s="99" t="s">
        <v>164</v>
      </c>
      <c r="W47" s="26"/>
      <c r="X47" s="26"/>
      <c r="Y47" s="26"/>
      <c r="Z47" s="18"/>
      <c r="AA47" s="12"/>
    </row>
    <row r="48" spans="1:27" ht="15.75" thickBot="1" x14ac:dyDescent="0.3">
      <c r="A48" s="12" t="s">
        <v>124</v>
      </c>
      <c r="B48" s="64" t="s">
        <v>125</v>
      </c>
      <c r="C48" s="16"/>
      <c r="D48" s="137">
        <f>W51</f>
        <v>4.0000000000000001E-3</v>
      </c>
      <c r="E48" s="137">
        <f>W51</f>
        <v>4.0000000000000001E-3</v>
      </c>
      <c r="F48" s="137">
        <f>W51</f>
        <v>4.0000000000000001E-3</v>
      </c>
      <c r="G48" s="12"/>
      <c r="H48" s="16"/>
      <c r="I48" s="137">
        <f>D48</f>
        <v>4.0000000000000001E-3</v>
      </c>
      <c r="J48" s="137">
        <f t="shared" ref="J48:K51" si="42">E48</f>
        <v>4.0000000000000001E-3</v>
      </c>
      <c r="K48" s="137">
        <f t="shared" si="42"/>
        <v>4.0000000000000001E-3</v>
      </c>
      <c r="L48" s="12"/>
      <c r="M48" s="16"/>
      <c r="N48" s="137">
        <f>D48</f>
        <v>4.0000000000000001E-3</v>
      </c>
      <c r="O48" s="137">
        <f t="shared" ref="O48:P51" si="43">E48</f>
        <v>4.0000000000000001E-3</v>
      </c>
      <c r="P48" s="137">
        <f t="shared" si="43"/>
        <v>4.0000000000000001E-3</v>
      </c>
      <c r="Q48" s="12"/>
      <c r="R48" s="16"/>
      <c r="S48" s="201" t="s">
        <v>126</v>
      </c>
      <c r="T48" s="12"/>
      <c r="U48" s="17"/>
      <c r="V48" s="99" t="s">
        <v>109</v>
      </c>
      <c r="W48" s="99"/>
      <c r="X48" s="99"/>
      <c r="Y48" s="99"/>
      <c r="Z48" s="18"/>
      <c r="AA48" s="12"/>
    </row>
    <row r="49" spans="1:27" ht="15.75" thickBot="1" x14ac:dyDescent="0.3">
      <c r="A49" s="12" t="s">
        <v>127</v>
      </c>
      <c r="B49" s="64" t="s">
        <v>128</v>
      </c>
      <c r="C49" s="16"/>
      <c r="D49" s="139">
        <f>X51</f>
        <v>0.26</v>
      </c>
      <c r="E49" s="139">
        <f>X51</f>
        <v>0.26</v>
      </c>
      <c r="F49" s="139">
        <f>X51</f>
        <v>0.26</v>
      </c>
      <c r="G49" s="12"/>
      <c r="H49" s="16"/>
      <c r="I49" s="139">
        <f>D49</f>
        <v>0.26</v>
      </c>
      <c r="J49" s="139">
        <f t="shared" si="42"/>
        <v>0.26</v>
      </c>
      <c r="K49" s="139">
        <f t="shared" si="42"/>
        <v>0.26</v>
      </c>
      <c r="L49" s="12"/>
      <c r="M49" s="16"/>
      <c r="N49" s="139">
        <f>D49</f>
        <v>0.26</v>
      </c>
      <c r="O49" s="139">
        <f t="shared" si="43"/>
        <v>0.26</v>
      </c>
      <c r="P49" s="139">
        <f t="shared" si="43"/>
        <v>0.26</v>
      </c>
      <c r="Q49" s="12"/>
      <c r="R49" s="16"/>
      <c r="S49" s="201" t="s">
        <v>126</v>
      </c>
      <c r="T49" s="12"/>
      <c r="U49" s="17"/>
      <c r="V49" s="13" t="s">
        <v>174</v>
      </c>
      <c r="W49" s="144" t="s">
        <v>112</v>
      </c>
      <c r="X49" s="144" t="s">
        <v>113</v>
      </c>
      <c r="Y49" s="13" t="s">
        <v>19</v>
      </c>
      <c r="Z49" s="18"/>
      <c r="AA49" s="12"/>
    </row>
    <row r="50" spans="1:27" x14ac:dyDescent="0.25">
      <c r="A50" s="12" t="s">
        <v>129</v>
      </c>
      <c r="B50" s="64" t="s">
        <v>130</v>
      </c>
      <c r="C50" s="16"/>
      <c r="D50" s="166">
        <v>0.01</v>
      </c>
      <c r="E50" s="166">
        <v>0.01</v>
      </c>
      <c r="F50" s="166">
        <v>0.01</v>
      </c>
      <c r="G50" s="12"/>
      <c r="H50" s="16"/>
      <c r="I50" s="166">
        <v>0.01</v>
      </c>
      <c r="J50" s="166">
        <v>0.01</v>
      </c>
      <c r="K50" s="166">
        <v>0.01</v>
      </c>
      <c r="L50" s="12"/>
      <c r="M50" s="16"/>
      <c r="N50" s="166">
        <v>0.01</v>
      </c>
      <c r="O50" s="166">
        <v>0.01</v>
      </c>
      <c r="P50" s="166">
        <v>0.01</v>
      </c>
      <c r="Q50" s="12"/>
      <c r="R50" s="16"/>
      <c r="S50" s="201" t="s">
        <v>131</v>
      </c>
      <c r="T50" s="12"/>
      <c r="U50" s="17"/>
      <c r="V50" s="12" t="s">
        <v>116</v>
      </c>
      <c r="W50" s="96">
        <v>4.0000000000000001E-3</v>
      </c>
      <c r="X50" s="97">
        <v>0.57999999999999996</v>
      </c>
      <c r="Y50" s="202" t="s">
        <v>117</v>
      </c>
      <c r="Z50" s="18"/>
      <c r="AA50" s="12"/>
    </row>
    <row r="51" spans="1:27" x14ac:dyDescent="0.25">
      <c r="A51" s="12" t="s">
        <v>133</v>
      </c>
      <c r="B51" s="12" t="s">
        <v>134</v>
      </c>
      <c r="C51" s="16"/>
      <c r="D51" s="15">
        <v>1.5711338145316169</v>
      </c>
      <c r="E51" s="15">
        <v>1.5711338145316169</v>
      </c>
      <c r="F51" s="15">
        <v>1.5711338145316169</v>
      </c>
      <c r="G51" s="12"/>
      <c r="H51" s="16"/>
      <c r="I51" s="15">
        <f>D51</f>
        <v>1.5711338145316169</v>
      </c>
      <c r="J51" s="15">
        <f t="shared" si="42"/>
        <v>1.5711338145316169</v>
      </c>
      <c r="K51" s="15">
        <f t="shared" si="42"/>
        <v>1.5711338145316169</v>
      </c>
      <c r="L51" s="12"/>
      <c r="M51" s="16"/>
      <c r="N51" s="49">
        <f>D51</f>
        <v>1.5711338145316169</v>
      </c>
      <c r="O51" s="49">
        <f t="shared" si="43"/>
        <v>1.5711338145316169</v>
      </c>
      <c r="P51" s="49">
        <f t="shared" si="43"/>
        <v>1.5711338145316169</v>
      </c>
      <c r="Q51" s="12"/>
      <c r="R51" s="16"/>
      <c r="S51" s="39"/>
      <c r="T51" s="12"/>
      <c r="U51" s="17"/>
      <c r="V51" s="12" t="s">
        <v>119</v>
      </c>
      <c r="W51" s="96">
        <v>4.0000000000000001E-3</v>
      </c>
      <c r="X51" s="97">
        <v>0.26</v>
      </c>
      <c r="Y51" s="202" t="s">
        <v>117</v>
      </c>
      <c r="Z51" s="18"/>
      <c r="AA51" s="12"/>
    </row>
    <row r="52" spans="1:27" x14ac:dyDescent="0.25">
      <c r="A52" s="12" t="s">
        <v>135</v>
      </c>
      <c r="B52" s="12" t="s">
        <v>136</v>
      </c>
      <c r="C52" s="16"/>
      <c r="D52" s="49">
        <f>(D47-((D48+D49)*D47))*D50*D51/1000</f>
        <v>0</v>
      </c>
      <c r="E52" s="49">
        <f t="shared" ref="E52:F52" si="44">(E47-((E48+E49)*E47))*E50*E51/1000</f>
        <v>0</v>
      </c>
      <c r="F52" s="49">
        <f t="shared" si="44"/>
        <v>0</v>
      </c>
      <c r="G52" s="12"/>
      <c r="H52" s="16"/>
      <c r="I52" s="49">
        <f>(I47-((I48+I49)*I47))*I50*I51/1000</f>
        <v>0</v>
      </c>
      <c r="J52" s="49">
        <f t="shared" ref="J52:K52" si="45">(J47-((J48+J49)*J47))*J50*J51/1000</f>
        <v>0</v>
      </c>
      <c r="K52" s="49">
        <f t="shared" si="45"/>
        <v>0</v>
      </c>
      <c r="L52" s="12"/>
      <c r="M52" s="16"/>
      <c r="N52" s="49">
        <f>(N47-((N48+N49)*N47))*N50*N51/1000</f>
        <v>0</v>
      </c>
      <c r="O52" s="49">
        <f t="shared" ref="O52:P52" si="46">(O47-((O48+O49)*O47))*O50*O51/1000</f>
        <v>0</v>
      </c>
      <c r="P52" s="49">
        <f t="shared" si="46"/>
        <v>0</v>
      </c>
      <c r="Q52" s="12"/>
      <c r="R52" s="16"/>
      <c r="S52" s="64"/>
      <c r="T52" s="12"/>
      <c r="U52" s="17"/>
      <c r="V52" s="12" t="s">
        <v>122</v>
      </c>
      <c r="W52" s="96">
        <v>0</v>
      </c>
      <c r="X52" s="97">
        <v>0.34</v>
      </c>
      <c r="Y52" s="202" t="s">
        <v>185</v>
      </c>
      <c r="Z52" s="18"/>
      <c r="AA52" s="12"/>
    </row>
    <row r="53" spans="1:27" x14ac:dyDescent="0.25">
      <c r="A53" s="12" t="s">
        <v>138</v>
      </c>
      <c r="B53" s="12" t="s">
        <v>160</v>
      </c>
      <c r="C53" s="16"/>
      <c r="D53" s="60">
        <f>1000*2.2046/2000</f>
        <v>1.1023000000000001</v>
      </c>
      <c r="E53" s="60">
        <f t="shared" ref="E53:F53" si="47">1000*2.2046/2000</f>
        <v>1.1023000000000001</v>
      </c>
      <c r="F53" s="60">
        <f t="shared" si="47"/>
        <v>1.1023000000000001</v>
      </c>
      <c r="G53" s="12"/>
      <c r="H53" s="16"/>
      <c r="I53" s="60">
        <f>D53</f>
        <v>1.1023000000000001</v>
      </c>
      <c r="J53" s="60">
        <f t="shared" ref="J53:K53" si="48">E53</f>
        <v>1.1023000000000001</v>
      </c>
      <c r="K53" s="60">
        <f t="shared" si="48"/>
        <v>1.1023000000000001</v>
      </c>
      <c r="L53" s="12"/>
      <c r="M53" s="16"/>
      <c r="N53" s="60">
        <f>D53</f>
        <v>1.1023000000000001</v>
      </c>
      <c r="O53" s="60">
        <f t="shared" ref="O53:P53" si="49">E53</f>
        <v>1.1023000000000001</v>
      </c>
      <c r="P53" s="60">
        <f t="shared" si="49"/>
        <v>1.1023000000000001</v>
      </c>
      <c r="Q53" s="12"/>
      <c r="R53" s="16"/>
      <c r="S53" s="64"/>
      <c r="T53" s="12"/>
      <c r="U53" s="17"/>
      <c r="V53" s="12" t="s">
        <v>49</v>
      </c>
      <c r="W53" s="96">
        <v>0</v>
      </c>
      <c r="X53" s="97">
        <v>0.45</v>
      </c>
      <c r="Y53" s="202" t="s">
        <v>117</v>
      </c>
      <c r="Z53" s="18"/>
      <c r="AA53" s="12"/>
    </row>
    <row r="54" spans="1:27" ht="15.75" thickBot="1" x14ac:dyDescent="0.3">
      <c r="A54" s="12" t="s">
        <v>139</v>
      </c>
      <c r="B54" s="12" t="s">
        <v>140</v>
      </c>
      <c r="C54" s="16"/>
      <c r="D54" s="15">
        <f>D52*D53</f>
        <v>0</v>
      </c>
      <c r="E54" s="15">
        <f t="shared" ref="E54:F54" si="50">E52*E53</f>
        <v>0</v>
      </c>
      <c r="F54" s="15">
        <f t="shared" si="50"/>
        <v>0</v>
      </c>
      <c r="G54" s="49">
        <f>SUM(D54:F54)</f>
        <v>0</v>
      </c>
      <c r="H54" s="16"/>
      <c r="I54" s="15">
        <f>I52*I53</f>
        <v>0</v>
      </c>
      <c r="J54" s="15">
        <f t="shared" ref="J54:K54" si="51">J52*J53</f>
        <v>0</v>
      </c>
      <c r="K54" s="15">
        <f t="shared" si="51"/>
        <v>0</v>
      </c>
      <c r="L54" s="49">
        <f>SUM(I54:K54)</f>
        <v>0</v>
      </c>
      <c r="M54" s="16"/>
      <c r="N54" s="15">
        <f>N52*N53</f>
        <v>0</v>
      </c>
      <c r="O54" s="15">
        <f t="shared" ref="O54:P54" si="52">O52*O53</f>
        <v>0</v>
      </c>
      <c r="P54" s="15">
        <f t="shared" si="52"/>
        <v>0</v>
      </c>
      <c r="Q54" s="49">
        <f>SUM(N54:P54)</f>
        <v>0</v>
      </c>
      <c r="R54" s="16"/>
      <c r="S54" s="64"/>
      <c r="T54" s="12"/>
      <c r="U54" s="17"/>
      <c r="V54" s="12" t="s">
        <v>52</v>
      </c>
      <c r="W54" s="96">
        <v>0</v>
      </c>
      <c r="X54" s="97">
        <v>0</v>
      </c>
      <c r="Y54" s="202" t="s">
        <v>117</v>
      </c>
      <c r="Z54" s="18"/>
      <c r="AA54" s="12"/>
    </row>
    <row r="55" spans="1:27" ht="15.75" thickBot="1" x14ac:dyDescent="0.3">
      <c r="A55" s="12" t="s">
        <v>141</v>
      </c>
      <c r="B55" s="13" t="s">
        <v>89</v>
      </c>
      <c r="C55" s="16"/>
      <c r="D55" s="62">
        <f>D54*T5</f>
        <v>0</v>
      </c>
      <c r="E55" s="62">
        <f>E54*T5</f>
        <v>0</v>
      </c>
      <c r="F55" s="62">
        <f>F54*T5</f>
        <v>0</v>
      </c>
      <c r="G55" s="31">
        <f>SUM(D55:F55)</f>
        <v>0</v>
      </c>
      <c r="H55" s="16"/>
      <c r="I55" s="62">
        <f>I54*T5</f>
        <v>0</v>
      </c>
      <c r="J55" s="62">
        <f>J54*T5</f>
        <v>0</v>
      </c>
      <c r="K55" s="62">
        <f>K54*T5</f>
        <v>0</v>
      </c>
      <c r="L55" s="31">
        <f>SUM(I55:K55)</f>
        <v>0</v>
      </c>
      <c r="M55" s="16"/>
      <c r="N55" s="62">
        <f>N54*T5</f>
        <v>0</v>
      </c>
      <c r="O55" s="62">
        <f>O54*T5</f>
        <v>0</v>
      </c>
      <c r="P55" s="62">
        <f>P54*T5</f>
        <v>0</v>
      </c>
      <c r="Q55" s="31">
        <f>SUM(N55:P55)</f>
        <v>0</v>
      </c>
      <c r="R55" s="16"/>
      <c r="S55" s="64"/>
      <c r="T55" s="12"/>
      <c r="U55" s="17"/>
      <c r="V55" s="12"/>
      <c r="W55" s="12"/>
      <c r="X55" s="12"/>
      <c r="Y55" s="12"/>
      <c r="Z55" s="18"/>
      <c r="AA55" s="12"/>
    </row>
    <row r="56" spans="1:27" x14ac:dyDescent="0.25">
      <c r="A56" s="16"/>
      <c r="B56" s="14"/>
      <c r="C56" s="16"/>
      <c r="D56" s="14"/>
      <c r="E56" s="14"/>
      <c r="F56" s="14"/>
      <c r="G56" s="14"/>
      <c r="H56" s="16"/>
      <c r="I56" s="14"/>
      <c r="J56" s="14"/>
      <c r="K56" s="14"/>
      <c r="L56" s="14"/>
      <c r="M56" s="16"/>
      <c r="N56" s="14"/>
      <c r="O56" s="14"/>
      <c r="P56" s="14"/>
      <c r="Q56" s="14"/>
      <c r="R56" s="16"/>
      <c r="S56" s="64"/>
      <c r="T56" s="12"/>
      <c r="U56" s="17"/>
      <c r="V56" s="12" t="s">
        <v>169</v>
      </c>
      <c r="W56" s="12"/>
      <c r="X56" s="12"/>
      <c r="Y56" s="12"/>
      <c r="Z56" s="18"/>
      <c r="AA56" s="12"/>
    </row>
    <row r="57" spans="1:27" x14ac:dyDescent="0.25">
      <c r="A57" s="12"/>
      <c r="B57" s="13"/>
      <c r="C57" s="12"/>
      <c r="D57" s="13"/>
      <c r="E57" s="13"/>
      <c r="F57" s="13"/>
      <c r="G57" s="13"/>
      <c r="H57" s="12"/>
      <c r="I57" s="13"/>
      <c r="J57" s="13"/>
      <c r="K57" s="13"/>
      <c r="L57" s="13"/>
      <c r="M57" s="12"/>
      <c r="N57" s="13"/>
      <c r="O57" s="13"/>
      <c r="P57" s="13"/>
      <c r="Q57" s="13"/>
      <c r="R57" s="12"/>
      <c r="S57" s="64"/>
      <c r="T57" s="12"/>
      <c r="U57" s="17"/>
      <c r="V57" s="110"/>
      <c r="W57" s="110"/>
      <c r="X57" s="12"/>
      <c r="Y57" s="110"/>
      <c r="Z57" s="18"/>
      <c r="AA57" s="12"/>
    </row>
  </sheetData>
  <mergeCells count="3">
    <mergeCell ref="D1:G1"/>
    <mergeCell ref="I1:L1"/>
    <mergeCell ref="N1:Q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34469-99E6-4759-BBB5-E018C51CDEE3}">
  <dimension ref="A1:N18"/>
  <sheetViews>
    <sheetView tabSelected="1" workbookViewId="0">
      <selection activeCell="L18" sqref="L18"/>
    </sheetView>
  </sheetViews>
  <sheetFormatPr defaultRowHeight="15" x14ac:dyDescent="0.25"/>
  <cols>
    <col min="2" max="2" width="36.7109375" customWidth="1"/>
    <col min="6" max="6" width="2.42578125" customWidth="1"/>
    <col min="10" max="10" width="2.28515625" customWidth="1"/>
    <col min="14" max="14" width="2.28515625" customWidth="1"/>
  </cols>
  <sheetData>
    <row r="1" spans="1:14" x14ac:dyDescent="0.25">
      <c r="A1" s="2"/>
      <c r="B1" s="12" t="s">
        <v>186</v>
      </c>
      <c r="C1" s="167" t="s">
        <v>2</v>
      </c>
      <c r="D1" s="167"/>
      <c r="E1" s="167"/>
      <c r="F1" s="168"/>
      <c r="G1" s="169" t="s">
        <v>3</v>
      </c>
      <c r="H1" s="169"/>
      <c r="I1" s="169"/>
      <c r="J1" s="168"/>
      <c r="K1" s="167" t="s">
        <v>4</v>
      </c>
      <c r="L1" s="167"/>
      <c r="M1" s="167"/>
      <c r="N1" s="168"/>
    </row>
    <row r="2" spans="1:14" x14ac:dyDescent="0.25">
      <c r="A2" s="2"/>
      <c r="B2" s="2"/>
      <c r="C2" s="2"/>
      <c r="D2" s="2"/>
      <c r="E2" s="2"/>
      <c r="F2" s="170"/>
      <c r="G2" s="2"/>
      <c r="H2" s="2"/>
      <c r="I2" s="2"/>
      <c r="J2" s="170"/>
      <c r="K2" s="2"/>
      <c r="L2" s="2"/>
      <c r="M2" s="2"/>
      <c r="N2" s="170"/>
    </row>
    <row r="3" spans="1:14" x14ac:dyDescent="0.25">
      <c r="A3" s="2"/>
      <c r="B3" s="2"/>
      <c r="C3" s="171" t="s">
        <v>187</v>
      </c>
      <c r="D3" s="171" t="s">
        <v>188</v>
      </c>
      <c r="E3" s="171" t="s">
        <v>189</v>
      </c>
      <c r="F3" s="170"/>
      <c r="G3" s="171" t="s">
        <v>187</v>
      </c>
      <c r="H3" s="171" t="s">
        <v>188</v>
      </c>
      <c r="I3" s="171" t="s">
        <v>189</v>
      </c>
      <c r="J3" s="170"/>
      <c r="K3" s="171" t="s">
        <v>187</v>
      </c>
      <c r="L3" s="171" t="s">
        <v>188</v>
      </c>
      <c r="M3" s="171" t="s">
        <v>189</v>
      </c>
      <c r="N3" s="170"/>
    </row>
    <row r="4" spans="1:14" x14ac:dyDescent="0.25">
      <c r="A4" s="2" t="s">
        <v>38</v>
      </c>
      <c r="B4" s="12" t="s">
        <v>190</v>
      </c>
      <c r="C4" s="2">
        <v>700</v>
      </c>
      <c r="D4" s="172">
        <f>AVERAGE(C4,E4)</f>
        <v>850</v>
      </c>
      <c r="E4" s="172">
        <v>1000</v>
      </c>
      <c r="F4" s="170"/>
      <c r="G4" s="2">
        <v>700</v>
      </c>
      <c r="H4" s="172">
        <f>AVERAGE(G4,I4)</f>
        <v>850</v>
      </c>
      <c r="I4" s="172">
        <v>1000</v>
      </c>
      <c r="J4" s="170"/>
      <c r="K4" s="172">
        <f>C4+G4</f>
        <v>1400</v>
      </c>
      <c r="L4" s="172">
        <f>AVERAGE(K4,M4)</f>
        <v>1700</v>
      </c>
      <c r="M4" s="172">
        <f>E4+I4</f>
        <v>2000</v>
      </c>
      <c r="N4" s="170"/>
    </row>
    <row r="5" spans="1:14" x14ac:dyDescent="0.25">
      <c r="A5" s="2" t="s">
        <v>41</v>
      </c>
      <c r="B5" s="12" t="s">
        <v>191</v>
      </c>
      <c r="C5" s="2">
        <v>1.21</v>
      </c>
      <c r="D5" s="2">
        <f>C5</f>
        <v>1.21</v>
      </c>
      <c r="E5" s="2">
        <f>C5</f>
        <v>1.21</v>
      </c>
      <c r="F5" s="170"/>
      <c r="G5" s="2">
        <f>C5</f>
        <v>1.21</v>
      </c>
      <c r="H5" s="2">
        <f>C5</f>
        <v>1.21</v>
      </c>
      <c r="I5" s="2">
        <f>C5</f>
        <v>1.21</v>
      </c>
      <c r="J5" s="170"/>
      <c r="K5" s="2">
        <f>C5</f>
        <v>1.21</v>
      </c>
      <c r="L5" s="2">
        <f>C5</f>
        <v>1.21</v>
      </c>
      <c r="M5" s="2">
        <f>C5</f>
        <v>1.21</v>
      </c>
      <c r="N5" s="170"/>
    </row>
    <row r="6" spans="1:14" x14ac:dyDescent="0.25">
      <c r="A6" s="2"/>
      <c r="B6" s="12"/>
      <c r="C6" s="2"/>
      <c r="D6" s="2"/>
      <c r="E6" s="2"/>
      <c r="F6" s="170"/>
      <c r="G6" s="2"/>
      <c r="H6" s="2"/>
      <c r="I6" s="2"/>
      <c r="J6" s="170"/>
      <c r="K6" s="2"/>
      <c r="L6" s="2"/>
      <c r="M6" s="2"/>
      <c r="N6" s="170"/>
    </row>
    <row r="7" spans="1:14" x14ac:dyDescent="0.25">
      <c r="A7" s="2"/>
      <c r="B7" s="13" t="s">
        <v>192</v>
      </c>
      <c r="C7" s="173">
        <f>C4*E5</f>
        <v>847</v>
      </c>
      <c r="D7" s="174">
        <f t="shared" ref="D7" si="0">D4*D5</f>
        <v>1028.5</v>
      </c>
      <c r="E7" s="173">
        <f>E4*E5</f>
        <v>1210</v>
      </c>
      <c r="F7" s="175"/>
      <c r="G7" s="173">
        <f>G4*G5</f>
        <v>847</v>
      </c>
      <c r="H7" s="174">
        <f>H4*H5</f>
        <v>1028.5</v>
      </c>
      <c r="I7" s="173">
        <f>I4*I5</f>
        <v>1210</v>
      </c>
      <c r="J7" s="175"/>
      <c r="K7" s="173">
        <f>K4*K5</f>
        <v>1694</v>
      </c>
      <c r="L7" s="174">
        <f>L4*L5</f>
        <v>2057</v>
      </c>
      <c r="M7" s="173">
        <f>M4*M5</f>
        <v>2420</v>
      </c>
      <c r="N7" s="175"/>
    </row>
    <row r="8" spans="1:14" x14ac:dyDescent="0.25">
      <c r="A8" s="2"/>
      <c r="B8" s="2"/>
      <c r="C8" s="2"/>
      <c r="D8" s="2"/>
      <c r="E8" s="2"/>
      <c r="F8" s="170"/>
      <c r="G8" s="2"/>
      <c r="H8" s="2"/>
      <c r="I8" s="2"/>
      <c r="J8" s="170"/>
      <c r="K8" s="2"/>
      <c r="L8" s="2"/>
      <c r="M8" s="2"/>
      <c r="N8" s="170"/>
    </row>
    <row r="9" spans="1:14" x14ac:dyDescent="0.25">
      <c r="A9" s="2"/>
      <c r="B9" s="12" t="s">
        <v>193</v>
      </c>
      <c r="C9" s="2"/>
      <c r="D9" s="176"/>
      <c r="E9" s="2"/>
      <c r="F9" s="170"/>
      <c r="G9" s="2"/>
      <c r="H9" s="2"/>
      <c r="I9" s="2"/>
      <c r="J9" s="170"/>
      <c r="K9" s="2"/>
      <c r="L9" s="2"/>
      <c r="M9" s="2"/>
      <c r="N9" s="170"/>
    </row>
    <row r="10" spans="1:14" x14ac:dyDescent="0.25">
      <c r="A10" s="2"/>
      <c r="B10" s="2"/>
      <c r="C10" s="2"/>
      <c r="D10" s="2"/>
      <c r="E10" s="2"/>
      <c r="F10" s="170"/>
      <c r="G10" s="2"/>
      <c r="H10" s="2"/>
      <c r="I10" s="2"/>
      <c r="J10" s="170"/>
      <c r="K10" s="2"/>
      <c r="L10" s="2"/>
      <c r="M10" s="2"/>
      <c r="N10" s="170"/>
    </row>
    <row r="11" spans="1:14" x14ac:dyDescent="0.25">
      <c r="A11" s="2"/>
      <c r="B11" s="2"/>
      <c r="C11" s="2"/>
      <c r="D11" s="2"/>
      <c r="E11" s="2"/>
      <c r="F11" s="170"/>
      <c r="G11" s="2"/>
      <c r="H11" s="2"/>
      <c r="I11" s="2"/>
      <c r="J11" s="170"/>
      <c r="K11" s="2"/>
      <c r="L11" s="2"/>
      <c r="M11" s="2"/>
      <c r="N11" s="170"/>
    </row>
    <row r="12" spans="1:14" x14ac:dyDescent="0.25">
      <c r="A12" s="2"/>
      <c r="B12" s="2" t="s">
        <v>194</v>
      </c>
      <c r="C12" s="2"/>
      <c r="D12" s="2"/>
      <c r="E12" s="2"/>
      <c r="F12" s="170"/>
      <c r="G12" s="2"/>
      <c r="H12" s="2"/>
      <c r="I12" s="2"/>
      <c r="J12" s="170"/>
      <c r="K12" s="2"/>
      <c r="L12" s="2"/>
      <c r="M12" s="2"/>
      <c r="N12" s="170"/>
    </row>
    <row r="13" spans="1:14" x14ac:dyDescent="0.25">
      <c r="A13" s="2"/>
      <c r="B13" s="12" t="s">
        <v>195</v>
      </c>
      <c r="C13" s="2"/>
      <c r="D13" s="2"/>
      <c r="E13" s="2"/>
      <c r="F13" s="170"/>
      <c r="G13" s="2"/>
      <c r="H13" s="2"/>
      <c r="I13" s="2"/>
      <c r="J13" s="170"/>
      <c r="K13" s="2"/>
      <c r="L13" s="2"/>
      <c r="M13" s="2"/>
      <c r="N13" s="170"/>
    </row>
    <row r="14" spans="1:14" x14ac:dyDescent="0.25">
      <c r="A14" s="2"/>
      <c r="B14" s="177" t="s">
        <v>196</v>
      </c>
      <c r="C14" s="2"/>
      <c r="D14" s="2"/>
      <c r="E14" s="2"/>
      <c r="F14" s="170"/>
      <c r="G14" s="2"/>
      <c r="H14" s="2"/>
      <c r="I14" s="2"/>
      <c r="J14" s="170"/>
      <c r="K14" s="2"/>
      <c r="L14" s="2"/>
      <c r="M14" s="2"/>
      <c r="N14" s="170"/>
    </row>
    <row r="15" spans="1:14" x14ac:dyDescent="0.25">
      <c r="A15" s="2"/>
      <c r="B15" s="2"/>
      <c r="C15" s="2"/>
      <c r="D15" s="2"/>
      <c r="E15" s="2"/>
      <c r="F15" s="170"/>
      <c r="G15" s="2"/>
      <c r="H15" s="2"/>
      <c r="I15" s="2"/>
      <c r="J15" s="170"/>
      <c r="K15" s="2"/>
      <c r="L15" s="2"/>
      <c r="M15" s="2"/>
      <c r="N15" s="170"/>
    </row>
    <row r="16" spans="1:14" x14ac:dyDescent="0.25">
      <c r="A16" s="2"/>
      <c r="B16" s="2" t="s">
        <v>197</v>
      </c>
      <c r="C16" s="2"/>
      <c r="D16" s="2"/>
      <c r="E16" s="2"/>
      <c r="F16" s="170"/>
      <c r="G16" s="2"/>
      <c r="H16" s="2"/>
      <c r="I16" s="2"/>
      <c r="J16" s="170"/>
      <c r="K16" s="2"/>
      <c r="L16" s="2"/>
      <c r="M16" s="2"/>
      <c r="N16" s="170"/>
    </row>
    <row r="17" spans="1:14" x14ac:dyDescent="0.25">
      <c r="A17" s="2"/>
      <c r="B17" s="2"/>
      <c r="C17" s="2"/>
      <c r="D17" s="2"/>
      <c r="E17" s="2"/>
      <c r="F17" s="170"/>
      <c r="G17" s="2"/>
      <c r="H17" s="2"/>
      <c r="I17" s="2"/>
      <c r="J17" s="170"/>
      <c r="K17" s="2"/>
      <c r="L17" s="2"/>
      <c r="M17" s="2"/>
      <c r="N17" s="170"/>
    </row>
    <row r="18" spans="1:14" x14ac:dyDescent="0.25">
      <c r="A18" s="2"/>
      <c r="B18" s="2"/>
      <c r="C18" s="2"/>
      <c r="D18" s="2"/>
      <c r="E18" s="2"/>
      <c r="F18" s="170"/>
      <c r="G18" s="2"/>
      <c r="H18" s="2"/>
      <c r="I18" s="2"/>
      <c r="J18" s="170"/>
      <c r="K18" s="2"/>
      <c r="L18" s="2"/>
      <c r="M18" s="2"/>
      <c r="N18" s="170"/>
    </row>
  </sheetData>
  <mergeCells count="3">
    <mergeCell ref="C1:E1"/>
    <mergeCell ref="G1:I1"/>
    <mergeCell ref="K1:M1"/>
  </mergeCells>
  <hyperlinks>
    <hyperlink ref="B14" r:id="rId1" display="https://www.pca.state.mn.us/sites/default/files/p-gen4-21.pdf" xr:uid="{C0AC53C8-D2CB-4FD5-8E47-019A28FF17A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E1527-B433-42BE-BE25-99B56320DEB2}">
  <dimension ref="A1:B18"/>
  <sheetViews>
    <sheetView workbookViewId="0">
      <selection activeCell="C4" sqref="C4"/>
    </sheetView>
  </sheetViews>
  <sheetFormatPr defaultRowHeight="15" x14ac:dyDescent="0.25"/>
  <cols>
    <col min="1" max="1" width="27.140625" customWidth="1"/>
    <col min="2" max="2" width="27.5703125" customWidth="1"/>
  </cols>
  <sheetData>
    <row r="1" spans="1:2" x14ac:dyDescent="0.25">
      <c r="A1" s="2"/>
      <c r="B1" s="2"/>
    </row>
    <row r="2" spans="1:2" x14ac:dyDescent="0.25">
      <c r="A2" s="2"/>
      <c r="B2" s="2"/>
    </row>
    <row r="3" spans="1:2" x14ac:dyDescent="0.25">
      <c r="A3" s="12" t="s">
        <v>10</v>
      </c>
      <c r="B3" s="12"/>
    </row>
    <row r="4" spans="1:2" x14ac:dyDescent="0.25">
      <c r="A4" s="12" t="s">
        <v>12</v>
      </c>
      <c r="B4" s="178">
        <f>B8</f>
        <v>25</v>
      </c>
    </row>
    <row r="5" spans="1:2" x14ac:dyDescent="0.25">
      <c r="A5" s="12" t="s">
        <v>15</v>
      </c>
      <c r="B5" s="178">
        <f>B9</f>
        <v>298</v>
      </c>
    </row>
    <row r="6" spans="1:2" x14ac:dyDescent="0.25">
      <c r="A6" s="12"/>
      <c r="B6" s="12"/>
    </row>
    <row r="7" spans="1:2" x14ac:dyDescent="0.25">
      <c r="A7" s="12" t="s">
        <v>198</v>
      </c>
      <c r="B7" s="12"/>
    </row>
    <row r="8" spans="1:2" x14ac:dyDescent="0.25">
      <c r="A8" s="12" t="s">
        <v>12</v>
      </c>
      <c r="B8" s="12">
        <v>25</v>
      </c>
    </row>
    <row r="9" spans="1:2" x14ac:dyDescent="0.25">
      <c r="A9" s="12" t="s">
        <v>15</v>
      </c>
      <c r="B9" s="12">
        <v>298</v>
      </c>
    </row>
    <row r="10" spans="1:2" x14ac:dyDescent="0.25">
      <c r="A10" s="12"/>
      <c r="B10" s="12"/>
    </row>
    <row r="11" spans="1:2" x14ac:dyDescent="0.25">
      <c r="A11" s="12" t="s">
        <v>199</v>
      </c>
      <c r="B11" s="12"/>
    </row>
    <row r="12" spans="1:2" x14ac:dyDescent="0.25">
      <c r="A12" s="12" t="s">
        <v>12</v>
      </c>
      <c r="B12" s="12">
        <v>28</v>
      </c>
    </row>
    <row r="13" spans="1:2" x14ac:dyDescent="0.25">
      <c r="A13" s="12" t="s">
        <v>15</v>
      </c>
      <c r="B13" s="12">
        <v>265</v>
      </c>
    </row>
    <row r="14" spans="1:2" x14ac:dyDescent="0.25">
      <c r="A14" s="2"/>
      <c r="B14" s="2"/>
    </row>
    <row r="15" spans="1:2" x14ac:dyDescent="0.25">
      <c r="A15" s="12" t="s">
        <v>200</v>
      </c>
      <c r="B15" s="2"/>
    </row>
    <row r="16" spans="1:2" x14ac:dyDescent="0.25">
      <c r="A16" s="12" t="s">
        <v>12</v>
      </c>
      <c r="B16" s="12">
        <v>27</v>
      </c>
    </row>
    <row r="17" spans="1:2" x14ac:dyDescent="0.25">
      <c r="A17" s="12" t="s">
        <v>15</v>
      </c>
      <c r="B17" s="12">
        <v>273</v>
      </c>
    </row>
    <row r="18" spans="1:2" x14ac:dyDescent="0.25">
      <c r="A18" s="2"/>
      <c r="B18"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071CD-0462-4B09-9585-F2B0F754D0FB}">
  <dimension ref="A1:D47"/>
  <sheetViews>
    <sheetView topLeftCell="A22" zoomScale="70" zoomScaleNormal="70" workbookViewId="0">
      <selection activeCell="A37" activeCellId="2" sqref="B21 A34 A37"/>
    </sheetView>
  </sheetViews>
  <sheetFormatPr defaultRowHeight="15" x14ac:dyDescent="0.25"/>
  <cols>
    <col min="1" max="1" width="100.28515625" customWidth="1"/>
    <col min="2" max="2" width="112" customWidth="1"/>
    <col min="3" max="3" width="130.140625" customWidth="1"/>
    <col min="4" max="4" width="127.42578125" customWidth="1"/>
  </cols>
  <sheetData>
    <row r="1" spans="1:4" ht="32.25" thickBot="1" x14ac:dyDescent="0.3">
      <c r="A1" s="179" t="s">
        <v>201</v>
      </c>
      <c r="B1" s="179" t="s">
        <v>202</v>
      </c>
      <c r="C1" s="179" t="s">
        <v>203</v>
      </c>
      <c r="D1" s="180" t="s">
        <v>204</v>
      </c>
    </row>
    <row r="2" spans="1:4" ht="60.75" customHeight="1" thickBot="1" x14ac:dyDescent="0.3">
      <c r="A2" s="181" t="s">
        <v>205</v>
      </c>
      <c r="B2" s="182" t="s">
        <v>206</v>
      </c>
      <c r="C2" s="183" t="s">
        <v>206</v>
      </c>
      <c r="D2" s="184" t="s">
        <v>207</v>
      </c>
    </row>
    <row r="3" spans="1:4" ht="24.75" customHeight="1" x14ac:dyDescent="0.25">
      <c r="A3" s="181" t="s">
        <v>208</v>
      </c>
      <c r="B3" s="182" t="s">
        <v>209</v>
      </c>
      <c r="C3" s="183" t="s">
        <v>210</v>
      </c>
      <c r="D3" s="2"/>
    </row>
    <row r="4" spans="1:4" ht="44.25" customHeight="1" x14ac:dyDescent="0.25">
      <c r="A4" s="181" t="s">
        <v>211</v>
      </c>
      <c r="B4" s="182" t="s">
        <v>212</v>
      </c>
      <c r="C4" s="183" t="s">
        <v>209</v>
      </c>
      <c r="D4" s="2"/>
    </row>
    <row r="5" spans="1:4" ht="49.5" customHeight="1" thickBot="1" x14ac:dyDescent="0.3">
      <c r="A5" s="181" t="s">
        <v>213</v>
      </c>
      <c r="B5" s="182" t="s">
        <v>214</v>
      </c>
      <c r="C5" s="183" t="s">
        <v>215</v>
      </c>
      <c r="D5" s="2"/>
    </row>
    <row r="6" spans="1:4" ht="80.25" customHeight="1" thickBot="1" x14ac:dyDescent="0.3">
      <c r="A6" s="181" t="s">
        <v>216</v>
      </c>
      <c r="B6" s="185" t="s">
        <v>217</v>
      </c>
      <c r="C6" s="186" t="s">
        <v>218</v>
      </c>
      <c r="D6" s="2"/>
    </row>
    <row r="7" spans="1:4" ht="33" customHeight="1" x14ac:dyDescent="0.25">
      <c r="A7" s="187" t="s">
        <v>219</v>
      </c>
      <c r="B7" s="182" t="s">
        <v>220</v>
      </c>
      <c r="C7" s="183" t="s">
        <v>221</v>
      </c>
      <c r="D7" s="2"/>
    </row>
    <row r="8" spans="1:4" ht="31.5" customHeight="1" x14ac:dyDescent="0.25">
      <c r="A8" s="188" t="s">
        <v>222</v>
      </c>
      <c r="B8" s="189" t="s">
        <v>223</v>
      </c>
      <c r="C8" s="183" t="s">
        <v>224</v>
      </c>
      <c r="D8" s="2"/>
    </row>
    <row r="9" spans="1:4" ht="34.5" customHeight="1" x14ac:dyDescent="0.25">
      <c r="A9" s="188" t="s">
        <v>225</v>
      </c>
      <c r="B9" s="189" t="s">
        <v>226</v>
      </c>
      <c r="C9" s="183" t="s">
        <v>227</v>
      </c>
      <c r="D9" s="2"/>
    </row>
    <row r="10" spans="1:4" ht="31.5" customHeight="1" x14ac:dyDescent="0.25">
      <c r="A10" s="188" t="s">
        <v>228</v>
      </c>
      <c r="B10" s="189" t="s">
        <v>229</v>
      </c>
      <c r="C10" s="190" t="s">
        <v>230</v>
      </c>
      <c r="D10" s="2"/>
    </row>
    <row r="11" spans="1:4" ht="37.5" customHeight="1" thickBot="1" x14ac:dyDescent="0.3">
      <c r="A11" s="191" t="s">
        <v>231</v>
      </c>
      <c r="B11" s="189" t="s">
        <v>232</v>
      </c>
      <c r="C11" s="192" t="s">
        <v>233</v>
      </c>
      <c r="D11" s="2"/>
    </row>
    <row r="12" spans="1:4" ht="59.25" customHeight="1" thickBot="1" x14ac:dyDescent="0.3">
      <c r="A12" s="182" t="s">
        <v>234</v>
      </c>
      <c r="B12" s="183" t="s">
        <v>235</v>
      </c>
      <c r="C12" s="193" t="s">
        <v>236</v>
      </c>
      <c r="D12" s="2"/>
    </row>
    <row r="13" spans="1:4" ht="42.75" customHeight="1" thickBot="1" x14ac:dyDescent="0.3">
      <c r="A13" s="189" t="s">
        <v>237</v>
      </c>
      <c r="B13" s="189" t="s">
        <v>238</v>
      </c>
      <c r="C13" s="193" t="s">
        <v>239</v>
      </c>
      <c r="D13" s="2"/>
    </row>
    <row r="14" spans="1:4" ht="54" customHeight="1" thickBot="1" x14ac:dyDescent="0.3">
      <c r="A14" s="189" t="s">
        <v>240</v>
      </c>
      <c r="B14" s="194" t="s">
        <v>241</v>
      </c>
      <c r="C14" s="186" t="s">
        <v>242</v>
      </c>
      <c r="D14" s="2"/>
    </row>
    <row r="15" spans="1:4" ht="47.25" customHeight="1" thickBot="1" x14ac:dyDescent="0.3">
      <c r="A15" s="183" t="s">
        <v>243</v>
      </c>
      <c r="B15" s="193" t="s">
        <v>244</v>
      </c>
      <c r="C15" s="190" t="s">
        <v>245</v>
      </c>
      <c r="D15" s="2"/>
    </row>
    <row r="16" spans="1:4" ht="51.75" customHeight="1" thickBot="1" x14ac:dyDescent="0.3">
      <c r="A16" s="189" t="s">
        <v>246</v>
      </c>
      <c r="B16" s="193" t="s">
        <v>239</v>
      </c>
      <c r="C16" s="194" t="s">
        <v>247</v>
      </c>
      <c r="D16" s="2"/>
    </row>
    <row r="17" spans="1:4" ht="24" customHeight="1" thickBot="1" x14ac:dyDescent="0.3">
      <c r="A17" s="194" t="s">
        <v>248</v>
      </c>
      <c r="B17" s="186" t="s">
        <v>249</v>
      </c>
      <c r="C17" s="186" t="s">
        <v>250</v>
      </c>
      <c r="D17" s="2"/>
    </row>
    <row r="18" spans="1:4" ht="40.5" customHeight="1" thickBot="1" x14ac:dyDescent="0.3">
      <c r="A18" s="193" t="s">
        <v>251</v>
      </c>
      <c r="B18" s="190" t="s">
        <v>252</v>
      </c>
      <c r="C18" s="183" t="s">
        <v>253</v>
      </c>
      <c r="D18" s="2"/>
    </row>
    <row r="19" spans="1:4" ht="54" customHeight="1" thickBot="1" x14ac:dyDescent="0.3">
      <c r="A19" s="193" t="s">
        <v>254</v>
      </c>
      <c r="B19" s="194" t="s">
        <v>255</v>
      </c>
      <c r="C19" s="194" t="s">
        <v>256</v>
      </c>
      <c r="D19" s="2"/>
    </row>
    <row r="20" spans="1:4" ht="22.5" customHeight="1" thickBot="1" x14ac:dyDescent="0.3">
      <c r="A20" s="186" t="s">
        <v>239</v>
      </c>
      <c r="B20" s="186" t="s">
        <v>257</v>
      </c>
      <c r="C20" s="195" t="s">
        <v>258</v>
      </c>
      <c r="D20" s="2"/>
    </row>
    <row r="21" spans="1:4" ht="20.25" customHeight="1" x14ac:dyDescent="0.25">
      <c r="A21" s="186" t="s">
        <v>259</v>
      </c>
      <c r="B21" s="203" t="s">
        <v>260</v>
      </c>
      <c r="C21" s="196" t="s">
        <v>261</v>
      </c>
      <c r="D21" s="2"/>
    </row>
    <row r="22" spans="1:4" ht="39" customHeight="1" thickBot="1" x14ac:dyDescent="0.3">
      <c r="A22" s="183" t="s">
        <v>262</v>
      </c>
      <c r="B22" s="194" t="s">
        <v>256</v>
      </c>
      <c r="C22" s="196" t="s">
        <v>263</v>
      </c>
      <c r="D22" s="2"/>
    </row>
    <row r="23" spans="1:4" ht="27" customHeight="1" x14ac:dyDescent="0.25">
      <c r="A23" s="183" t="s">
        <v>264</v>
      </c>
      <c r="B23" s="195" t="s">
        <v>258</v>
      </c>
      <c r="C23" s="196" t="s">
        <v>265</v>
      </c>
      <c r="D23" s="2"/>
    </row>
    <row r="24" spans="1:4" ht="21.75" customHeight="1" x14ac:dyDescent="0.25">
      <c r="A24" s="183" t="s">
        <v>266</v>
      </c>
      <c r="B24" s="196" t="s">
        <v>261</v>
      </c>
      <c r="C24" s="196" t="s">
        <v>267</v>
      </c>
      <c r="D24" s="2"/>
    </row>
    <row r="25" spans="1:4" ht="23.25" customHeight="1" x14ac:dyDescent="0.25">
      <c r="A25" s="183" t="s">
        <v>268</v>
      </c>
      <c r="B25" s="196" t="s">
        <v>269</v>
      </c>
      <c r="C25" s="196" t="s">
        <v>270</v>
      </c>
      <c r="D25" s="2"/>
    </row>
    <row r="26" spans="1:4" ht="32.25" customHeight="1" x14ac:dyDescent="0.25">
      <c r="A26" s="183" t="s">
        <v>271</v>
      </c>
      <c r="B26" s="196" t="s">
        <v>263</v>
      </c>
      <c r="C26" s="181"/>
      <c r="D26" s="2"/>
    </row>
    <row r="27" spans="1:4" ht="24.75" customHeight="1" x14ac:dyDescent="0.25">
      <c r="A27" s="183" t="s">
        <v>272</v>
      </c>
      <c r="B27" s="196" t="s">
        <v>273</v>
      </c>
      <c r="C27" s="181"/>
      <c r="D27" s="2"/>
    </row>
    <row r="28" spans="1:4" ht="24.75" customHeight="1" x14ac:dyDescent="0.25">
      <c r="A28" s="183" t="s">
        <v>274</v>
      </c>
      <c r="B28" s="196" t="s">
        <v>275</v>
      </c>
      <c r="C28" s="197"/>
      <c r="D28" s="2"/>
    </row>
    <row r="29" spans="1:4" ht="21.75" customHeight="1" x14ac:dyDescent="0.25">
      <c r="A29" s="183" t="s">
        <v>276</v>
      </c>
      <c r="B29" s="196" t="s">
        <v>277</v>
      </c>
      <c r="C29" s="197"/>
      <c r="D29" s="2"/>
    </row>
    <row r="30" spans="1:4" ht="18" customHeight="1" x14ac:dyDescent="0.25">
      <c r="A30" s="183" t="s">
        <v>278</v>
      </c>
      <c r="B30" s="181"/>
      <c r="C30" s="181"/>
      <c r="D30" s="2"/>
    </row>
    <row r="31" spans="1:4" ht="18" customHeight="1" x14ac:dyDescent="0.25">
      <c r="A31" s="183" t="s">
        <v>279</v>
      </c>
      <c r="B31" s="181"/>
      <c r="C31" s="181"/>
      <c r="D31" s="2"/>
    </row>
    <row r="32" spans="1:4" ht="30.75" customHeight="1" x14ac:dyDescent="0.25">
      <c r="A32" s="190" t="s">
        <v>280</v>
      </c>
      <c r="B32" s="181"/>
      <c r="C32" s="181"/>
      <c r="D32" s="2"/>
    </row>
    <row r="33" spans="1:4" ht="21" customHeight="1" thickBot="1" x14ac:dyDescent="0.3">
      <c r="A33" s="198" t="s">
        <v>281</v>
      </c>
      <c r="B33" s="181"/>
      <c r="C33" s="181"/>
      <c r="D33" s="2"/>
    </row>
    <row r="34" spans="1:4" ht="22.5" customHeight="1" x14ac:dyDescent="0.25">
      <c r="A34" s="204" t="s">
        <v>282</v>
      </c>
      <c r="B34" s="181"/>
      <c r="C34" s="181"/>
      <c r="D34" s="2"/>
    </row>
    <row r="35" spans="1:4" ht="32.25" customHeight="1" x14ac:dyDescent="0.25">
      <c r="A35" s="183" t="s">
        <v>250</v>
      </c>
      <c r="B35" s="181"/>
      <c r="C35" s="181"/>
      <c r="D35" s="2"/>
    </row>
    <row r="36" spans="1:4" ht="32.25" customHeight="1" x14ac:dyDescent="0.25">
      <c r="A36" s="183" t="s">
        <v>283</v>
      </c>
      <c r="B36" s="181"/>
      <c r="C36" s="181"/>
      <c r="D36" s="2"/>
    </row>
    <row r="37" spans="1:4" ht="35.25" customHeight="1" thickBot="1" x14ac:dyDescent="0.3">
      <c r="A37" s="205" t="s">
        <v>256</v>
      </c>
      <c r="B37" s="181"/>
      <c r="C37" s="181"/>
      <c r="D37" s="2"/>
    </row>
    <row r="38" spans="1:4" ht="24.75" customHeight="1" x14ac:dyDescent="0.25">
      <c r="A38" s="195" t="s">
        <v>258</v>
      </c>
      <c r="B38" s="181"/>
      <c r="C38" s="181"/>
      <c r="D38" s="2"/>
    </row>
    <row r="39" spans="1:4" ht="21.75" customHeight="1" x14ac:dyDescent="0.25">
      <c r="A39" s="196" t="s">
        <v>261</v>
      </c>
      <c r="B39" s="181"/>
      <c r="C39" s="181"/>
      <c r="D39" s="2"/>
    </row>
    <row r="40" spans="1:4" ht="30" customHeight="1" x14ac:dyDescent="0.25">
      <c r="A40" s="196" t="s">
        <v>263</v>
      </c>
      <c r="B40" s="181"/>
      <c r="C40" s="181"/>
      <c r="D40" s="2"/>
    </row>
    <row r="41" spans="1:4" ht="21.75" customHeight="1" x14ac:dyDescent="0.25">
      <c r="A41" s="196" t="s">
        <v>284</v>
      </c>
      <c r="B41" s="181"/>
      <c r="C41" s="181"/>
      <c r="D41" s="2"/>
    </row>
    <row r="42" spans="1:4" ht="34.5" customHeight="1" x14ac:dyDescent="0.25">
      <c r="A42" s="196" t="s">
        <v>285</v>
      </c>
      <c r="B42" s="181"/>
      <c r="C42" s="181"/>
      <c r="D42" s="2"/>
    </row>
    <row r="43" spans="1:4" ht="25.5" customHeight="1" x14ac:dyDescent="0.25">
      <c r="A43" s="196" t="s">
        <v>286</v>
      </c>
      <c r="B43" s="181"/>
      <c r="C43" s="181"/>
      <c r="D43" s="2"/>
    </row>
    <row r="44" spans="1:4" ht="24.75" customHeight="1" x14ac:dyDescent="0.25">
      <c r="A44" s="196" t="s">
        <v>287</v>
      </c>
      <c r="B44" s="181"/>
      <c r="C44" s="181"/>
      <c r="D44" s="2"/>
    </row>
    <row r="45" spans="1:4" ht="18" customHeight="1" x14ac:dyDescent="0.25">
      <c r="A45" s="196" t="s">
        <v>288</v>
      </c>
      <c r="B45" s="181"/>
      <c r="C45" s="181"/>
      <c r="D45" s="2"/>
    </row>
    <row r="46" spans="1:4" ht="22.5" customHeight="1" x14ac:dyDescent="0.25">
      <c r="A46" s="196" t="s">
        <v>289</v>
      </c>
      <c r="B46" s="181"/>
      <c r="C46" s="181"/>
      <c r="D46" s="2"/>
    </row>
    <row r="47" spans="1:4" x14ac:dyDescent="0.25">
      <c r="A47" s="197"/>
      <c r="B47" s="181"/>
      <c r="C47" s="181"/>
      <c r="D47" s="2"/>
    </row>
  </sheetData>
  <conditionalFormatting sqref="A2:A5">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Dairy</vt:lpstr>
      <vt:lpstr>Poultry</vt:lpstr>
      <vt:lpstr>Swine</vt:lpstr>
      <vt:lpstr>Alfalfa acres</vt:lpstr>
      <vt:lpstr>GWP conversion</vt:lpstr>
      <vt:lpstr>Notes</vt:lpstr>
    </vt:vector>
  </TitlesOfParts>
  <Manager/>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Guidance for Environmental Review of Animal Feedlots</dc:title>
  <dc:subject>Guidance for completion of the Environmental Assessment Worksheet (EAW) Alternative EAW form for Animal Feedlots.</dc:subject>
  <dc:creator>Minnesota Pollution Control Agency;Megen.Kabele@state.mn.us;Jennifer.Krueger@state.mn.us</dc:creator>
  <cp:keywords>Minnesota Pollution Control Agency, MPCA, planning, guidance, environmental review, climate trends, EAW, environmental assessment worksheet, project, proposed project, resource, p-ear1-14a</cp:keywords>
  <cp:lastModifiedBy>Swanson, Regina (MPCA)</cp:lastModifiedBy>
  <cp:lastPrinted>2015-12-10T16:07:53Z</cp:lastPrinted>
  <dcterms:created xsi:type="dcterms:W3CDTF">2015-05-28T14:30:27Z</dcterms:created>
  <dcterms:modified xsi:type="dcterms:W3CDTF">2025-02-24T17:40:30Z</dcterms:modified>
  <cp:category>planning, environmental assessment and review</cp:category>
</cp:coreProperties>
</file>