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T:\Holstad_Jennifer.JH\Publication Support Team\jh_CURRENT PROJECTS\# RUSH projects\Jenn Hathaway permit app\"/>
    </mc:Choice>
  </mc:AlternateContent>
  <xr:revisionPtr revIDLastSave="0" documentId="14_{DFDEEC9B-3DD5-48B9-95BA-278CC0DC8C1B}" xr6:coauthVersionLast="47" xr6:coauthVersionMax="47" xr10:uidLastSave="{00000000-0000-0000-0000-000000000000}"/>
  <bookViews>
    <workbookView xWindow="-28920" yWindow="15" windowWidth="29040" windowHeight="15720" tabRatio="864" xr2:uid="{2C5B9D28-25BA-470A-900D-352F701A22E0}"/>
  </bookViews>
  <sheets>
    <sheet name="CH-04b Attachment" sheetId="57" r:id="rId1"/>
    <sheet name="CH-13 IPER Calculations" sheetId="37" r:id="rId2"/>
    <sheet name="GI-07" sheetId="60" r:id="rId3"/>
    <sheet name="PTE Summary" sheetId="61" r:id="rId4"/>
    <sheet name="Sand Handling (incl Mold&amp;Core)" sheetId="3" r:id="rId5"/>
    <sheet name="AL Melting" sheetId="22" r:id="rId6"/>
    <sheet name="AL Alloy" sheetId="44" r:id="rId7"/>
    <sheet name="AL Melting - Natural Gas" sheetId="34" r:id="rId8"/>
    <sheet name="Brass Melting" sheetId="21" r:id="rId9"/>
    <sheet name="Brass Alloy" sheetId="45" r:id="rId10"/>
    <sheet name="Pouring-Casting-Cooling" sheetId="42" r:id="rId11"/>
    <sheet name="Core Making VOC-HAP" sheetId="56" r:id="rId12"/>
    <sheet name="SDS Summary" sheetId="47" r:id="rId13"/>
    <sheet name="IA-Transfer Ladle" sheetId="40" r:id="rId14"/>
    <sheet name="Ladle Preheaters - Nat Gas" sheetId="35" r:id="rId15"/>
    <sheet name="Shakeout, Green Sand" sheetId="9" r:id="rId16"/>
    <sheet name="Knockout, Silica Sand" sheetId="49" r:id="rId17"/>
    <sheet name="Shotblast" sheetId="41" r:id="rId18"/>
    <sheet name="IA-Finishing" sheetId="7" r:id="rId19"/>
    <sheet name="Core Wash" sheetId="23" r:id="rId20"/>
    <sheet name="IA - Core Bake" sheetId="63" r:id="rId21"/>
    <sheet name="Core Oven - Natural Gas" sheetId="36" r:id="rId22"/>
    <sheet name="Shell Core Machine, Large" sheetId="53" r:id="rId23"/>
    <sheet name="Shell Core Machine, Small 1" sheetId="54" r:id="rId24"/>
    <sheet name="Shell Core Machine, Small 2" sheetId="52" r:id="rId25"/>
    <sheet name="Space Heater" sheetId="51" r:id="rId26"/>
    <sheet name="Materials Usage Records" sheetId="50" r:id="rId27"/>
    <sheet name="aq-f13-ecs01 Emission Factors" sheetId="29" r:id="rId28"/>
    <sheet name="Natural Gas" sheetId="31" state="hidden" r:id="rId29"/>
    <sheet name="Emission Factors" sheetId="32" state="hidden" r:id="rId30"/>
  </sheets>
  <definedNames>
    <definedName name="\A">#REF!</definedName>
    <definedName name="\B">#REF!</definedName>
    <definedName name="\C">#REF!</definedName>
    <definedName name="\I" localSheetId="2">#REF!</definedName>
    <definedName name="\I">#REF!</definedName>
    <definedName name="\L">#REF!</definedName>
    <definedName name="\M">#REF!</definedName>
    <definedName name="\NEW">#REF!</definedName>
    <definedName name="\P">#REF!</definedName>
    <definedName name="\Z">#REF!</definedName>
    <definedName name="__123Graph_AMMBTU" hidden="1">#REF!</definedName>
    <definedName name="__123Graph_AOIL" hidden="1">#REF!</definedName>
    <definedName name="__123Graph_APLANTGEN" hidden="1">#REF!</definedName>
    <definedName name="__123Graph_B" hidden="1">#REF!</definedName>
    <definedName name="__123Graph_BCOAL" hidden="1">#REF!</definedName>
    <definedName name="__123Graph_BMMBTU" hidden="1">#REF!</definedName>
    <definedName name="__123Graph_BOIL" hidden="1">#REF!</definedName>
    <definedName name="__123Graph_BPLANTGEN" hidden="1">#REF!</definedName>
    <definedName name="__123Graph_C" hidden="1">#REF!</definedName>
    <definedName name="__123Graph_CCOAL" hidden="1">#REF!</definedName>
    <definedName name="__123Graph_CMMBTU" hidden="1">#REF!</definedName>
    <definedName name="__123Graph_COIL" hidden="1">#REF!</definedName>
    <definedName name="__123Graph_CPLANTGEN" hidden="1">#REF!</definedName>
    <definedName name="__123Graph_DMMBTU" hidden="1">#REF!</definedName>
    <definedName name="__123Graph_DOIL" hidden="1">#REF!</definedName>
    <definedName name="__123Graph_DPLANTGEN" hidden="1">#REF!</definedName>
    <definedName name="__123Graph_EMMBTU" hidden="1">#REF!</definedName>
    <definedName name="__123Graph_EOIL" hidden="1">#REF!</definedName>
    <definedName name="__123Graph_EPLANTGEN" hidden="1">#REF!</definedName>
    <definedName name="__123Graph_XCOAL" hidden="1">#REF!</definedName>
    <definedName name="__123Graph_XMMBTU" hidden="1">#REF!</definedName>
    <definedName name="__123Graph_XOIL" hidden="1">#REF!</definedName>
    <definedName name="__123Graph_XPLANTGEN" hidden="1">#REF!</definedName>
    <definedName name="__gen3">#REF!</definedName>
    <definedName name="_1__123Graph_ACHART_7" hidden="1">#REF!</definedName>
    <definedName name="_2__123Graph_BCHART_6" hidden="1">#REF!</definedName>
    <definedName name="_3__123Graph_BCHART_7" hidden="1">#REF!</definedName>
    <definedName name="_4__123Graph_XCHART_7" hidden="1">#REF!</definedName>
    <definedName name="_Fill" hidden="1">#REF!</definedName>
    <definedName name="_Fill2" hidden="1">#REF!</definedName>
    <definedName name="_gen3">#REF!</definedName>
    <definedName name="_Key1" hidden="1">#REF!</definedName>
    <definedName name="_Key2" hidden="1">#REF!</definedName>
    <definedName name="_Order1" hidden="1">255</definedName>
    <definedName name="_Order2" hidden="1">0</definedName>
    <definedName name="_Sort" hidden="1">#REF!</definedName>
    <definedName name="AllTemplate1">#REF!</definedName>
    <definedName name="AllTemplate2">#REF!</definedName>
    <definedName name="AP42Factors">#REF!</definedName>
    <definedName name="API">#REF!</definedName>
    <definedName name="BLUEtable">#REF!</definedName>
    <definedName name="Boiler1">#REF!</definedName>
    <definedName name="BOILER1A" localSheetId="2">#REF!</definedName>
    <definedName name="BOILER1A">#REF!</definedName>
    <definedName name="BOILER1B" localSheetId="2">#REF!</definedName>
    <definedName name="BOILER1B">#REF!</definedName>
    <definedName name="BOILER2" localSheetId="2">#REF!</definedName>
    <definedName name="BOILER2">#REF!</definedName>
    <definedName name="BOILER2HAP" localSheetId="2">#REF!</definedName>
    <definedName name="BOILER2HAP">#REF!</definedName>
    <definedName name="BOILER3" localSheetId="2">#REF!</definedName>
    <definedName name="BOILER3">#REF!</definedName>
    <definedName name="BOILER3HAP" localSheetId="2">#REF!</definedName>
    <definedName name="BOILER3HAP">#REF!</definedName>
    <definedName name="BSIWhichPageSetup" hidden="1">1</definedName>
    <definedName name="BSIWhichPageSetup_0" hidden="1">"0þ"</definedName>
    <definedName name="btu">#REF!</definedName>
    <definedName name="CaseID1">#REF!</definedName>
    <definedName name="CaseID2">#REF!</definedName>
    <definedName name="CO2_RECOVERY">#REF!</definedName>
    <definedName name="COOLER">#REF!</definedName>
    <definedName name="cover">#REF!</definedName>
    <definedName name="criteriaE.F.">#REF!</definedName>
    <definedName name="DC_DECKS">#REF!</definedName>
    <definedName name="DDGS_HANDLING">#REF!</definedName>
    <definedName name="DEODORIZER1" localSheetId="2">#REF!</definedName>
    <definedName name="DEODORIZER1">#REF!</definedName>
    <definedName name="DEODORIZER2" localSheetId="2">#REF!</definedName>
    <definedName name="DEODORIZER2">#REF!</definedName>
    <definedName name="DescriptionColumn1">#REF!</definedName>
    <definedName name="DescriptionColumn2">#REF!</definedName>
    <definedName name="DISTILLATION">#REF!</definedName>
    <definedName name="DRYER_PM_VOC">#REF!</definedName>
    <definedName name="EAW_TOTAL">#REF!</definedName>
    <definedName name="else">#REF!</definedName>
    <definedName name="else2">#REF!</definedName>
    <definedName name="EQUIPMENT_LEAKS">#REF!</definedName>
    <definedName name="EXEMPT">#REF!</definedName>
    <definedName name="EXTRACTION">#REF!</definedName>
    <definedName name="EXTRACTION2">#REF!</definedName>
    <definedName name="FACILITY">#REF!</definedName>
    <definedName name="FERMENTATION">#REF!</definedName>
    <definedName name="FILENAME" localSheetId="2">#REF!</definedName>
    <definedName name="FILENAME">#REF!</definedName>
    <definedName name="filename1">#REF!</definedName>
    <definedName name="FilePath1">#REF!</definedName>
    <definedName name="FilePath2">#REF!</definedName>
    <definedName name="flub">#REF!</definedName>
    <definedName name="gal">#REF!</definedName>
    <definedName name="GCInputs1">#REF!</definedName>
    <definedName name="GCInputs2">#REF!</definedName>
    <definedName name="GCInputsRow1">#REF!</definedName>
    <definedName name="GCInputsRow2">#REF!</definedName>
    <definedName name="GCOutputs1">#REF!</definedName>
    <definedName name="GCOutputs2">#REF!</definedName>
    <definedName name="GCOutputsRow1">#REF!</definedName>
    <definedName name="GCOutputsRow2">#REF!</definedName>
    <definedName name="GEN1B" localSheetId="2">#REF!</definedName>
    <definedName name="GEN1B">#REF!</definedName>
    <definedName name="GEN2B" localSheetId="2">#REF!</definedName>
    <definedName name="GEN2B">#REF!</definedName>
    <definedName name="GEN3B" localSheetId="2">#REF!</definedName>
    <definedName name="GEN3B">#REF!</definedName>
    <definedName name="GRAIN_RECEIVING">#REF!</definedName>
    <definedName name="GRAIN_STORAGE">#REF!</definedName>
    <definedName name="Gravel_Return">#REF!</definedName>
    <definedName name="H2PLANT" localSheetId="2">#REF!</definedName>
    <definedName name="H2PLANT">#REF!</definedName>
    <definedName name="HEADER">#REF!</definedName>
    <definedName name="HEADER2">#REF!</definedName>
    <definedName name="HOTDEHULL">#REF!</definedName>
    <definedName name="HULLFAT">#REF!</definedName>
    <definedName name="HULLGRIND">#REF!</definedName>
    <definedName name="II">#REF!</definedName>
    <definedName name="INSERT1">#REF!</definedName>
    <definedName name="INSERT2">#REF!</definedName>
    <definedName name="LABELING">#REF!</definedName>
    <definedName name="LastRow1">#REF!</definedName>
    <definedName name="LastRow2">#REF!</definedName>
    <definedName name="LOADING_RACK">#REF!</definedName>
    <definedName name="LocationColumn1">#REF!</definedName>
    <definedName name="LocationColumn2">#REF!</definedName>
    <definedName name="MEAL_GRINDING">#REF!</definedName>
    <definedName name="MEAL_LOADOUT">#REF!</definedName>
    <definedName name="MEAL_STORAGE">#REF!</definedName>
    <definedName name="MODEL">#REF!</definedName>
    <definedName name="ModelID1">#REF!</definedName>
    <definedName name="ModelID2">#REF!</definedName>
    <definedName name="ModeofOperation">#REF!</definedName>
    <definedName name="MW">#REF!</definedName>
    <definedName name="NamesColumn1">#REF!</definedName>
    <definedName name="NamesColumn2">#REF!</definedName>
    <definedName name="NEFCOtable">#REF!</definedName>
    <definedName name="new_area">#REF!</definedName>
    <definedName name="NMOC">#REF!</definedName>
    <definedName name="Oct_00">#REF!</definedName>
    <definedName name="Oil_Sales_Method">#REF!</definedName>
    <definedName name="other_area">#REF!</definedName>
    <definedName name="P">#REF!</definedName>
    <definedName name="PAGE_1" localSheetId="2">#REF!</definedName>
    <definedName name="PAGE_1">#REF!</definedName>
    <definedName name="PAGE_2" localSheetId="2">#REF!</definedName>
    <definedName name="PAGE_2">#REF!</definedName>
    <definedName name="PAGE_3" localSheetId="2">#REF!</definedName>
    <definedName name="PAGE_3">#REF!</definedName>
    <definedName name="PAGE1">#REF!</definedName>
    <definedName name="PELLET_COOLER">#REF!</definedName>
    <definedName name="PELLET_STORAGE">#REF!</definedName>
    <definedName name="Pi">#REF!</definedName>
    <definedName name="pressure">#REF!</definedName>
    <definedName name="print">#REF!</definedName>
    <definedName name="_xlnm.Print_Area" localSheetId="27">'aq-f13-ecs01 Emission Factors'!$A$1:$CH$108</definedName>
    <definedName name="_xlnm.Print_Area" localSheetId="1">'CH-13 IPER Calculations'!$A$1:$F$202</definedName>
    <definedName name="_xlnm.Print_Area" localSheetId="11">'Core Making VOC-HAP'!$A$1:$N$241</definedName>
    <definedName name="_xlnm.Print_Area" localSheetId="2">'GI-07'!$A$1:$GP$50</definedName>
    <definedName name="_xlnm.Print_Area" localSheetId="28">'Natural Gas'!$A$1:$O$55</definedName>
    <definedName name="_xlnm.Print_Area" localSheetId="17">Shotblast!$A$1:$N$50</definedName>
    <definedName name="_xlnm.Print_Area">#REF!</definedName>
    <definedName name="_xlnm.Print_Titles" localSheetId="7">'AL Melting - Natural Gas'!$1:$5</definedName>
    <definedName name="_xlnm.Print_Titles" localSheetId="27">'aq-f13-ecs01 Emission Factors'!$A:$A</definedName>
    <definedName name="_xlnm.Print_Titles" localSheetId="29">'Emission Factors'!$A:$A</definedName>
    <definedName name="_xlnm.Print_Titles" localSheetId="2">'GI-07'!$1:$7</definedName>
    <definedName name="_xlnm.Print_Titles" localSheetId="28">'Natural Gas'!$A:$A</definedName>
    <definedName name="_xlnm.Print_Titles">#N/A</definedName>
    <definedName name="Q">#REF!</definedName>
    <definedName name="RawData">#REF!</definedName>
    <definedName name="RawDate">#REF!</definedName>
    <definedName name="RECEIVING">#REF!</definedName>
    <definedName name="REFINERY">#REF!</definedName>
    <definedName name="ReportDate">#REF!</definedName>
    <definedName name="Rs">#REF!</definedName>
    <definedName name="SGi">#REF!</definedName>
    <definedName name="SGx">#REF!</definedName>
    <definedName name="SUMMARY">#REF!</definedName>
    <definedName name="SUMMARY2">#REF!</definedName>
    <definedName name="temp">#REF!</definedName>
    <definedName name="temp2">#REF!</definedName>
    <definedName name="temp3">#REF!</definedName>
    <definedName name="temp4">#REF!</definedName>
    <definedName name="TemplateID1">#REF!</definedName>
    <definedName name="TemplateID2">#REF!</definedName>
    <definedName name="TEST">#REF!</definedName>
    <definedName name="THC">#REF!</definedName>
    <definedName name="Ti">#REF!</definedName>
    <definedName name="Title1">#REF!</definedName>
    <definedName name="TOTAL">#REF!</definedName>
    <definedName name="toxicsE.F.">#REF!</definedName>
    <definedName name="TURBINE" localSheetId="2">#REF!</definedName>
    <definedName name="TURBINE">#REF!</definedName>
    <definedName name="TURBINEHAP" localSheetId="2">#REF!</definedName>
    <definedName name="TURBINEHA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pavedNew">#REF!</definedName>
    <definedName name="UOMColumn1">#REF!</definedName>
    <definedName name="UOMColumn2">#REF!</definedName>
    <definedName name="Updated_Fugs_2" localSheetId="2" hidden="1">{#N/A,#N/A,TRUE,"Emission Summary";#N/A,#N/A,TRUE,"Engines";#N/A,#N/A,TRUE,"Tank (V-B Flash)";#N/A,#N/A,TRUE,"TANKS 3.0";#N/A,#N/A,TRUE,"Truck Loading";#N/A,#N/A,TRUE,"Fugitives";#N/A,#N/A,TRUE,"Heaters";#N/A,#N/A,TRUE,"Gas Analysis"}</definedName>
    <definedName name="Updated_Fugs_2" localSheetId="3" hidden="1">{#N/A,#N/A,TRUE,"Emission Summary";#N/A,#N/A,TRUE,"Engines";#N/A,#N/A,TRUE,"Tank (V-B Flash)";#N/A,#N/A,TRUE,"TANKS 3.0";#N/A,#N/A,TRUE,"Truck Loading";#N/A,#N/A,TRUE,"Fugitives";#N/A,#N/A,TRUE,"Heaters";#N/A,#N/A,TRUE,"Gas Analysis"}</definedName>
    <definedName name="Updated_Fugs_2" localSheetId="12" hidden="1">{#N/A,#N/A,TRUE,"Emission Summary";#N/A,#N/A,TRUE,"Engines";#N/A,#N/A,TRUE,"Tank (V-B Flash)";#N/A,#N/A,TRUE,"TANKS 3.0";#N/A,#N/A,TRUE,"Truck Loading";#N/A,#N/A,TRUE,"Fugitives";#N/A,#N/A,TRUE,"Heaters";#N/A,#N/A,TRUE,"Gas Analysis"}</definedName>
    <definedName name="Updated_Fugs_2" hidden="1">{#N/A,#N/A,TRUE,"Emission Summary";#N/A,#N/A,TRUE,"Engines";#N/A,#N/A,TRUE,"Tank (V-B Flash)";#N/A,#N/A,TRUE,"TANKS 3.0";#N/A,#N/A,TRUE,"Truck Loading";#N/A,#N/A,TRUE,"Fugitives";#N/A,#N/A,TRUE,"Heaters";#N/A,#N/A,TRUE,"Gas Analysis"}</definedName>
    <definedName name="ValueColumn1">#REF!</definedName>
    <definedName name="ValueColumn2">#REF!</definedName>
    <definedName name="Voc">#REF!</definedName>
    <definedName name="VOC_DRYER">#REF!</definedName>
    <definedName name="wrn.Example._.Calculation._.Sheets." localSheetId="2" hidden="1">{#N/A,#N/A,TRUE,"Emission Summary";#N/A,#N/A,TRUE,"Engines";#N/A,#N/A,TRUE,"Tank (V-B Flash)";#N/A,#N/A,TRUE,"TANKS 3.0";#N/A,#N/A,TRUE,"Truck Loading";#N/A,#N/A,TRUE,"Fugitives";#N/A,#N/A,TRUE,"Heaters";#N/A,#N/A,TRUE,"Gas Analysis"}</definedName>
    <definedName name="wrn.Example._.Calculation._.Sheets." localSheetId="3" hidden="1">{#N/A,#N/A,TRUE,"Emission Summary";#N/A,#N/A,TRUE,"Engines";#N/A,#N/A,TRUE,"Tank (V-B Flash)";#N/A,#N/A,TRUE,"TANKS 3.0";#N/A,#N/A,TRUE,"Truck Loading";#N/A,#N/A,TRUE,"Fugitives";#N/A,#N/A,TRUE,"Heaters";#N/A,#N/A,TRUE,"Gas Analysis"}</definedName>
    <definedName name="wrn.Example._.Calculation._.Sheets." localSheetId="12" hidden="1">{#N/A,#N/A,TRUE,"Emission Summary";#N/A,#N/A,TRUE,"Engines";#N/A,#N/A,TRUE,"Tank (V-B Flash)";#N/A,#N/A,TRUE,"TANKS 3.0";#N/A,#N/A,TRUE,"Truck Loading";#N/A,#N/A,TRUE,"Fugitives";#N/A,#N/A,TRUE,"Heaters";#N/A,#N/A,TRUE,"Gas Analysis"}</definedName>
    <definedName name="wrn.Example._.Calculation._.Sheets." hidden="1">{#N/A,#N/A,TRUE,"Emission Summary";#N/A,#N/A,TRUE,"Engines";#N/A,#N/A,TRUE,"Tank (V-B Flash)";#N/A,#N/A,TRUE,"TANKS 3.0";#N/A,#N/A,TRUE,"Truck Loading";#N/A,#N/A,TRUE,"Fugitives";#N/A,#N/A,TRUE,"Heaters";#N/A,#N/A,TRUE,"Gas Analysis"}</definedName>
    <definedName name="y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47" l="1"/>
  <c r="P3" i="47"/>
  <c r="Q7" i="47"/>
  <c r="Q5" i="47"/>
  <c r="Q3" i="47"/>
  <c r="P7" i="47"/>
  <c r="P5" i="47"/>
  <c r="P6" i="47" l="1"/>
  <c r="Q4" i="47"/>
  <c r="P4" i="47"/>
  <c r="F17" i="3" l="1"/>
  <c r="F84" i="3"/>
  <c r="F97" i="3"/>
  <c r="F166" i="56" l="1"/>
  <c r="E166" i="56"/>
  <c r="D166" i="56"/>
  <c r="F165" i="56"/>
  <c r="E165" i="56"/>
  <c r="D165" i="56"/>
  <c r="F164" i="56"/>
  <c r="E164" i="56"/>
  <c r="D164" i="56"/>
  <c r="F163" i="56"/>
  <c r="E163" i="56"/>
  <c r="D163" i="56"/>
  <c r="F161" i="56"/>
  <c r="E161" i="56"/>
  <c r="D161" i="56"/>
  <c r="F160" i="56"/>
  <c r="E160" i="56"/>
  <c r="D160" i="56"/>
  <c r="F159" i="56"/>
  <c r="E159" i="56"/>
  <c r="D159" i="56"/>
  <c r="F158" i="56"/>
  <c r="E158" i="56"/>
  <c r="D158" i="56"/>
  <c r="F157" i="56"/>
  <c r="E157" i="56"/>
  <c r="D157" i="56"/>
  <c r="F154" i="56"/>
  <c r="E154" i="56"/>
  <c r="D154" i="56"/>
  <c r="F152" i="56"/>
  <c r="E152" i="56"/>
  <c r="D152" i="56"/>
  <c r="F151" i="56"/>
  <c r="E151" i="56"/>
  <c r="D151" i="56"/>
  <c r="F150" i="56"/>
  <c r="E150" i="56"/>
  <c r="D150" i="56"/>
  <c r="F149" i="56"/>
  <c r="E149" i="56"/>
  <c r="D149" i="56"/>
  <c r="F148" i="56"/>
  <c r="E148" i="56"/>
  <c r="D148" i="56"/>
  <c r="G187" i="56"/>
  <c r="F187" i="56"/>
  <c r="H118" i="56"/>
  <c r="G118" i="56"/>
  <c r="F118" i="56"/>
  <c r="F31" i="56"/>
  <c r="G31" i="56"/>
  <c r="H31" i="56"/>
  <c r="F141" i="56"/>
  <c r="F143" i="56" s="1"/>
  <c r="C136" i="56" s="1"/>
  <c r="N3" i="47"/>
  <c r="M7" i="47"/>
  <c r="M5" i="47"/>
  <c r="M3" i="47"/>
  <c r="M4" i="47" l="1"/>
  <c r="F142" i="56"/>
  <c r="C116" i="56" s="1"/>
  <c r="C29" i="56"/>
  <c r="F97" i="56"/>
  <c r="J10" i="3"/>
  <c r="I10" i="3" s="1"/>
  <c r="L5" i="47"/>
  <c r="L7" i="47"/>
  <c r="K7" i="47"/>
  <c r="K5" i="47"/>
  <c r="K3" i="47"/>
  <c r="B26" i="42"/>
  <c r="B22" i="42"/>
  <c r="B21" i="42"/>
  <c r="B32" i="9"/>
  <c r="B27" i="9"/>
  <c r="B26" i="9"/>
  <c r="B40" i="21"/>
  <c r="B31" i="41"/>
  <c r="F98" i="56" l="1"/>
  <c r="C72" i="56" s="1"/>
  <c r="F107" i="56"/>
  <c r="C93" i="56" s="1"/>
  <c r="F106" i="56"/>
  <c r="C91" i="56" s="1"/>
  <c r="F105" i="56"/>
  <c r="C90" i="56" s="1"/>
  <c r="F101" i="56"/>
  <c r="C86" i="56" s="1"/>
  <c r="F103" i="56"/>
  <c r="C89" i="56" s="1"/>
  <c r="F102" i="56"/>
  <c r="C87" i="56" s="1"/>
  <c r="F99" i="56"/>
  <c r="C81" i="56" s="1"/>
  <c r="K6" i="47"/>
  <c r="K4" i="47"/>
  <c r="L4" i="47"/>
  <c r="L6" i="47"/>
  <c r="G14" i="63"/>
  <c r="F14" i="63"/>
  <c r="F31" i="63" s="1"/>
  <c r="F18" i="63"/>
  <c r="F104" i="56" l="1"/>
  <c r="E31" i="63"/>
  <c r="E25" i="63"/>
  <c r="E26" i="63"/>
  <c r="E27" i="63"/>
  <c r="E28" i="63"/>
  <c r="E30" i="63"/>
  <c r="F25" i="63"/>
  <c r="F26" i="63"/>
  <c r="F27" i="63"/>
  <c r="F28" i="63"/>
  <c r="F30" i="63"/>
  <c r="G33" i="63" l="1"/>
  <c r="F33" i="63"/>
  <c r="E33" i="63"/>
  <c r="D4" i="61" l="1"/>
  <c r="E4" i="61"/>
  <c r="F4" i="61"/>
  <c r="G4" i="61"/>
  <c r="H4" i="61"/>
  <c r="I4" i="61"/>
  <c r="J4" i="61"/>
  <c r="K4" i="61"/>
  <c r="L4" i="61"/>
  <c r="M4" i="61"/>
  <c r="F5" i="61"/>
  <c r="G5" i="61"/>
  <c r="H5" i="61"/>
  <c r="I5" i="61"/>
  <c r="K5" i="61"/>
  <c r="M5" i="61"/>
  <c r="F6" i="61"/>
  <c r="G6" i="61"/>
  <c r="H6" i="61"/>
  <c r="K6" i="61"/>
  <c r="M6" i="61"/>
  <c r="F8" i="61"/>
  <c r="G8" i="61"/>
  <c r="H8" i="61"/>
  <c r="D9" i="61"/>
  <c r="E9" i="61"/>
  <c r="F9" i="61"/>
  <c r="G9" i="61"/>
  <c r="H9" i="61"/>
  <c r="I9" i="61"/>
  <c r="J9" i="61"/>
  <c r="K9" i="61"/>
  <c r="L9" i="61"/>
  <c r="M9" i="61"/>
  <c r="D10" i="61"/>
  <c r="E10" i="61"/>
  <c r="F10" i="61"/>
  <c r="G10" i="61"/>
  <c r="H10" i="61"/>
  <c r="I10" i="61"/>
  <c r="J10" i="61"/>
  <c r="K10" i="61"/>
  <c r="L10" i="61"/>
  <c r="M10" i="61"/>
  <c r="D11" i="61"/>
  <c r="E11" i="61"/>
  <c r="F11" i="61"/>
  <c r="G11" i="61"/>
  <c r="H11" i="61"/>
  <c r="I11" i="61"/>
  <c r="J11" i="61"/>
  <c r="K11" i="61"/>
  <c r="M11" i="61"/>
  <c r="F12" i="61"/>
  <c r="J12" i="61"/>
  <c r="D14" i="61"/>
  <c r="F14" i="61"/>
  <c r="I14" i="61"/>
  <c r="J14" i="61"/>
  <c r="AC50" i="60"/>
  <c r="V50" i="60"/>
  <c r="U50" i="60"/>
  <c r="P50" i="60"/>
  <c r="O50" i="60"/>
  <c r="J50" i="60"/>
  <c r="I50" i="60"/>
  <c r="E41" i="21"/>
  <c r="G35" i="40" a="1"/>
  <c r="G35" i="40" s="1"/>
  <c r="H221" i="56"/>
  <c r="GJ18" i="60"/>
  <c r="FQ50" i="60"/>
  <c r="FQ45" i="60"/>
  <c r="FQ39" i="60"/>
  <c r="FQ33" i="60"/>
  <c r="FQ34" i="60"/>
  <c r="FQ32" i="60"/>
  <c r="FQ25" i="60"/>
  <c r="FQ21" i="60"/>
  <c r="FQ22" i="60"/>
  <c r="FQ20" i="60"/>
  <c r="EX50" i="60"/>
  <c r="FD50" i="60" s="1"/>
  <c r="EW50" i="60"/>
  <c r="FC50" i="60" s="1"/>
  <c r="FJ45" i="60"/>
  <c r="FJ39" i="60"/>
  <c r="FD39" i="60"/>
  <c r="EX20" i="60"/>
  <c r="FD20" i="60" s="1"/>
  <c r="EX21" i="60"/>
  <c r="FD21" i="60" s="1"/>
  <c r="EX22" i="60"/>
  <c r="FJ22" i="60" s="1"/>
  <c r="EX45" i="60"/>
  <c r="FD45" i="60" s="1"/>
  <c r="EX39" i="60"/>
  <c r="EX32" i="60"/>
  <c r="FJ32" i="60" s="1"/>
  <c r="EX33" i="60"/>
  <c r="FD33" i="60" s="1"/>
  <c r="EX34" i="60"/>
  <c r="FD34" i="60" s="1"/>
  <c r="EX25" i="60"/>
  <c r="FJ25" i="60" s="1"/>
  <c r="EW45" i="60"/>
  <c r="FI45" i="60" s="1"/>
  <c r="EW39" i="60"/>
  <c r="FI39" i="60" s="1"/>
  <c r="EW34" i="60"/>
  <c r="FC34" i="60" s="1"/>
  <c r="EW33" i="60"/>
  <c r="FC33" i="60" s="1"/>
  <c r="EW32" i="60"/>
  <c r="FI32" i="60" s="1"/>
  <c r="EW25" i="60"/>
  <c r="FC25" i="60" s="1"/>
  <c r="EW22" i="60"/>
  <c r="FI22" i="60" s="1"/>
  <c r="EW21" i="60"/>
  <c r="FI21" i="60" s="1"/>
  <c r="EW20" i="60"/>
  <c r="FC20" i="60" s="1"/>
  <c r="EM18" i="60" a="1"/>
  <c r="EM18" i="60" s="1"/>
  <c r="EL18" i="60" a="1"/>
  <c r="EL18" i="60" s="1"/>
  <c r="EK18" i="60" a="1"/>
  <c r="EK18" i="60" s="1"/>
  <c r="ES18" i="60" a="1"/>
  <c r="ES18" i="60" s="1"/>
  <c r="ER18" i="60" a="1"/>
  <c r="ER18" i="60" s="1"/>
  <c r="EQ18" i="60" a="1"/>
  <c r="EQ18" i="60" s="1"/>
  <c r="GJ43" i="60"/>
  <c r="G100" i="3"/>
  <c r="I92" i="3" s="1"/>
  <c r="G101" i="3"/>
  <c r="G102" i="3"/>
  <c r="CP20" i="60"/>
  <c r="CO20" i="60"/>
  <c r="H241" i="56"/>
  <c r="G241" i="56"/>
  <c r="F241" i="56"/>
  <c r="E241" i="56"/>
  <c r="D241" i="56"/>
  <c r="C241" i="56"/>
  <c r="H240" i="56"/>
  <c r="G240" i="56"/>
  <c r="F240" i="56"/>
  <c r="E240" i="56"/>
  <c r="D240" i="56"/>
  <c r="C240" i="56"/>
  <c r="H239" i="56"/>
  <c r="G239" i="56"/>
  <c r="F239" i="56"/>
  <c r="E239" i="56"/>
  <c r="D239" i="56"/>
  <c r="C239" i="56"/>
  <c r="H238" i="56"/>
  <c r="G238" i="56"/>
  <c r="F238" i="56"/>
  <c r="E238" i="56"/>
  <c r="D238" i="56"/>
  <c r="C238" i="56"/>
  <c r="H237" i="56"/>
  <c r="G237" i="56"/>
  <c r="F237" i="56"/>
  <c r="E237" i="56"/>
  <c r="D237" i="56"/>
  <c r="C237" i="56"/>
  <c r="H236" i="56"/>
  <c r="G236" i="56"/>
  <c r="F236" i="56"/>
  <c r="E236" i="56"/>
  <c r="D236" i="56"/>
  <c r="C236" i="56"/>
  <c r="H235" i="56"/>
  <c r="G235" i="56"/>
  <c r="F235" i="56"/>
  <c r="E235" i="56"/>
  <c r="D235" i="56"/>
  <c r="C235" i="56"/>
  <c r="H234" i="56"/>
  <c r="G234" i="56"/>
  <c r="F234" i="56"/>
  <c r="E234" i="56"/>
  <c r="D234" i="56"/>
  <c r="C234" i="56"/>
  <c r="H233" i="56"/>
  <c r="G233" i="56"/>
  <c r="F233" i="56"/>
  <c r="E233" i="56"/>
  <c r="D233" i="56"/>
  <c r="C233" i="56"/>
  <c r="H232" i="56"/>
  <c r="G232" i="56"/>
  <c r="F232" i="56"/>
  <c r="E232" i="56"/>
  <c r="D232" i="56"/>
  <c r="C232" i="56"/>
  <c r="H231" i="56"/>
  <c r="G231" i="56"/>
  <c r="F231" i="56"/>
  <c r="E231" i="56"/>
  <c r="D231" i="56"/>
  <c r="C231" i="56"/>
  <c r="H230" i="56"/>
  <c r="G230" i="56"/>
  <c r="F230" i="56"/>
  <c r="E230" i="56"/>
  <c r="D230" i="56"/>
  <c r="C230" i="56"/>
  <c r="H229" i="56"/>
  <c r="G229" i="56"/>
  <c r="F229" i="56"/>
  <c r="E229" i="56"/>
  <c r="D229" i="56"/>
  <c r="C229" i="56"/>
  <c r="H228" i="56"/>
  <c r="G228" i="56"/>
  <c r="F228" i="56"/>
  <c r="E228" i="56"/>
  <c r="D228" i="56"/>
  <c r="C228" i="56"/>
  <c r="H227" i="56"/>
  <c r="G227" i="56"/>
  <c r="F227" i="56"/>
  <c r="E227" i="56"/>
  <c r="D227" i="56"/>
  <c r="C227" i="56"/>
  <c r="H226" i="56"/>
  <c r="G226" i="56"/>
  <c r="F226" i="56"/>
  <c r="E226" i="56"/>
  <c r="D226" i="56"/>
  <c r="C226" i="56"/>
  <c r="H225" i="56"/>
  <c r="G225" i="56"/>
  <c r="F225" i="56"/>
  <c r="E225" i="56"/>
  <c r="D225" i="56"/>
  <c r="C225" i="56"/>
  <c r="H224" i="56"/>
  <c r="G224" i="56"/>
  <c r="F224" i="56"/>
  <c r="E224" i="56"/>
  <c r="D224" i="56"/>
  <c r="C224" i="56"/>
  <c r="H223" i="56"/>
  <c r="G223" i="56"/>
  <c r="F223" i="56"/>
  <c r="E223" i="56"/>
  <c r="D223" i="56"/>
  <c r="C223" i="56"/>
  <c r="H222" i="56"/>
  <c r="G222" i="56"/>
  <c r="F222" i="56"/>
  <c r="E222" i="56"/>
  <c r="D222" i="56"/>
  <c r="C222" i="56"/>
  <c r="G221" i="56"/>
  <c r="F221" i="56"/>
  <c r="E221" i="56"/>
  <c r="D221" i="56"/>
  <c r="C221" i="56"/>
  <c r="H220" i="56"/>
  <c r="G220" i="56"/>
  <c r="F220" i="56"/>
  <c r="E220" i="56"/>
  <c r="D220" i="56"/>
  <c r="C220" i="56"/>
  <c r="H218" i="56"/>
  <c r="G218" i="56"/>
  <c r="F218" i="56"/>
  <c r="E218" i="56"/>
  <c r="D218" i="56"/>
  <c r="C218" i="56"/>
  <c r="H217" i="56"/>
  <c r="G217" i="56"/>
  <c r="F217" i="56"/>
  <c r="E217" i="56"/>
  <c r="D217" i="56"/>
  <c r="C217" i="56"/>
  <c r="H216" i="56"/>
  <c r="G216" i="56"/>
  <c r="F216" i="56"/>
  <c r="E216" i="56"/>
  <c r="D216" i="56"/>
  <c r="C216" i="56"/>
  <c r="H215" i="56"/>
  <c r="G215" i="56"/>
  <c r="F215" i="56"/>
  <c r="E215" i="56"/>
  <c r="D215" i="56"/>
  <c r="C215" i="56"/>
  <c r="H214" i="56"/>
  <c r="G214" i="56"/>
  <c r="F214" i="56"/>
  <c r="E214" i="56"/>
  <c r="D214" i="56"/>
  <c r="C214" i="56"/>
  <c r="H213" i="56"/>
  <c r="G213" i="56"/>
  <c r="F213" i="56"/>
  <c r="E213" i="56"/>
  <c r="D213" i="56"/>
  <c r="C213" i="56"/>
  <c r="AH18" i="60" a="1"/>
  <c r="AH18" i="60" s="1"/>
  <c r="AG18" i="60" a="1"/>
  <c r="AG18" i="60" s="1"/>
  <c r="AM18" i="60" a="1"/>
  <c r="AM18" i="60" s="1"/>
  <c r="BX37" i="60"/>
  <c r="BW37" i="60"/>
  <c r="O3" i="47"/>
  <c r="C185" i="56" s="1"/>
  <c r="BM18" i="60" a="1"/>
  <c r="BM18" i="60" s="1"/>
  <c r="BF18" i="60" a="1"/>
  <c r="BF18" i="60" s="1"/>
  <c r="BE18" i="60" a="1"/>
  <c r="BE18" i="60" s="1"/>
  <c r="AZ18" i="60" a="1"/>
  <c r="AZ18" i="60" s="1"/>
  <c r="AY18" i="60" a="1"/>
  <c r="AY18" i="60" s="1"/>
  <c r="O28" i="22"/>
  <c r="O29" i="22"/>
  <c r="O30" i="22"/>
  <c r="O31" i="22"/>
  <c r="O32" i="22"/>
  <c r="O33" i="22"/>
  <c r="O34" i="22"/>
  <c r="FC22" i="60" l="1"/>
  <c r="FC21" i="60"/>
  <c r="FD22" i="60"/>
  <c r="FC39" i="60"/>
  <c r="FC45" i="60"/>
  <c r="FJ21" i="60"/>
  <c r="FI20" i="60"/>
  <c r="FJ20" i="60"/>
  <c r="FI25" i="60"/>
  <c r="FI33" i="60"/>
  <c r="FJ33" i="60"/>
  <c r="FJ34" i="60"/>
  <c r="I95" i="3"/>
  <c r="I94" i="3"/>
  <c r="I93" i="3"/>
  <c r="I97" i="3"/>
  <c r="I96" i="3"/>
  <c r="CI25" i="60"/>
  <c r="I227" i="56"/>
  <c r="CK30" i="60" s="1"/>
  <c r="GI30" i="60" s="1"/>
  <c r="CI19" i="60"/>
  <c r="I224" i="56"/>
  <c r="CK28" i="60" s="1"/>
  <c r="GI28" i="60" s="1"/>
  <c r="CJ34" i="60"/>
  <c r="I238" i="56"/>
  <c r="CK45" i="60" s="1"/>
  <c r="CJ19" i="60"/>
  <c r="CI26" i="60"/>
  <c r="CI32" i="60"/>
  <c r="CI40" i="60"/>
  <c r="CJ38" i="60"/>
  <c r="I241" i="56"/>
  <c r="CI21" i="60"/>
  <c r="I222" i="56"/>
  <c r="CK26" i="60" s="1"/>
  <c r="GI26" i="60" s="1"/>
  <c r="I229" i="56"/>
  <c r="CK32" i="60" s="1"/>
  <c r="I236" i="56"/>
  <c r="CK40" i="60" s="1"/>
  <c r="GI40" i="60" s="1"/>
  <c r="CJ21" i="60"/>
  <c r="CI30" i="60"/>
  <c r="CI38" i="60"/>
  <c r="CJ36" i="60"/>
  <c r="CJ20" i="60"/>
  <c r="CI45" i="60"/>
  <c r="I215" i="56"/>
  <c r="CK22" i="60" s="1"/>
  <c r="CI31" i="60"/>
  <c r="CI39" i="60"/>
  <c r="CI28" i="60"/>
  <c r="CJ50" i="60"/>
  <c r="CJ30" i="60"/>
  <c r="CJ18" i="60"/>
  <c r="CI29" i="60"/>
  <c r="CI33" i="60"/>
  <c r="CI44" i="60"/>
  <c r="I231" i="56"/>
  <c r="CK34" i="60" s="1"/>
  <c r="CI50" i="60"/>
  <c r="CJ44" i="60"/>
  <c r="I213" i="56"/>
  <c r="CK20" i="60" s="1"/>
  <c r="CI36" i="60"/>
  <c r="CI37" i="60"/>
  <c r="CI47" i="60"/>
  <c r="I221" i="56"/>
  <c r="M16" i="61" s="1"/>
  <c r="CJ32" i="60"/>
  <c r="CI27" i="60"/>
  <c r="CI35" i="60"/>
  <c r="CI49" i="60"/>
  <c r="CI22" i="60"/>
  <c r="CJ29" i="60"/>
  <c r="CJ33" i="60"/>
  <c r="CJ35" i="60"/>
  <c r="CJ49" i="60"/>
  <c r="CI23" i="60"/>
  <c r="CJ37" i="60"/>
  <c r="CJ47" i="60"/>
  <c r="CI20" i="60"/>
  <c r="CI18" i="60"/>
  <c r="CJ27" i="60"/>
  <c r="CJ31" i="60"/>
  <c r="CJ39" i="60"/>
  <c r="I234" i="56"/>
  <c r="CK38" i="60" s="1"/>
  <c r="GI38" i="60" s="1"/>
  <c r="CJ23" i="60"/>
  <c r="CI34" i="60"/>
  <c r="CJ28" i="60"/>
  <c r="I220" i="56"/>
  <c r="CJ40" i="60"/>
  <c r="CJ22" i="60"/>
  <c r="CJ45" i="60"/>
  <c r="CJ26" i="60"/>
  <c r="CJ25" i="60"/>
  <c r="I217" i="56"/>
  <c r="FD32" i="60"/>
  <c r="FI34" i="60"/>
  <c r="FD25" i="60"/>
  <c r="FC32" i="60"/>
  <c r="FJ50" i="60"/>
  <c r="FI50" i="60"/>
  <c r="I225" i="56"/>
  <c r="I239" i="56"/>
  <c r="CK49" i="60" s="1"/>
  <c r="I214" i="56"/>
  <c r="I216" i="56"/>
  <c r="I218" i="56"/>
  <c r="I223" i="56"/>
  <c r="CK27" i="60" s="1"/>
  <c r="GI27" i="60" s="1"/>
  <c r="I228" i="56"/>
  <c r="CK31" i="60" s="1"/>
  <c r="GI31" i="60" s="1"/>
  <c r="I230" i="56"/>
  <c r="CK33" i="60" s="1"/>
  <c r="I232" i="56"/>
  <c r="CK35" i="60" s="1"/>
  <c r="GI35" i="60" s="1"/>
  <c r="I235" i="56"/>
  <c r="CK39" i="60" s="1"/>
  <c r="I237" i="56"/>
  <c r="CK44" i="60" s="1"/>
  <c r="I226" i="56"/>
  <c r="CK36" i="60" s="1"/>
  <c r="GI36" i="60" s="1"/>
  <c r="I233" i="56"/>
  <c r="CK37" i="60" s="1"/>
  <c r="I240" i="56"/>
  <c r="CK47" i="60" s="1"/>
  <c r="GI47" i="60" s="1"/>
  <c r="J7" i="47"/>
  <c r="J5" i="47"/>
  <c r="H16" i="61" l="1"/>
  <c r="F16" i="61"/>
  <c r="CK50" i="60"/>
  <c r="E16" i="61"/>
  <c r="E17" i="61" s="1"/>
  <c r="CK18" i="60"/>
  <c r="CK23" i="60"/>
  <c r="I16" i="61"/>
  <c r="I17" i="61" s="1"/>
  <c r="D16" i="61"/>
  <c r="D17" i="61" s="1"/>
  <c r="CK19" i="60"/>
  <c r="CK21" i="60"/>
  <c r="G16" i="61"/>
  <c r="K16" i="61"/>
  <c r="CK25" i="60"/>
  <c r="L16" i="61"/>
  <c r="L17" i="61" s="1"/>
  <c r="CK29" i="60"/>
  <c r="GI29" i="60" s="1"/>
  <c r="V45" i="60" l="1"/>
  <c r="U45" i="60"/>
  <c r="V39" i="60"/>
  <c r="U39" i="60"/>
  <c r="V20" i="60"/>
  <c r="V21" i="60"/>
  <c r="V22" i="60"/>
  <c r="V23" i="60"/>
  <c r="V25" i="60"/>
  <c r="U25" i="60"/>
  <c r="U23" i="60"/>
  <c r="U22" i="60"/>
  <c r="U21" i="60"/>
  <c r="U20" i="60"/>
  <c r="P45" i="60"/>
  <c r="P39" i="60"/>
  <c r="O45" i="60"/>
  <c r="O39" i="60"/>
  <c r="P20" i="60"/>
  <c r="P21" i="60"/>
  <c r="P22" i="60"/>
  <c r="P23" i="60"/>
  <c r="P25" i="60"/>
  <c r="O25" i="60"/>
  <c r="O23" i="60"/>
  <c r="O22" i="60"/>
  <c r="O21" i="60"/>
  <c r="O20" i="60"/>
  <c r="J20" i="60"/>
  <c r="J21" i="60"/>
  <c r="J22" i="60"/>
  <c r="J23" i="60"/>
  <c r="J25" i="60"/>
  <c r="J39" i="60"/>
  <c r="J45" i="60"/>
  <c r="I45" i="60"/>
  <c r="I39" i="60"/>
  <c r="I25" i="60"/>
  <c r="I23" i="60"/>
  <c r="I22" i="60"/>
  <c r="I21" i="60"/>
  <c r="I20" i="60"/>
  <c r="B50" i="7" l="1"/>
  <c r="B49" i="7"/>
  <c r="B48" i="7"/>
  <c r="B47" i="7"/>
  <c r="B46" i="7"/>
  <c r="B44" i="7"/>
  <c r="B43" i="7"/>
  <c r="GJ50" i="60"/>
  <c r="GJ49" i="60"/>
  <c r="GJ48" i="60"/>
  <c r="GJ47" i="60"/>
  <c r="GJ46" i="60"/>
  <c r="GJ45" i="60"/>
  <c r="GJ44" i="60"/>
  <c r="GJ42" i="60"/>
  <c r="GJ41" i="60"/>
  <c r="GJ40" i="60"/>
  <c r="GJ39" i="60"/>
  <c r="GJ38" i="60"/>
  <c r="GJ37" i="60"/>
  <c r="GJ36" i="60"/>
  <c r="GJ35" i="60"/>
  <c r="GJ34" i="60"/>
  <c r="GJ33" i="60"/>
  <c r="GJ32" i="60"/>
  <c r="GJ31" i="60"/>
  <c r="GJ30" i="60"/>
  <c r="GJ29" i="60"/>
  <c r="GJ28" i="60"/>
  <c r="GJ27" i="60"/>
  <c r="GJ26" i="60"/>
  <c r="GJ25" i="60"/>
  <c r="GJ24" i="60"/>
  <c r="GJ23" i="60"/>
  <c r="GJ22" i="60"/>
  <c r="GJ21" i="60"/>
  <c r="GJ20" i="60"/>
  <c r="GJ19" i="60"/>
  <c r="GC24" i="60"/>
  <c r="GB24" i="60"/>
  <c r="GA24" i="60"/>
  <c r="GA21" i="60"/>
  <c r="GB21" i="60"/>
  <c r="GC21" i="60"/>
  <c r="GA22" i="60"/>
  <c r="GB22" i="60"/>
  <c r="GC22" i="60"/>
  <c r="GC20" i="60"/>
  <c r="GB20" i="60"/>
  <c r="GA20" i="60"/>
  <c r="FW24" i="60"/>
  <c r="FV24" i="60"/>
  <c r="FU24" i="60"/>
  <c r="FW20" i="60"/>
  <c r="FV20" i="60"/>
  <c r="FU20" i="60"/>
  <c r="C13" i="40"/>
  <c r="E27" i="40"/>
  <c r="F27" i="40"/>
  <c r="G27" i="40"/>
  <c r="EG25" i="60"/>
  <c r="EG24" i="60"/>
  <c r="EG23" i="60"/>
  <c r="EG22" i="60"/>
  <c r="EG21" i="60"/>
  <c r="EG20" i="60"/>
  <c r="EG19" i="60"/>
  <c r="EG18" i="60"/>
  <c r="GI18" i="60" s="1"/>
  <c r="EF25" i="60"/>
  <c r="EE25" i="60"/>
  <c r="EF24" i="60"/>
  <c r="EE24" i="60"/>
  <c r="EF18" i="60"/>
  <c r="EE18" i="60"/>
  <c r="EF23" i="60"/>
  <c r="EE23" i="60"/>
  <c r="EF19" i="60"/>
  <c r="EE19" i="60"/>
  <c r="EE21" i="60"/>
  <c r="EF21" i="60"/>
  <c r="EE22" i="60"/>
  <c r="EF22" i="60"/>
  <c r="EF20" i="60"/>
  <c r="EE20" i="60"/>
  <c r="AC45" i="60"/>
  <c r="AC39" i="60"/>
  <c r="AC25" i="60"/>
  <c r="AC23" i="60"/>
  <c r="AC21" i="60"/>
  <c r="AC22" i="60"/>
  <c r="AC20" i="60"/>
  <c r="F81" i="37" l="1"/>
  <c r="D80" i="37"/>
  <c r="F80" i="37" s="1"/>
  <c r="C80" i="37"/>
  <c r="E80" i="37" s="1"/>
  <c r="I12" i="41" l="1"/>
  <c r="E7" i="57"/>
  <c r="E8" i="57"/>
  <c r="E9" i="57"/>
  <c r="F20" i="57"/>
  <c r="F19" i="57"/>
  <c r="F18" i="57"/>
  <c r="F15" i="57"/>
  <c r="F14" i="57"/>
  <c r="F13" i="57"/>
  <c r="F12" i="57"/>
  <c r="Q33" i="21"/>
  <c r="J15" i="9"/>
  <c r="J14" i="9"/>
  <c r="F17" i="57" l="1"/>
  <c r="F16" i="57"/>
  <c r="F9" i="57"/>
  <c r="F8" i="57"/>
  <c r="F7" i="57" l="1"/>
  <c r="C62" i="23" l="1"/>
  <c r="E63" i="56"/>
  <c r="C46" i="56" s="1"/>
  <c r="E62" i="56"/>
  <c r="C45" i="56" s="1"/>
  <c r="E61" i="56"/>
  <c r="C44" i="56" s="1"/>
  <c r="E60" i="56"/>
  <c r="C43" i="56" s="1"/>
  <c r="E59" i="56"/>
  <c r="C38" i="56" s="1"/>
  <c r="H14" i="56"/>
  <c r="E3" i="47"/>
  <c r="E4" i="47" s="1"/>
  <c r="I7" i="47"/>
  <c r="H7" i="47"/>
  <c r="G7" i="47"/>
  <c r="F7" i="47"/>
  <c r="E5" i="47"/>
  <c r="E6" i="47" s="1"/>
  <c r="D3" i="47"/>
  <c r="D4" i="47" s="1"/>
  <c r="I5" i="47"/>
  <c r="H5" i="47"/>
  <c r="H6" i="47" s="1"/>
  <c r="G5" i="47"/>
  <c r="G6" i="47" s="1"/>
  <c r="I3" i="47"/>
  <c r="I4" i="47" s="1"/>
  <c r="H3" i="47"/>
  <c r="H4" i="47" s="1"/>
  <c r="G3" i="47"/>
  <c r="G4" i="47" s="1"/>
  <c r="F14" i="56" l="1"/>
  <c r="F185" i="56" s="1"/>
  <c r="C219" i="56" s="1"/>
  <c r="G185" i="56" l="1"/>
  <c r="D219" i="56" s="1"/>
  <c r="G219" i="56"/>
  <c r="E219" i="56"/>
  <c r="H12" i="56"/>
  <c r="F12" i="56" s="1"/>
  <c r="F116" i="56" s="1"/>
  <c r="G116" i="56" s="1"/>
  <c r="H13" i="56"/>
  <c r="F13" i="56" s="1"/>
  <c r="F136" i="56" s="1"/>
  <c r="D173" i="56" s="1"/>
  <c r="H11" i="56"/>
  <c r="G136" i="56" l="1"/>
  <c r="E173" i="56" s="1"/>
  <c r="F119" i="56"/>
  <c r="F93" i="56"/>
  <c r="D174" i="56" s="1"/>
  <c r="F90" i="56"/>
  <c r="D171" i="56" s="1"/>
  <c r="F89" i="56"/>
  <c r="F91" i="56"/>
  <c r="D172" i="56" s="1"/>
  <c r="F72" i="56"/>
  <c r="G72" i="56" s="1"/>
  <c r="F11" i="56"/>
  <c r="CI24" i="60"/>
  <c r="F219" i="56"/>
  <c r="H219" i="56"/>
  <c r="G93" i="56" l="1"/>
  <c r="E174" i="56" s="1"/>
  <c r="G91" i="56"/>
  <c r="E172" i="56" s="1"/>
  <c r="BW46" i="60"/>
  <c r="G119" i="56"/>
  <c r="G89" i="56"/>
  <c r="G90" i="56"/>
  <c r="E171" i="56" s="1"/>
  <c r="F74" i="56"/>
  <c r="CJ24" i="60"/>
  <c r="I219" i="56"/>
  <c r="F87" i="56"/>
  <c r="F81" i="56"/>
  <c r="F86" i="56"/>
  <c r="F44" i="56"/>
  <c r="F43" i="56"/>
  <c r="F38" i="56"/>
  <c r="F45" i="56"/>
  <c r="D169" i="56" s="1"/>
  <c r="F29" i="56"/>
  <c r="D153" i="56" s="1"/>
  <c r="F46" i="56"/>
  <c r="D170" i="56" s="1"/>
  <c r="F91" i="3"/>
  <c r="I91" i="3" s="1"/>
  <c r="F90" i="3"/>
  <c r="E78" i="23"/>
  <c r="D5" i="47"/>
  <c r="D6" i="47" s="1"/>
  <c r="D155" i="56" l="1"/>
  <c r="BW49" i="60"/>
  <c r="D168" i="56"/>
  <c r="D167" i="56"/>
  <c r="D162" i="56"/>
  <c r="F32" i="56"/>
  <c r="BQ50" i="60" s="1"/>
  <c r="BQ41" i="60"/>
  <c r="BQ44" i="60"/>
  <c r="BQ42" i="60"/>
  <c r="BW42" i="60"/>
  <c r="F75" i="56"/>
  <c r="BX46" i="60"/>
  <c r="G74" i="56"/>
  <c r="I90" i="3"/>
  <c r="H90" i="3" s="1"/>
  <c r="O90" i="3"/>
  <c r="BW43" i="60"/>
  <c r="BQ24" i="60"/>
  <c r="G29" i="56"/>
  <c r="E153" i="56" s="1"/>
  <c r="J16" i="61"/>
  <c r="CK24" i="60"/>
  <c r="G87" i="56"/>
  <c r="BW44" i="60"/>
  <c r="G86" i="56"/>
  <c r="BW41" i="60"/>
  <c r="CD24" i="60"/>
  <c r="CC24" i="60"/>
  <c r="BQ46" i="60"/>
  <c r="BQ37" i="60"/>
  <c r="BX24" i="60"/>
  <c r="BW24" i="60"/>
  <c r="G81" i="56"/>
  <c r="G46" i="56"/>
  <c r="E170" i="56" s="1"/>
  <c r="G45" i="56"/>
  <c r="E169" i="56" s="1"/>
  <c r="G38" i="56"/>
  <c r="E162" i="56" s="1"/>
  <c r="G43" i="56"/>
  <c r="G44" i="56"/>
  <c r="E168" i="56" s="1"/>
  <c r="J6" i="49"/>
  <c r="K25" i="49" s="1"/>
  <c r="C7" i="53"/>
  <c r="C7" i="54"/>
  <c r="C7" i="52"/>
  <c r="J31" i="49"/>
  <c r="B27" i="49"/>
  <c r="B26" i="49"/>
  <c r="J8" i="9"/>
  <c r="E155" i="56" l="1"/>
  <c r="BX49" i="60"/>
  <c r="E167" i="56"/>
  <c r="D156" i="56"/>
  <c r="G32" i="56"/>
  <c r="BW50" i="60"/>
  <c r="BR24" i="60"/>
  <c r="BR44" i="60"/>
  <c r="BR41" i="60"/>
  <c r="BR42" i="60"/>
  <c r="BR37" i="60"/>
  <c r="BR46" i="60"/>
  <c r="BX42" i="60"/>
  <c r="BX41" i="60"/>
  <c r="BX44" i="60"/>
  <c r="G75" i="56"/>
  <c r="BX43" i="60"/>
  <c r="J27" i="49"/>
  <c r="K27" i="49"/>
  <c r="I31" i="49"/>
  <c r="K31" i="49"/>
  <c r="J25" i="49"/>
  <c r="K26" i="49"/>
  <c r="J26" i="49"/>
  <c r="E156" i="56" l="1"/>
  <c r="BX50" i="60"/>
  <c r="BR50" i="60"/>
  <c r="E25" i="9"/>
  <c r="F25" i="9" s="1"/>
  <c r="B41" i="54"/>
  <c r="B40" i="54"/>
  <c r="B39" i="54"/>
  <c r="B38" i="54"/>
  <c r="B37" i="54"/>
  <c r="B36" i="54"/>
  <c r="B35" i="54"/>
  <c r="B34" i="54"/>
  <c r="B33" i="54"/>
  <c r="B32" i="54"/>
  <c r="B31" i="54"/>
  <c r="B30" i="54"/>
  <c r="B29" i="54"/>
  <c r="B28" i="54"/>
  <c r="B27" i="54"/>
  <c r="B26" i="54"/>
  <c r="B25" i="54"/>
  <c r="B24" i="54"/>
  <c r="G23" i="54"/>
  <c r="F23" i="54"/>
  <c r="B23" i="54"/>
  <c r="B22" i="54"/>
  <c r="B21" i="54"/>
  <c r="B20" i="54"/>
  <c r="B19" i="54"/>
  <c r="B18" i="54"/>
  <c r="B17" i="54"/>
  <c r="B16" i="54"/>
  <c r="B15" i="54"/>
  <c r="B14" i="54"/>
  <c r="B13" i="54"/>
  <c r="E22" i="54"/>
  <c r="B41" i="53"/>
  <c r="B40" i="53"/>
  <c r="B39" i="53"/>
  <c r="B38" i="53"/>
  <c r="B37" i="53"/>
  <c r="B36" i="53"/>
  <c r="B35" i="53"/>
  <c r="B34" i="53"/>
  <c r="B33" i="53"/>
  <c r="B32" i="53"/>
  <c r="B31" i="53"/>
  <c r="B30" i="53"/>
  <c r="B29" i="53"/>
  <c r="B28" i="53"/>
  <c r="B27" i="53"/>
  <c r="B26" i="53"/>
  <c r="H25" i="53"/>
  <c r="F25" i="53"/>
  <c r="B25" i="53"/>
  <c r="B24" i="53"/>
  <c r="F24" i="53" s="1"/>
  <c r="B23" i="53"/>
  <c r="G23" i="53" s="1"/>
  <c r="E22" i="53"/>
  <c r="B22" i="53"/>
  <c r="G22" i="53" s="1"/>
  <c r="B21" i="53"/>
  <c r="B20" i="53"/>
  <c r="B19" i="53"/>
  <c r="B18" i="53"/>
  <c r="B17" i="53"/>
  <c r="B16" i="53"/>
  <c r="B15" i="53"/>
  <c r="B14" i="53"/>
  <c r="B13" i="53"/>
  <c r="C8" i="53"/>
  <c r="H41" i="53" s="1"/>
  <c r="H23" i="53"/>
  <c r="J14" i="49"/>
  <c r="J13" i="49"/>
  <c r="I25" i="49" s="1"/>
  <c r="I26" i="49" l="1"/>
  <c r="I27" i="49"/>
  <c r="G14" i="53"/>
  <c r="F17" i="53"/>
  <c r="E20" i="53"/>
  <c r="G28" i="53"/>
  <c r="H23" i="54"/>
  <c r="F25" i="54"/>
  <c r="H22" i="54"/>
  <c r="G25" i="54"/>
  <c r="E25" i="54"/>
  <c r="G22" i="54"/>
  <c r="H25" i="54"/>
  <c r="E24" i="54"/>
  <c r="F22" i="54"/>
  <c r="E23" i="54"/>
  <c r="C8" i="54"/>
  <c r="F24" i="54"/>
  <c r="G24" i="54"/>
  <c r="H24" i="54"/>
  <c r="G15" i="53"/>
  <c r="F18" i="53"/>
  <c r="E21" i="53"/>
  <c r="G32" i="53"/>
  <c r="G24" i="53"/>
  <c r="F27" i="53"/>
  <c r="E30" i="53"/>
  <c r="G13" i="53"/>
  <c r="F16" i="53"/>
  <c r="E19" i="53"/>
  <c r="H24" i="53"/>
  <c r="G27" i="53"/>
  <c r="F30" i="53"/>
  <c r="E33" i="53"/>
  <c r="H13" i="53"/>
  <c r="G16" i="53"/>
  <c r="F19" i="53"/>
  <c r="H16" i="53"/>
  <c r="G19" i="53"/>
  <c r="F22" i="53"/>
  <c r="E25" i="53"/>
  <c r="H30" i="53"/>
  <c r="G33" i="53"/>
  <c r="F36" i="53"/>
  <c r="E39" i="53"/>
  <c r="H33" i="53"/>
  <c r="G36" i="53"/>
  <c r="F39" i="53"/>
  <c r="H26" i="53"/>
  <c r="G29" i="53"/>
  <c r="F32" i="53"/>
  <c r="E35" i="53"/>
  <c r="H15" i="53"/>
  <c r="F21" i="53"/>
  <c r="H18" i="53"/>
  <c r="G21" i="53"/>
  <c r="E27" i="53"/>
  <c r="F13" i="53"/>
  <c r="E16" i="53"/>
  <c r="E14" i="53"/>
  <c r="H19" i="53"/>
  <c r="E28" i="53"/>
  <c r="F14" i="53"/>
  <c r="E17" i="53"/>
  <c r="H22" i="53"/>
  <c r="G25" i="53"/>
  <c r="F28" i="53"/>
  <c r="E31" i="53"/>
  <c r="H36" i="53"/>
  <c r="G39" i="53"/>
  <c r="H39" i="53"/>
  <c r="H31" i="53"/>
  <c r="G34" i="53"/>
  <c r="F37" i="53"/>
  <c r="E40" i="53"/>
  <c r="H34" i="53"/>
  <c r="G37" i="53"/>
  <c r="F40" i="53"/>
  <c r="F31" i="53"/>
  <c r="E34" i="53"/>
  <c r="H14" i="53"/>
  <c r="G17" i="53"/>
  <c r="F20" i="53"/>
  <c r="E23" i="53"/>
  <c r="H28" i="53"/>
  <c r="G31" i="53"/>
  <c r="F34" i="53"/>
  <c r="E37" i="53"/>
  <c r="H17" i="53"/>
  <c r="G20" i="53"/>
  <c r="F23" i="53"/>
  <c r="E26" i="53"/>
  <c r="E15" i="53"/>
  <c r="H20" i="53"/>
  <c r="F26" i="53"/>
  <c r="E29" i="53"/>
  <c r="F15" i="53"/>
  <c r="E18" i="53"/>
  <c r="G26" i="53"/>
  <c r="F29" i="53"/>
  <c r="E32" i="53"/>
  <c r="H37" i="53"/>
  <c r="G40" i="53"/>
  <c r="H40" i="53"/>
  <c r="H32" i="53"/>
  <c r="G35" i="53"/>
  <c r="F38" i="53"/>
  <c r="E41" i="53"/>
  <c r="H35" i="53"/>
  <c r="G38" i="53"/>
  <c r="F41" i="53"/>
  <c r="H38" i="53"/>
  <c r="G41" i="53"/>
  <c r="G18" i="53"/>
  <c r="E24" i="53"/>
  <c r="H29" i="53"/>
  <c r="F35" i="53"/>
  <c r="E38" i="53"/>
  <c r="E13" i="53"/>
  <c r="H21" i="53"/>
  <c r="H27" i="53"/>
  <c r="G30" i="53"/>
  <c r="F33" i="53"/>
  <c r="E36" i="53"/>
  <c r="H41" i="54" l="1"/>
  <c r="E36" i="54"/>
  <c r="F33" i="54"/>
  <c r="G30" i="54"/>
  <c r="H27" i="54"/>
  <c r="F19" i="54"/>
  <c r="G16" i="54"/>
  <c r="H13" i="54"/>
  <c r="G38" i="54"/>
  <c r="F38" i="54"/>
  <c r="G37" i="54"/>
  <c r="H34" i="54"/>
  <c r="E26" i="54"/>
  <c r="G41" i="54"/>
  <c r="H38" i="54"/>
  <c r="E33" i="54"/>
  <c r="F30" i="54"/>
  <c r="G27" i="54"/>
  <c r="E19" i="54"/>
  <c r="F16" i="54"/>
  <c r="G13" i="54"/>
  <c r="F41" i="54"/>
  <c r="H35" i="54"/>
  <c r="E30" i="54"/>
  <c r="F27" i="54"/>
  <c r="H21" i="54"/>
  <c r="E16" i="54"/>
  <c r="F13" i="54"/>
  <c r="E41" i="54"/>
  <c r="H32" i="54"/>
  <c r="H18" i="54"/>
  <c r="E13" i="54"/>
  <c r="E38" i="54"/>
  <c r="F35" i="54"/>
  <c r="G32" i="54"/>
  <c r="H29" i="54"/>
  <c r="E21" i="54"/>
  <c r="F18" i="54"/>
  <c r="H17" i="54"/>
  <c r="E37" i="54"/>
  <c r="F34" i="54"/>
  <c r="G31" i="54"/>
  <c r="H28" i="54"/>
  <c r="F20" i="54"/>
  <c r="G17" i="54"/>
  <c r="H14" i="54"/>
  <c r="H33" i="54"/>
  <c r="F21" i="54"/>
  <c r="G18" i="54"/>
  <c r="H15" i="54"/>
  <c r="G15" i="54"/>
  <c r="H37" i="54"/>
  <c r="F29" i="54"/>
  <c r="H20" i="54"/>
  <c r="E15" i="54"/>
  <c r="E40" i="54"/>
  <c r="F37" i="54"/>
  <c r="G34" i="54"/>
  <c r="H31" i="54"/>
  <c r="H39" i="54"/>
  <c r="E34" i="54"/>
  <c r="F31" i="54"/>
  <c r="G28" i="54"/>
  <c r="E20" i="54"/>
  <c r="F17" i="54"/>
  <c r="G14" i="54"/>
  <c r="G36" i="54"/>
  <c r="E28" i="54"/>
  <c r="G19" i="54"/>
  <c r="H16" i="54"/>
  <c r="G35" i="54"/>
  <c r="E27" i="54"/>
  <c r="G21" i="54"/>
  <c r="H40" i="54"/>
  <c r="E35" i="54"/>
  <c r="F32" i="54"/>
  <c r="G29" i="54"/>
  <c r="H26" i="54"/>
  <c r="F40" i="54"/>
  <c r="G39" i="54"/>
  <c r="H36" i="54"/>
  <c r="E31" i="54"/>
  <c r="F28" i="54"/>
  <c r="E17" i="54"/>
  <c r="F14" i="54"/>
  <c r="F39" i="54"/>
  <c r="H19" i="54"/>
  <c r="E14" i="54"/>
  <c r="E39" i="54"/>
  <c r="F36" i="54"/>
  <c r="G33" i="54"/>
  <c r="H30" i="54"/>
  <c r="G40" i="54"/>
  <c r="E32" i="54"/>
  <c r="G26" i="54"/>
  <c r="E18" i="54"/>
  <c r="F15" i="54"/>
  <c r="E29" i="54"/>
  <c r="F26" i="54"/>
  <c r="G20" i="54"/>
  <c r="K25" i="9" l="1"/>
  <c r="F18" i="37" s="1"/>
  <c r="E79" i="37"/>
  <c r="C75" i="37"/>
  <c r="E83" i="37" s="1"/>
  <c r="D86" i="37" s="1"/>
  <c r="C34" i="37"/>
  <c r="E40" i="37" s="1"/>
  <c r="D43" i="37" s="1"/>
  <c r="C105" i="37"/>
  <c r="E117" i="37" s="1"/>
  <c r="C106" i="37"/>
  <c r="C107" i="37"/>
  <c r="C104" i="37"/>
  <c r="C103" i="37"/>
  <c r="C102" i="37"/>
  <c r="C101" i="37"/>
  <c r="J25" i="9"/>
  <c r="F196" i="37" s="1"/>
  <c r="C192" i="37"/>
  <c r="E198" i="37" s="1"/>
  <c r="D201" i="37" s="1"/>
  <c r="D149" i="37"/>
  <c r="C149" i="37"/>
  <c r="C171" i="37"/>
  <c r="C54" i="37"/>
  <c r="C100" i="37" l="1"/>
  <c r="E112" i="37"/>
  <c r="D19" i="49"/>
  <c r="C19" i="49"/>
  <c r="B19" i="49"/>
  <c r="D20" i="9"/>
  <c r="C20" i="9"/>
  <c r="B20" i="9"/>
  <c r="G74" i="3"/>
  <c r="E18" i="37" l="1"/>
  <c r="D24" i="37" s="1"/>
  <c r="C79" i="37"/>
  <c r="C196" i="37"/>
  <c r="C18" i="37"/>
  <c r="I25" i="9"/>
  <c r="F79" i="37" s="1"/>
  <c r="B41" i="52"/>
  <c r="B40" i="52"/>
  <c r="B39" i="52"/>
  <c r="B38" i="52"/>
  <c r="B37" i="52"/>
  <c r="B36" i="52"/>
  <c r="B35" i="52"/>
  <c r="B34" i="52"/>
  <c r="B33" i="52"/>
  <c r="B32" i="52"/>
  <c r="B31" i="52"/>
  <c r="B30" i="52"/>
  <c r="B29" i="52"/>
  <c r="B28" i="52"/>
  <c r="B27" i="52"/>
  <c r="B26" i="52"/>
  <c r="H25" i="52"/>
  <c r="G25" i="52"/>
  <c r="F25" i="52"/>
  <c r="E25" i="52"/>
  <c r="B25" i="52"/>
  <c r="B24" i="52"/>
  <c r="E24" i="52" s="1"/>
  <c r="B23" i="52"/>
  <c r="H23" i="52" s="1"/>
  <c r="H22" i="52"/>
  <c r="G22" i="52"/>
  <c r="F22" i="52"/>
  <c r="E22" i="52"/>
  <c r="B22" i="52"/>
  <c r="B21" i="52"/>
  <c r="B20" i="52"/>
  <c r="B19" i="52"/>
  <c r="B18" i="52"/>
  <c r="B17" i="52"/>
  <c r="B16" i="52"/>
  <c r="B15" i="52"/>
  <c r="B14" i="52"/>
  <c r="B13" i="52"/>
  <c r="C8" i="52"/>
  <c r="H41" i="52" s="1"/>
  <c r="B42" i="51"/>
  <c r="B41" i="51"/>
  <c r="B40" i="51"/>
  <c r="B39" i="51"/>
  <c r="B38" i="51"/>
  <c r="B37" i="51"/>
  <c r="B36" i="51"/>
  <c r="B35" i="51"/>
  <c r="B34" i="51"/>
  <c r="B33" i="51"/>
  <c r="B32" i="51"/>
  <c r="B31" i="51"/>
  <c r="B30" i="51"/>
  <c r="B29" i="51"/>
  <c r="B28" i="51"/>
  <c r="B27" i="51"/>
  <c r="B26" i="51"/>
  <c r="F26" i="51" s="1"/>
  <c r="B25" i="51"/>
  <c r="H25" i="51" s="1"/>
  <c r="B24" i="51"/>
  <c r="E24" i="51" s="1"/>
  <c r="B23" i="51"/>
  <c r="E23" i="51" s="1"/>
  <c r="B22" i="51"/>
  <c r="B21" i="51"/>
  <c r="H21" i="51" s="1"/>
  <c r="B20" i="51"/>
  <c r="B19" i="51"/>
  <c r="B18" i="51"/>
  <c r="H18" i="51" s="1"/>
  <c r="B17" i="51"/>
  <c r="B16" i="51"/>
  <c r="B15" i="51"/>
  <c r="F15" i="51" s="1"/>
  <c r="B14" i="51"/>
  <c r="C9" i="51"/>
  <c r="I74" i="3"/>
  <c r="I73" i="3"/>
  <c r="B73" i="23"/>
  <c r="B71" i="23"/>
  <c r="B70" i="23"/>
  <c r="F5" i="47"/>
  <c r="F6" i="47" s="1"/>
  <c r="F3" i="47"/>
  <c r="H22" i="50"/>
  <c r="J63" i="3"/>
  <c r="M73" i="3"/>
  <c r="K73" i="3"/>
  <c r="E28" i="41"/>
  <c r="F8" i="23"/>
  <c r="D82" i="23"/>
  <c r="E72" i="23"/>
  <c r="B78" i="23"/>
  <c r="F4" i="47" l="1"/>
  <c r="B72" i="23"/>
  <c r="D86" i="23"/>
  <c r="E196" i="37"/>
  <c r="D202" i="37" s="1"/>
  <c r="H28" i="52"/>
  <c r="H36" i="52"/>
  <c r="H19" i="52"/>
  <c r="G20" i="52"/>
  <c r="E26" i="52"/>
  <c r="F36" i="52"/>
  <c r="G19" i="52"/>
  <c r="G36" i="52"/>
  <c r="H42" i="51"/>
  <c r="F30" i="51"/>
  <c r="H23" i="51"/>
  <c r="F24" i="51"/>
  <c r="E33" i="51"/>
  <c r="F16" i="51"/>
  <c r="G24" i="51"/>
  <c r="H24" i="51"/>
  <c r="E18" i="51"/>
  <c r="E26" i="51"/>
  <c r="E19" i="51"/>
  <c r="G26" i="51"/>
  <c r="H26" i="51"/>
  <c r="F37" i="52"/>
  <c r="F14" i="52"/>
  <c r="G31" i="52"/>
  <c r="E39" i="52"/>
  <c r="H30" i="52"/>
  <c r="F39" i="52"/>
  <c r="H16" i="52"/>
  <c r="G39" i="52"/>
  <c r="G17" i="52"/>
  <c r="G33" i="52"/>
  <c r="H39" i="52"/>
  <c r="H33" i="52"/>
  <c r="E40" i="52"/>
  <c r="F34" i="52"/>
  <c r="E17" i="52"/>
  <c r="E14" i="52"/>
  <c r="E28" i="52"/>
  <c r="F28" i="52"/>
  <c r="E31" i="52"/>
  <c r="G14" i="52"/>
  <c r="G28" i="52"/>
  <c r="F31" i="52"/>
  <c r="E34" i="52"/>
  <c r="H14" i="52"/>
  <c r="E23" i="52"/>
  <c r="F23" i="52"/>
  <c r="H31" i="52"/>
  <c r="G34" i="52"/>
  <c r="E15" i="52"/>
  <c r="H20" i="52"/>
  <c r="G23" i="52"/>
  <c r="F26" i="52"/>
  <c r="E29" i="52"/>
  <c r="H34" i="52"/>
  <c r="G37" i="52"/>
  <c r="F40" i="52"/>
  <c r="F15" i="52"/>
  <c r="E18" i="52"/>
  <c r="G26" i="52"/>
  <c r="F29" i="52"/>
  <c r="E32" i="52"/>
  <c r="H37" i="52"/>
  <c r="G40" i="52"/>
  <c r="F17" i="52"/>
  <c r="E20" i="52"/>
  <c r="F20" i="52"/>
  <c r="E37" i="52"/>
  <c r="H17" i="52"/>
  <c r="G15" i="52"/>
  <c r="F18" i="52"/>
  <c r="E21" i="52"/>
  <c r="H15" i="52"/>
  <c r="G18" i="52"/>
  <c r="F21" i="52"/>
  <c r="E13" i="52"/>
  <c r="H18" i="52"/>
  <c r="G21" i="52"/>
  <c r="F24" i="52"/>
  <c r="E27" i="52"/>
  <c r="H32" i="52"/>
  <c r="G35" i="52"/>
  <c r="F38" i="52"/>
  <c r="E41" i="52"/>
  <c r="F13" i="52"/>
  <c r="E16" i="52"/>
  <c r="H21" i="52"/>
  <c r="G24" i="52"/>
  <c r="F27" i="52"/>
  <c r="E30" i="52"/>
  <c r="H35" i="52"/>
  <c r="G38" i="52"/>
  <c r="F41" i="52"/>
  <c r="H26" i="52"/>
  <c r="G29" i="52"/>
  <c r="F32" i="52"/>
  <c r="E35" i="52"/>
  <c r="H40" i="52"/>
  <c r="H29" i="52"/>
  <c r="G32" i="52"/>
  <c r="F35" i="52"/>
  <c r="E38" i="52"/>
  <c r="G13" i="52"/>
  <c r="F16" i="52"/>
  <c r="E19" i="52"/>
  <c r="H24" i="52"/>
  <c r="G27" i="52"/>
  <c r="F30" i="52"/>
  <c r="E33" i="52"/>
  <c r="H38" i="52"/>
  <c r="G41" i="52"/>
  <c r="H13" i="52"/>
  <c r="G16" i="52"/>
  <c r="F19" i="52"/>
  <c r="H27" i="52"/>
  <c r="G30" i="52"/>
  <c r="F33" i="52"/>
  <c r="E36" i="52"/>
  <c r="G21" i="51"/>
  <c r="E27" i="51"/>
  <c r="G27" i="51"/>
  <c r="F27" i="51"/>
  <c r="H31" i="51"/>
  <c r="G34" i="51"/>
  <c r="F37" i="51"/>
  <c r="E40" i="51"/>
  <c r="E16" i="51"/>
  <c r="E30" i="51"/>
  <c r="G16" i="51"/>
  <c r="F19" i="51"/>
  <c r="E22" i="51"/>
  <c r="F33" i="51"/>
  <c r="G33" i="51"/>
  <c r="F36" i="51"/>
  <c r="E39" i="51"/>
  <c r="E14" i="51"/>
  <c r="H19" i="51"/>
  <c r="G22" i="51"/>
  <c r="F25" i="51"/>
  <c r="E28" i="51"/>
  <c r="F14" i="51"/>
  <c r="E17" i="51"/>
  <c r="F28" i="51"/>
  <c r="H17" i="51"/>
  <c r="G20" i="51"/>
  <c r="F23" i="51"/>
  <c r="E15" i="51"/>
  <c r="H20" i="51"/>
  <c r="G23" i="51"/>
  <c r="E29" i="51"/>
  <c r="H34" i="51"/>
  <c r="G37" i="51"/>
  <c r="F40" i="51"/>
  <c r="H37" i="51"/>
  <c r="G40" i="51"/>
  <c r="H40" i="51"/>
  <c r="F29" i="51"/>
  <c r="E32" i="51"/>
  <c r="G15" i="51"/>
  <c r="F18" i="51"/>
  <c r="E21" i="51"/>
  <c r="G29" i="51"/>
  <c r="F32" i="51"/>
  <c r="E35" i="51"/>
  <c r="H15" i="51"/>
  <c r="G18" i="51"/>
  <c r="F21" i="51"/>
  <c r="H29" i="51"/>
  <c r="G32" i="51"/>
  <c r="F35" i="51"/>
  <c r="E38" i="51"/>
  <c r="H32" i="51"/>
  <c r="G35" i="51"/>
  <c r="F38" i="51"/>
  <c r="E41" i="51"/>
  <c r="H35" i="51"/>
  <c r="G38" i="51"/>
  <c r="F41" i="51"/>
  <c r="H38" i="51"/>
  <c r="G41" i="51"/>
  <c r="H41" i="51"/>
  <c r="H33" i="51"/>
  <c r="G36" i="51"/>
  <c r="F39" i="51"/>
  <c r="E42" i="51"/>
  <c r="H36" i="51"/>
  <c r="G39" i="51"/>
  <c r="F42" i="51"/>
  <c r="H39" i="51"/>
  <c r="G42" i="51"/>
  <c r="H27" i="51"/>
  <c r="G30" i="51"/>
  <c r="E36" i="51"/>
  <c r="H16" i="51"/>
  <c r="G19" i="51"/>
  <c r="F22" i="51"/>
  <c r="E25" i="51"/>
  <c r="H30" i="51"/>
  <c r="H22" i="51"/>
  <c r="G25" i="51"/>
  <c r="E31" i="51"/>
  <c r="G14" i="51"/>
  <c r="F17" i="51"/>
  <c r="E20" i="51"/>
  <c r="G28" i="51"/>
  <c r="F31" i="51"/>
  <c r="E34" i="51"/>
  <c r="H14" i="51"/>
  <c r="G17" i="51"/>
  <c r="F20" i="51"/>
  <c r="H28" i="51"/>
  <c r="G31" i="51"/>
  <c r="F34" i="51"/>
  <c r="E37" i="51"/>
  <c r="I76" i="3"/>
  <c r="I79" i="3" s="1"/>
  <c r="E199" i="37" l="1"/>
  <c r="E200" i="37" s="1"/>
  <c r="E81" i="37"/>
  <c r="C81" i="37"/>
  <c r="G25" i="9"/>
  <c r="H25" i="9" s="1"/>
  <c r="E28" i="7"/>
  <c r="F28" i="7" s="1"/>
  <c r="E84" i="37" l="1"/>
  <c r="E85" i="37" s="1"/>
  <c r="D87" i="37"/>
  <c r="E33" i="21"/>
  <c r="G33" i="21" s="1"/>
  <c r="C64" i="23"/>
  <c r="C63" i="23"/>
  <c r="C14" i="37"/>
  <c r="E20" i="37" s="1"/>
  <c r="D23" i="37" s="1"/>
  <c r="C58" i="37"/>
  <c r="C144" i="37"/>
  <c r="E154" i="37" s="1"/>
  <c r="K31" i="9"/>
  <c r="J31" i="9"/>
  <c r="I31" i="9"/>
  <c r="B44" i="23" l="1"/>
  <c r="B39" i="23"/>
  <c r="E21" i="37"/>
  <c r="E22" i="37" s="1"/>
  <c r="G39" i="23" l="1"/>
  <c r="F39" i="23"/>
  <c r="E39" i="23"/>
  <c r="G44" i="23"/>
  <c r="E48" i="60" s="1"/>
  <c r="GI48" i="60" s="1"/>
  <c r="F44" i="23"/>
  <c r="D48" i="60" s="1"/>
  <c r="E44" i="23"/>
  <c r="C48" i="60" s="1"/>
  <c r="D41" i="60" l="1"/>
  <c r="F23" i="23"/>
  <c r="D50" i="60" s="1"/>
  <c r="C41" i="60"/>
  <c r="E23" i="23"/>
  <c r="C50" i="60" s="1"/>
  <c r="E41" i="60"/>
  <c r="G23" i="23"/>
  <c r="J7" i="49"/>
  <c r="F149" i="37"/>
  <c r="E149" i="37"/>
  <c r="S39" i="21"/>
  <c r="R39" i="21"/>
  <c r="S38" i="21"/>
  <c r="R38" i="21"/>
  <c r="S37" i="21"/>
  <c r="R37" i="21"/>
  <c r="Q37" i="21"/>
  <c r="S36" i="21"/>
  <c r="R36" i="21"/>
  <c r="S35" i="21"/>
  <c r="R35" i="21"/>
  <c r="S34" i="21"/>
  <c r="R34" i="21"/>
  <c r="R33" i="21"/>
  <c r="S33" i="21"/>
  <c r="J17" i="21"/>
  <c r="Q39" i="21" s="1"/>
  <c r="M15" i="61" l="1"/>
  <c r="E50" i="60"/>
  <c r="G25" i="49"/>
  <c r="H25" i="49" s="1"/>
  <c r="E25" i="49"/>
  <c r="F25" i="49" s="1"/>
  <c r="E4" i="57" s="1"/>
  <c r="F4" i="57" s="1"/>
  <c r="G31" i="49"/>
  <c r="H31" i="49" s="1"/>
  <c r="E31" i="49"/>
  <c r="F31" i="49" s="1"/>
  <c r="E10" i="57" s="1"/>
  <c r="F10" i="57" s="1"/>
  <c r="E26" i="49"/>
  <c r="F26" i="49" s="1"/>
  <c r="E5" i="57" s="1"/>
  <c r="F5" i="57" s="1"/>
  <c r="E27" i="49"/>
  <c r="F27" i="49" s="1"/>
  <c r="E6" i="57" s="1"/>
  <c r="F6" i="57" s="1"/>
  <c r="G26" i="49"/>
  <c r="H26" i="49" s="1"/>
  <c r="G27" i="49"/>
  <c r="H27" i="49" s="1"/>
  <c r="Q36" i="21"/>
  <c r="Q35" i="21"/>
  <c r="F148" i="37"/>
  <c r="Q38" i="21"/>
  <c r="Q34" i="21"/>
  <c r="D157" i="37"/>
  <c r="E29" i="7"/>
  <c r="I18" i="7"/>
  <c r="C55" i="7"/>
  <c r="C56" i="7"/>
  <c r="C57" i="7"/>
  <c r="C58" i="7"/>
  <c r="C59" i="7"/>
  <c r="C60" i="7"/>
  <c r="H30" i="41"/>
  <c r="H29" i="41"/>
  <c r="H28" i="41"/>
  <c r="I11" i="41"/>
  <c r="F58" i="37" l="1"/>
  <c r="E60" i="37"/>
  <c r="D63" i="37" s="1"/>
  <c r="I14" i="41"/>
  <c r="G31" i="9" l="1"/>
  <c r="C61" i="23" l="1"/>
  <c r="B21" i="23" s="1"/>
  <c r="D83" i="23" s="1"/>
  <c r="D87" i="23" s="1"/>
  <c r="E21" i="23" l="1"/>
  <c r="C24" i="60" s="1"/>
  <c r="F21" i="23"/>
  <c r="D24" i="60" s="1"/>
  <c r="G21" i="23"/>
  <c r="J15" i="61" s="1"/>
  <c r="B44" i="42"/>
  <c r="B48" i="49" s="1"/>
  <c r="B38" i="49" s="1"/>
  <c r="B43" i="42"/>
  <c r="B47" i="49" s="1"/>
  <c r="B37" i="49" s="1"/>
  <c r="B39" i="42"/>
  <c r="B52" i="21"/>
  <c r="B51" i="21"/>
  <c r="B50" i="21"/>
  <c r="E24" i="60" l="1"/>
  <c r="B43" i="49"/>
  <c r="B32" i="49" s="1"/>
  <c r="G32" i="49" s="1"/>
  <c r="H32" i="49" s="1"/>
  <c r="I37" i="49"/>
  <c r="GC39" i="60" s="1"/>
  <c r="J37" i="49"/>
  <c r="K37" i="49"/>
  <c r="G37" i="49"/>
  <c r="H37" i="49" s="1"/>
  <c r="E37" i="49"/>
  <c r="I38" i="49"/>
  <c r="GC45" i="60" s="1"/>
  <c r="J38" i="49"/>
  <c r="K38" i="49"/>
  <c r="E38" i="49"/>
  <c r="G38" i="49"/>
  <c r="H38" i="49" s="1"/>
  <c r="J18" i="21"/>
  <c r="F38" i="49" l="1"/>
  <c r="GB45" i="60" s="1"/>
  <c r="GA45" i="60"/>
  <c r="F37" i="49"/>
  <c r="GB39" i="60" s="1"/>
  <c r="GA39" i="60"/>
  <c r="E32" i="49"/>
  <c r="K32" i="49"/>
  <c r="J32" i="49"/>
  <c r="I32" i="49"/>
  <c r="GC25" i="60" s="1"/>
  <c r="B54" i="22"/>
  <c r="B53" i="22"/>
  <c r="B52" i="22"/>
  <c r="B51" i="22"/>
  <c r="B50" i="22"/>
  <c r="B49" i="22"/>
  <c r="H22" i="44"/>
  <c r="H21" i="44"/>
  <c r="H18" i="44"/>
  <c r="H17" i="44"/>
  <c r="H16" i="44"/>
  <c r="H15" i="44"/>
  <c r="H14" i="44"/>
  <c r="H13" i="44"/>
  <c r="H12" i="44"/>
  <c r="H11" i="44"/>
  <c r="H10" i="44"/>
  <c r="H9" i="44"/>
  <c r="H8" i="44"/>
  <c r="F32" i="49" l="1"/>
  <c r="GA25" i="60"/>
  <c r="C9" i="42"/>
  <c r="E9" i="42" s="1"/>
  <c r="C10" i="42"/>
  <c r="E10" i="42" s="1"/>
  <c r="J27" i="9"/>
  <c r="B42" i="42"/>
  <c r="B46" i="49" s="1"/>
  <c r="B36" i="49" s="1"/>
  <c r="B41" i="42"/>
  <c r="B45" i="49" s="1"/>
  <c r="B35" i="49" s="1"/>
  <c r="B40" i="42"/>
  <c r="B44" i="49" s="1"/>
  <c r="B34" i="49" s="1"/>
  <c r="G11" i="42"/>
  <c r="E11" i="57" l="1"/>
  <c r="F11" i="57" s="1"/>
  <c r="GB25" i="60"/>
  <c r="G25" i="42"/>
  <c r="J35" i="49"/>
  <c r="I35" i="49"/>
  <c r="GC33" i="60" s="1"/>
  <c r="K35" i="49"/>
  <c r="E35" i="49"/>
  <c r="G35" i="49"/>
  <c r="H35" i="49" s="1"/>
  <c r="K34" i="49"/>
  <c r="I34" i="49"/>
  <c r="GC32" i="60" s="1"/>
  <c r="J34" i="49"/>
  <c r="E34" i="49"/>
  <c r="GA32" i="60" s="1"/>
  <c r="G34" i="49"/>
  <c r="I36" i="49"/>
  <c r="GC34" i="60" s="1"/>
  <c r="J36" i="49"/>
  <c r="K36" i="49"/>
  <c r="G36" i="49"/>
  <c r="H36" i="49" s="1"/>
  <c r="E36" i="49"/>
  <c r="J26" i="9"/>
  <c r="G26" i="9"/>
  <c r="H26" i="9" s="1"/>
  <c r="I26" i="9"/>
  <c r="K26" i="9"/>
  <c r="I27" i="9"/>
  <c r="K27" i="9"/>
  <c r="B29" i="42"/>
  <c r="G29" i="42" s="1"/>
  <c r="EA33" i="60" s="1"/>
  <c r="B28" i="42"/>
  <c r="G28" i="42" s="1"/>
  <c r="EA32" i="60" s="1"/>
  <c r="B30" i="42"/>
  <c r="G30" i="42" s="1"/>
  <c r="EA34" i="60" s="1"/>
  <c r="G27" i="9"/>
  <c r="H27" i="9" s="1"/>
  <c r="B31" i="42"/>
  <c r="G31" i="42" s="1"/>
  <c r="EA39" i="60" s="1"/>
  <c r="B32" i="42"/>
  <c r="G32" i="42" s="1"/>
  <c r="EA45" i="60" s="1"/>
  <c r="E31" i="9"/>
  <c r="F31" i="9" s="1"/>
  <c r="H31" i="9"/>
  <c r="E26" i="9"/>
  <c r="E27" i="9"/>
  <c r="B43" i="9"/>
  <c r="G26" i="42"/>
  <c r="K14" i="61" s="1"/>
  <c r="B46" i="9"/>
  <c r="B45" i="9"/>
  <c r="B44" i="9"/>
  <c r="B34" i="9" s="1"/>
  <c r="G21" i="42"/>
  <c r="G14" i="61" s="1"/>
  <c r="G22" i="42"/>
  <c r="H14" i="61" s="1"/>
  <c r="G23" i="42"/>
  <c r="G24" i="42"/>
  <c r="G20" i="42"/>
  <c r="C11" i="42"/>
  <c r="E11" i="42"/>
  <c r="H12" i="61" l="1"/>
  <c r="FW22" i="60"/>
  <c r="F27" i="9"/>
  <c r="FV22" i="60" s="1"/>
  <c r="FU22" i="60"/>
  <c r="G12" i="61"/>
  <c r="FW21" i="60"/>
  <c r="F26" i="9"/>
  <c r="FV21" i="60" s="1"/>
  <c r="FU21" i="60"/>
  <c r="EA21" i="60"/>
  <c r="EA25" i="60"/>
  <c r="F35" i="49"/>
  <c r="GB33" i="60" s="1"/>
  <c r="GA33" i="60"/>
  <c r="EA19" i="60"/>
  <c r="GI19" i="60" s="1"/>
  <c r="EA22" i="60"/>
  <c r="F36" i="49"/>
  <c r="GB34" i="60" s="1"/>
  <c r="GA34" i="60"/>
  <c r="EA24" i="60"/>
  <c r="EA20" i="60"/>
  <c r="EA23" i="60"/>
  <c r="GI23" i="60" s="1"/>
  <c r="G27" i="42"/>
  <c r="F151" i="37"/>
  <c r="E25" i="42"/>
  <c r="E24" i="42"/>
  <c r="DY23" i="60" s="1"/>
  <c r="K33" i="49"/>
  <c r="F34" i="49"/>
  <c r="E33" i="49"/>
  <c r="GA50" i="60" s="1"/>
  <c r="H34" i="49"/>
  <c r="G33" i="49"/>
  <c r="H33" i="49" s="1"/>
  <c r="J33" i="49"/>
  <c r="I33" i="49"/>
  <c r="GC50" i="60" s="1"/>
  <c r="J32" i="9"/>
  <c r="I32" i="9"/>
  <c r="K12" i="61" s="1"/>
  <c r="K17" i="61" s="1"/>
  <c r="G32" i="9"/>
  <c r="H32" i="9" s="1"/>
  <c r="K34" i="9"/>
  <c r="I34" i="9"/>
  <c r="FW32" i="60" s="1"/>
  <c r="J34" i="9"/>
  <c r="G34" i="9"/>
  <c r="K32" i="9"/>
  <c r="E34" i="9"/>
  <c r="FU32" i="60" s="1"/>
  <c r="B48" i="9"/>
  <c r="B38" i="9" s="1"/>
  <c r="B47" i="9"/>
  <c r="B37" i="9" s="1"/>
  <c r="B35" i="9"/>
  <c r="B36" i="9"/>
  <c r="E32" i="9"/>
  <c r="FU25" i="60" s="1"/>
  <c r="E23" i="42"/>
  <c r="DY19" i="60" s="1"/>
  <c r="E28" i="42"/>
  <c r="DY32" i="60" s="1"/>
  <c r="E22" i="42"/>
  <c r="DY22" i="60" s="1"/>
  <c r="E20" i="42"/>
  <c r="DY20" i="60" s="1"/>
  <c r="E21" i="42"/>
  <c r="DY21" i="60" s="1"/>
  <c r="E29" i="42"/>
  <c r="DY33" i="60" s="1"/>
  <c r="E32" i="42"/>
  <c r="E31" i="42"/>
  <c r="DY39" i="60" s="1"/>
  <c r="E30" i="42"/>
  <c r="DY34" i="60" s="1"/>
  <c r="E26" i="42"/>
  <c r="DY25" i="60" s="1"/>
  <c r="EA50" i="60" l="1"/>
  <c r="M14" i="61"/>
  <c r="FW25" i="60"/>
  <c r="GI25" i="60" s="1"/>
  <c r="F33" i="49"/>
  <c r="GB50" i="60" s="1"/>
  <c r="GB32" i="60"/>
  <c r="F25" i="42"/>
  <c r="DZ24" i="60" s="1"/>
  <c r="DY24" i="60"/>
  <c r="F32" i="42"/>
  <c r="DZ45" i="60" s="1"/>
  <c r="DY45" i="60"/>
  <c r="E27" i="42"/>
  <c r="DY50" i="60" s="1"/>
  <c r="D196" i="37"/>
  <c r="D79" i="37"/>
  <c r="D81" i="37" s="1"/>
  <c r="D18" i="37"/>
  <c r="I37" i="9"/>
  <c r="FW39" i="60" s="1"/>
  <c r="J37" i="9"/>
  <c r="G37" i="9"/>
  <c r="H37" i="9" s="1"/>
  <c r="J38" i="9"/>
  <c r="I38" i="9"/>
  <c r="FW45" i="60" s="1"/>
  <c r="G38" i="9"/>
  <c r="H38" i="9" s="1"/>
  <c r="I36" i="9"/>
  <c r="FW34" i="60" s="1"/>
  <c r="J36" i="9"/>
  <c r="G36" i="9"/>
  <c r="H36" i="9" s="1"/>
  <c r="I35" i="9"/>
  <c r="FW33" i="60" s="1"/>
  <c r="J35" i="9"/>
  <c r="G35" i="9"/>
  <c r="H35" i="9" s="1"/>
  <c r="C151" i="37"/>
  <c r="E151" i="37"/>
  <c r="K37" i="9"/>
  <c r="K36" i="9"/>
  <c r="K38" i="9"/>
  <c r="K35" i="9"/>
  <c r="F23" i="42"/>
  <c r="DZ19" i="60" s="1"/>
  <c r="F21" i="42"/>
  <c r="DZ21" i="60" s="1"/>
  <c r="F30" i="42"/>
  <c r="DZ34" i="60" s="1"/>
  <c r="F31" i="42"/>
  <c r="DZ39" i="60" s="1"/>
  <c r="F24" i="42"/>
  <c r="DZ23" i="60" s="1"/>
  <c r="F29" i="42"/>
  <c r="DZ33" i="60" s="1"/>
  <c r="F20" i="42"/>
  <c r="F22" i="42"/>
  <c r="DZ22" i="60" s="1"/>
  <c r="F28" i="42"/>
  <c r="DZ32" i="60" s="1"/>
  <c r="E38" i="9"/>
  <c r="E37" i="9"/>
  <c r="E36" i="9"/>
  <c r="E35" i="9"/>
  <c r="F32" i="9"/>
  <c r="FV25" i="60" s="1"/>
  <c r="F26" i="42"/>
  <c r="DZ25" i="60" s="1"/>
  <c r="F38" i="9" l="1"/>
  <c r="FV45" i="60" s="1"/>
  <c r="FU45" i="60"/>
  <c r="D151" i="37"/>
  <c r="DZ20" i="60"/>
  <c r="F35" i="9"/>
  <c r="FV33" i="60" s="1"/>
  <c r="FU33" i="60"/>
  <c r="F36" i="9"/>
  <c r="FV34" i="60" s="1"/>
  <c r="FU34" i="60"/>
  <c r="F37" i="9"/>
  <c r="FV39" i="60" s="1"/>
  <c r="FU39" i="60"/>
  <c r="F27" i="42"/>
  <c r="DZ50" i="60" s="1"/>
  <c r="J33" i="9"/>
  <c r="I33" i="9"/>
  <c r="M12" i="61" s="1"/>
  <c r="K33" i="9"/>
  <c r="G33" i="9"/>
  <c r="H33" i="9" s="1"/>
  <c r="F34" i="9"/>
  <c r="E33" i="9"/>
  <c r="FU50" i="60" s="1"/>
  <c r="H34" i="9"/>
  <c r="F33" i="9" l="1"/>
  <c r="FV50" i="60" s="1"/>
  <c r="FV32" i="60"/>
  <c r="FW50" i="60"/>
  <c r="B27" i="40"/>
  <c r="B29" i="40" s="1"/>
  <c r="B28" i="40" l="1"/>
  <c r="J14" i="21" l="1"/>
  <c r="J16" i="21"/>
  <c r="J15" i="21"/>
  <c r="B49" i="41"/>
  <c r="B48" i="41"/>
  <c r="B47" i="41"/>
  <c r="B46" i="41"/>
  <c r="B45" i="41"/>
  <c r="B44" i="41"/>
  <c r="E30" i="41"/>
  <c r="G30" i="41" s="1"/>
  <c r="E29" i="41"/>
  <c r="G28" i="41"/>
  <c r="B51" i="40"/>
  <c r="B40" i="40" s="1"/>
  <c r="G40" i="40" s="1"/>
  <c r="EG45" i="60" s="1"/>
  <c r="GI45" i="60" s="1"/>
  <c r="B50" i="40"/>
  <c r="B39" i="40" s="1"/>
  <c r="B49" i="40"/>
  <c r="B38" i="40" s="1"/>
  <c r="B48" i="40"/>
  <c r="B37" i="40" s="1"/>
  <c r="B47" i="40"/>
  <c r="B36" i="40" s="1"/>
  <c r="B46" i="40"/>
  <c r="B34" i="40" s="1"/>
  <c r="G15" i="40"/>
  <c r="C14" i="40"/>
  <c r="E13" i="40"/>
  <c r="B58" i="7" l="1"/>
  <c r="B35" i="7" s="1"/>
  <c r="B35" i="41"/>
  <c r="H35" i="41" s="1"/>
  <c r="I16" i="41"/>
  <c r="E58" i="37"/>
  <c r="B57" i="7"/>
  <c r="B34" i="7" s="1"/>
  <c r="B34" i="41"/>
  <c r="H34" i="41" s="1"/>
  <c r="B56" i="7"/>
  <c r="B33" i="7" s="1"/>
  <c r="E33" i="7" s="1"/>
  <c r="B33" i="41"/>
  <c r="H33" i="41" s="1"/>
  <c r="B59" i="7"/>
  <c r="B36" i="7" s="1"/>
  <c r="B36" i="41"/>
  <c r="E36" i="41" s="1"/>
  <c r="B60" i="7"/>
  <c r="B37" i="7" s="1"/>
  <c r="B37" i="41"/>
  <c r="H37" i="41" s="1"/>
  <c r="B55" i="7"/>
  <c r="B31" i="7" s="1"/>
  <c r="E31" i="7" s="1"/>
  <c r="E31" i="41"/>
  <c r="G31" i="41" s="1"/>
  <c r="F30" i="41"/>
  <c r="F29" i="41"/>
  <c r="G29" i="41"/>
  <c r="G37" i="40"/>
  <c r="EG33" i="60" s="1"/>
  <c r="GI33" i="60" s="1"/>
  <c r="G36" i="40"/>
  <c r="EG32" i="60" s="1"/>
  <c r="GI32" i="60" s="1"/>
  <c r="G39" i="40"/>
  <c r="EG39" i="60" s="1"/>
  <c r="GI39" i="60" s="1"/>
  <c r="G38" i="40"/>
  <c r="EG34" i="60" s="1"/>
  <c r="GI34" i="60" s="1"/>
  <c r="G34" i="40"/>
  <c r="G28" i="40"/>
  <c r="G29" i="40"/>
  <c r="G30" i="40"/>
  <c r="G31" i="40"/>
  <c r="G32" i="40"/>
  <c r="G33" i="40"/>
  <c r="F28" i="41"/>
  <c r="D58" i="37" s="1"/>
  <c r="C15" i="40"/>
  <c r="E38" i="40" s="1"/>
  <c r="EE34" i="60" s="1"/>
  <c r="E14" i="40"/>
  <c r="E15" i="40" s="1"/>
  <c r="E28" i="22"/>
  <c r="M39" i="21"/>
  <c r="M38" i="21"/>
  <c r="N38" i="21" s="1"/>
  <c r="M37" i="21"/>
  <c r="N37" i="21" s="1"/>
  <c r="M36" i="21"/>
  <c r="N36" i="21" s="1"/>
  <c r="M35" i="21"/>
  <c r="M34" i="21"/>
  <c r="M33" i="21"/>
  <c r="O33" i="21" s="1"/>
  <c r="I39" i="21"/>
  <c r="J39" i="21" s="1"/>
  <c r="I38" i="21"/>
  <c r="J38" i="21" s="1"/>
  <c r="I37" i="21"/>
  <c r="I36" i="21"/>
  <c r="J36" i="21" s="1"/>
  <c r="I35" i="21"/>
  <c r="I34" i="21"/>
  <c r="I33" i="21"/>
  <c r="E39" i="21"/>
  <c r="E38" i="21"/>
  <c r="E37" i="21"/>
  <c r="F37" i="21" s="1"/>
  <c r="E36" i="21"/>
  <c r="F36" i="21" s="1"/>
  <c r="E35" i="21"/>
  <c r="E34" i="21"/>
  <c r="M34" i="22"/>
  <c r="N34" i="22" s="1"/>
  <c r="M33" i="22"/>
  <c r="N33" i="22" s="1"/>
  <c r="M32" i="22"/>
  <c r="N32" i="22" s="1"/>
  <c r="M31" i="22"/>
  <c r="N31" i="22" s="1"/>
  <c r="M30" i="22"/>
  <c r="M29" i="22"/>
  <c r="M28" i="22"/>
  <c r="K34" i="22"/>
  <c r="L34" i="22" s="1"/>
  <c r="K33" i="22"/>
  <c r="L33" i="22" s="1"/>
  <c r="K32" i="22"/>
  <c r="L32" i="22" s="1"/>
  <c r="K31" i="22"/>
  <c r="L31" i="22" s="1"/>
  <c r="K30" i="22"/>
  <c r="K29" i="22"/>
  <c r="K28" i="22"/>
  <c r="I34" i="22"/>
  <c r="J34" i="22" s="1"/>
  <c r="I33" i="22"/>
  <c r="J33" i="22" s="1"/>
  <c r="I32" i="22"/>
  <c r="J32" i="22" s="1"/>
  <c r="I31" i="22"/>
  <c r="J31" i="22" s="1"/>
  <c r="I30" i="22"/>
  <c r="I29" i="22"/>
  <c r="I28" i="22"/>
  <c r="G34" i="22"/>
  <c r="H34" i="22" s="1"/>
  <c r="G33" i="22"/>
  <c r="H33" i="22" s="1"/>
  <c r="G32" i="22"/>
  <c r="H32" i="22" s="1"/>
  <c r="G31" i="22"/>
  <c r="H31" i="22" s="1"/>
  <c r="G30" i="22"/>
  <c r="G29" i="22"/>
  <c r="G28" i="22"/>
  <c r="E29" i="22"/>
  <c r="E30" i="22"/>
  <c r="E31" i="22"/>
  <c r="F31" i="22" s="1"/>
  <c r="E32" i="22"/>
  <c r="F32" i="22" s="1"/>
  <c r="E33" i="22"/>
  <c r="F33" i="22" s="1"/>
  <c r="E34" i="22"/>
  <c r="F34" i="22" s="1"/>
  <c r="E177" i="37"/>
  <c r="D180" i="37" s="1"/>
  <c r="G15" i="22"/>
  <c r="G16" i="22" s="1"/>
  <c r="E35" i="41" l="1"/>
  <c r="G35" i="41" s="1"/>
  <c r="E33" i="41"/>
  <c r="G33" i="41" s="1"/>
  <c r="E34" i="41"/>
  <c r="G34" i="41" s="1"/>
  <c r="E37" i="41"/>
  <c r="G37" i="41" s="1"/>
  <c r="H31" i="41"/>
  <c r="H36" i="41"/>
  <c r="C148" i="37"/>
  <c r="H32" i="41"/>
  <c r="D64" i="37"/>
  <c r="E61" i="37"/>
  <c r="E62" i="37" s="1"/>
  <c r="E32" i="41"/>
  <c r="F36" i="41"/>
  <c r="G36" i="41"/>
  <c r="F37" i="41"/>
  <c r="E36" i="40"/>
  <c r="EE32" i="60" s="1"/>
  <c r="E34" i="40"/>
  <c r="E40" i="40"/>
  <c r="EE45" i="60" s="1"/>
  <c r="E33" i="40"/>
  <c r="F33" i="40" s="1"/>
  <c r="EG50" i="60"/>
  <c r="E39" i="40"/>
  <c r="EE39" i="60" s="1"/>
  <c r="E37" i="40"/>
  <c r="EE33" i="60" s="1"/>
  <c r="E31" i="40"/>
  <c r="F31" i="40" s="1"/>
  <c r="E30" i="40"/>
  <c r="F30" i="40" s="1"/>
  <c r="E32" i="40"/>
  <c r="F32" i="40" s="1"/>
  <c r="E29" i="40"/>
  <c r="F29" i="40" s="1"/>
  <c r="E28" i="40"/>
  <c r="F28" i="40" s="1"/>
  <c r="F33" i="21"/>
  <c r="G38" i="21"/>
  <c r="H38" i="21" s="1"/>
  <c r="K37" i="21"/>
  <c r="L37" i="21" s="1"/>
  <c r="F35" i="41"/>
  <c r="F34" i="41"/>
  <c r="F31" i="41"/>
  <c r="F33" i="41"/>
  <c r="O39" i="21"/>
  <c r="P39" i="21" s="1"/>
  <c r="G39" i="21"/>
  <c r="H39" i="21" s="1"/>
  <c r="F38" i="21"/>
  <c r="G36" i="21"/>
  <c r="H36" i="21" s="1"/>
  <c r="F39" i="21"/>
  <c r="G37" i="21"/>
  <c r="H37" i="21" s="1"/>
  <c r="K36" i="21"/>
  <c r="L36" i="21" s="1"/>
  <c r="O37" i="21"/>
  <c r="P37" i="21" s="1"/>
  <c r="N39" i="21"/>
  <c r="O36" i="21"/>
  <c r="P36" i="21" s="1"/>
  <c r="J37" i="21"/>
  <c r="O38" i="21"/>
  <c r="P38" i="21" s="1"/>
  <c r="K39" i="21"/>
  <c r="L39" i="21" s="1"/>
  <c r="K38" i="21"/>
  <c r="L38" i="21" s="1"/>
  <c r="F32" i="41" l="1"/>
  <c r="G32" i="41"/>
  <c r="E35" i="40"/>
  <c r="EE50" i="60" s="1"/>
  <c r="B42" i="36" l="1"/>
  <c r="B41" i="36"/>
  <c r="B40" i="36"/>
  <c r="B39" i="36"/>
  <c r="B38" i="36"/>
  <c r="B36" i="36"/>
  <c r="B35" i="36"/>
  <c r="B34" i="36"/>
  <c r="B33" i="36"/>
  <c r="B32" i="36"/>
  <c r="B31" i="36"/>
  <c r="B30" i="36"/>
  <c r="B29" i="36"/>
  <c r="B28" i="36"/>
  <c r="B27" i="36"/>
  <c r="B26" i="36"/>
  <c r="B25" i="36"/>
  <c r="F25" i="36" s="1"/>
  <c r="B24" i="36"/>
  <c r="H24" i="36" s="1"/>
  <c r="B23" i="36"/>
  <c r="H23" i="36" s="1"/>
  <c r="B22" i="36"/>
  <c r="E22" i="36" s="1"/>
  <c r="B107" i="23" s="1"/>
  <c r="B21" i="36"/>
  <c r="B20" i="36"/>
  <c r="B19" i="36"/>
  <c r="B18" i="36"/>
  <c r="B17" i="36"/>
  <c r="B16" i="36"/>
  <c r="B15" i="36"/>
  <c r="B14" i="36"/>
  <c r="B13" i="36"/>
  <c r="C8" i="36"/>
  <c r="F22" i="36" l="1"/>
  <c r="G22" i="36"/>
  <c r="C107" i="23" s="1"/>
  <c r="H42" i="36"/>
  <c r="H22" i="36"/>
  <c r="H25" i="36"/>
  <c r="G25" i="36"/>
  <c r="E23" i="36"/>
  <c r="B108" i="23" s="1"/>
  <c r="F23" i="36"/>
  <c r="E24" i="36"/>
  <c r="B109" i="23" s="1"/>
  <c r="E16" i="36"/>
  <c r="B101" i="23" s="1"/>
  <c r="G19" i="36"/>
  <c r="E21" i="36"/>
  <c r="B106" i="23" s="1"/>
  <c r="F24" i="36"/>
  <c r="G27" i="36"/>
  <c r="C112" i="23" s="1"/>
  <c r="E29" i="36"/>
  <c r="B114" i="23" s="1"/>
  <c r="H30" i="36"/>
  <c r="F32" i="36"/>
  <c r="G35" i="36"/>
  <c r="C120" i="23" s="1"/>
  <c r="E38" i="36"/>
  <c r="B123" i="23" s="1"/>
  <c r="H39" i="36"/>
  <c r="F41" i="36"/>
  <c r="F13" i="36"/>
  <c r="G16" i="36"/>
  <c r="E18" i="36"/>
  <c r="B103" i="23" s="1"/>
  <c r="H19" i="36"/>
  <c r="F21" i="36"/>
  <c r="G24" i="36"/>
  <c r="C109" i="23" s="1"/>
  <c r="E26" i="36"/>
  <c r="B111" i="23" s="1"/>
  <c r="H27" i="36"/>
  <c r="F29" i="36"/>
  <c r="G32" i="36"/>
  <c r="C117" i="23" s="1"/>
  <c r="E34" i="36"/>
  <c r="B119" i="23" s="1"/>
  <c r="H35" i="36"/>
  <c r="F38" i="36"/>
  <c r="G41" i="36"/>
  <c r="C126" i="23" s="1"/>
  <c r="F14" i="36"/>
  <c r="G14" i="36"/>
  <c r="F19" i="36"/>
  <c r="F26" i="36"/>
  <c r="F15" i="36"/>
  <c r="H17" i="36"/>
  <c r="E13" i="36"/>
  <c r="B98" i="23" s="1"/>
  <c r="C38" i="37" s="1"/>
  <c r="H14" i="36"/>
  <c r="F16" i="36"/>
  <c r="G13" i="36"/>
  <c r="E15" i="36"/>
  <c r="B100" i="23" s="1"/>
  <c r="H16" i="36"/>
  <c r="F18" i="36"/>
  <c r="G21" i="36"/>
  <c r="G38" i="36"/>
  <c r="C123" i="23" s="1"/>
  <c r="E40" i="36"/>
  <c r="B125" i="23" s="1"/>
  <c r="H41" i="36"/>
  <c r="H13" i="36"/>
  <c r="G18" i="36"/>
  <c r="G34" i="36"/>
  <c r="C119" i="23" s="1"/>
  <c r="E36" i="36"/>
  <c r="B121" i="23" s="1"/>
  <c r="H38" i="36"/>
  <c r="F40" i="36"/>
  <c r="G15" i="36"/>
  <c r="E17" i="36"/>
  <c r="B102" i="23" s="1"/>
  <c r="H18" i="36"/>
  <c r="F20" i="36"/>
  <c r="G23" i="36"/>
  <c r="C108" i="23" s="1"/>
  <c r="E25" i="36"/>
  <c r="B110" i="23" s="1"/>
  <c r="H26" i="36"/>
  <c r="F28" i="36"/>
  <c r="G31" i="36"/>
  <c r="C116" i="23" s="1"/>
  <c r="E33" i="36"/>
  <c r="B118" i="23" s="1"/>
  <c r="H34" i="36"/>
  <c r="F36" i="36"/>
  <c r="G40" i="36"/>
  <c r="C125" i="23" s="1"/>
  <c r="E42" i="36"/>
  <c r="G29" i="36"/>
  <c r="C114" i="23" s="1"/>
  <c r="E31" i="36"/>
  <c r="B116" i="23" s="1"/>
  <c r="H32" i="36"/>
  <c r="F34" i="36"/>
  <c r="E20" i="36"/>
  <c r="B105" i="23" s="1"/>
  <c r="H21" i="36"/>
  <c r="G26" i="36"/>
  <c r="C111" i="23" s="1"/>
  <c r="E28" i="36"/>
  <c r="B113" i="23" s="1"/>
  <c r="H29" i="36"/>
  <c r="F31" i="36"/>
  <c r="E14" i="36"/>
  <c r="B99" i="23" s="1"/>
  <c r="H15" i="36"/>
  <c r="F17" i="36"/>
  <c r="G20" i="36"/>
  <c r="G28" i="36"/>
  <c r="C113" i="23" s="1"/>
  <c r="E30" i="36"/>
  <c r="B115" i="23" s="1"/>
  <c r="H31" i="36"/>
  <c r="F33" i="36"/>
  <c r="G36" i="36"/>
  <c r="C121" i="23" s="1"/>
  <c r="E39" i="36"/>
  <c r="B124" i="23" s="1"/>
  <c r="H40" i="36"/>
  <c r="F42" i="36"/>
  <c r="G17" i="36"/>
  <c r="E19" i="36"/>
  <c r="B104" i="23" s="1"/>
  <c r="H20" i="36"/>
  <c r="E27" i="36"/>
  <c r="B112" i="23" s="1"/>
  <c r="H28" i="36"/>
  <c r="F30" i="36"/>
  <c r="G33" i="36"/>
  <c r="C118" i="23" s="1"/>
  <c r="E35" i="36"/>
  <c r="B120" i="23" s="1"/>
  <c r="H36" i="36"/>
  <c r="F39" i="36"/>
  <c r="G42" i="36"/>
  <c r="F27" i="36"/>
  <c r="G30" i="36"/>
  <c r="C115" i="23" s="1"/>
  <c r="E32" i="36"/>
  <c r="B117" i="23" s="1"/>
  <c r="H33" i="36"/>
  <c r="F35" i="36"/>
  <c r="G39" i="36"/>
  <c r="C124" i="23" s="1"/>
  <c r="E41" i="36"/>
  <c r="B126" i="23" s="1"/>
  <c r="D44" i="37" l="1"/>
  <c r="E41" i="37"/>
  <c r="E42" i="37" s="1"/>
  <c r="C99" i="23"/>
  <c r="C106" i="23"/>
  <c r="C110" i="23"/>
  <c r="C103" i="23"/>
  <c r="C101" i="23"/>
  <c r="C102" i="23"/>
  <c r="C98" i="23"/>
  <c r="D38" i="37" s="1"/>
  <c r="C100" i="23"/>
  <c r="C105" i="23"/>
  <c r="B41" i="35"/>
  <c r="B40" i="35"/>
  <c r="B39" i="35"/>
  <c r="B38" i="35"/>
  <c r="B37" i="35"/>
  <c r="B36" i="35"/>
  <c r="B35" i="35"/>
  <c r="B34" i="35"/>
  <c r="B33" i="35"/>
  <c r="B32" i="35"/>
  <c r="B31" i="35"/>
  <c r="B30" i="35"/>
  <c r="B29" i="35"/>
  <c r="B28" i="35"/>
  <c r="B27" i="35"/>
  <c r="B26" i="35"/>
  <c r="B25" i="35"/>
  <c r="B24" i="35"/>
  <c r="B23" i="35"/>
  <c r="B22" i="35"/>
  <c r="B21" i="35"/>
  <c r="B20" i="35"/>
  <c r="B19" i="35"/>
  <c r="B18" i="35"/>
  <c r="B17" i="35"/>
  <c r="B16" i="35"/>
  <c r="B15" i="35"/>
  <c r="B14" i="35"/>
  <c r="B13" i="35"/>
  <c r="E25" i="35" l="1"/>
  <c r="F25" i="35"/>
  <c r="E22" i="35"/>
  <c r="F23" i="35"/>
  <c r="F22" i="35"/>
  <c r="H24" i="35"/>
  <c r="E23" i="35"/>
  <c r="H25" i="35"/>
  <c r="E24" i="35"/>
  <c r="G22" i="35"/>
  <c r="G24" i="35"/>
  <c r="F24" i="35"/>
  <c r="H22" i="35"/>
  <c r="G25" i="35"/>
  <c r="C8" i="35"/>
  <c r="E26" i="35" s="1"/>
  <c r="G23" i="35"/>
  <c r="H23" i="35"/>
  <c r="F39" i="35" l="1"/>
  <c r="H37" i="35"/>
  <c r="E36" i="35"/>
  <c r="G34" i="35"/>
  <c r="F31" i="35"/>
  <c r="H29" i="35"/>
  <c r="E28" i="35"/>
  <c r="G26" i="35"/>
  <c r="H21" i="35"/>
  <c r="E20" i="35"/>
  <c r="G18" i="35"/>
  <c r="F15" i="35"/>
  <c r="H13" i="35"/>
  <c r="F16" i="35"/>
  <c r="E16" i="35"/>
  <c r="E27" i="35"/>
  <c r="E19" i="35"/>
  <c r="H40" i="35"/>
  <c r="E39" i="35"/>
  <c r="G37" i="35"/>
  <c r="F34" i="35"/>
  <c r="H32" i="35"/>
  <c r="E31" i="35"/>
  <c r="G29" i="35"/>
  <c r="F26" i="35"/>
  <c r="G21" i="35"/>
  <c r="F18" i="35"/>
  <c r="H16" i="35"/>
  <c r="E15" i="35"/>
  <c r="G13" i="35"/>
  <c r="H14" i="35"/>
  <c r="G38" i="35"/>
  <c r="H33" i="35"/>
  <c r="G30" i="35"/>
  <c r="F38" i="35"/>
  <c r="G40" i="35"/>
  <c r="F37" i="35"/>
  <c r="H35" i="35"/>
  <c r="E34" i="35"/>
  <c r="G32" i="35"/>
  <c r="F29" i="35"/>
  <c r="H27" i="35"/>
  <c r="F21" i="35"/>
  <c r="H19" i="35"/>
  <c r="E18" i="35"/>
  <c r="G16" i="35"/>
  <c r="F13" i="35"/>
  <c r="H41" i="35"/>
  <c r="E40" i="35"/>
  <c r="H28" i="35"/>
  <c r="F40" i="35"/>
  <c r="H38" i="35"/>
  <c r="E37" i="35"/>
  <c r="G35" i="35"/>
  <c r="F32" i="35"/>
  <c r="H30" i="35"/>
  <c r="E29" i="35"/>
  <c r="G27" i="35"/>
  <c r="E21" i="35"/>
  <c r="G19" i="35"/>
  <c r="E13" i="35"/>
  <c r="F35" i="35"/>
  <c r="E32" i="35"/>
  <c r="G14" i="35"/>
  <c r="H36" i="35"/>
  <c r="G33" i="35"/>
  <c r="F30" i="35"/>
  <c r="H20" i="35"/>
  <c r="F14" i="35"/>
  <c r="F27" i="35"/>
  <c r="F19" i="35"/>
  <c r="H17" i="35"/>
  <c r="G41" i="35"/>
  <c r="E35" i="35"/>
  <c r="G17" i="35"/>
  <c r="H39" i="35"/>
  <c r="H31" i="35"/>
  <c r="H15" i="35"/>
  <c r="G15" i="35"/>
  <c r="E14" i="35"/>
  <c r="G36" i="35"/>
  <c r="G28" i="35"/>
  <c r="G20" i="35"/>
  <c r="F36" i="35"/>
  <c r="F20" i="35"/>
  <c r="G39" i="35"/>
  <c r="G31" i="35"/>
  <c r="H34" i="35"/>
  <c r="H26" i="35"/>
  <c r="H18" i="35"/>
  <c r="E38" i="35"/>
  <c r="E30" i="35"/>
  <c r="F28" i="35"/>
  <c r="F41" i="35"/>
  <c r="F33" i="35"/>
  <c r="F17" i="35"/>
  <c r="E41" i="35"/>
  <c r="E17" i="35"/>
  <c r="E33" i="35"/>
  <c r="C150" i="37" l="1"/>
  <c r="F152" i="37"/>
  <c r="E150" i="37"/>
  <c r="C152" i="37"/>
  <c r="D150" i="37"/>
  <c r="C151" i="34"/>
  <c r="C152" i="34" s="1"/>
  <c r="B185" i="34"/>
  <c r="B184" i="34"/>
  <c r="B183" i="34"/>
  <c r="B182" i="34"/>
  <c r="B181" i="34"/>
  <c r="B180" i="34"/>
  <c r="B179" i="34"/>
  <c r="B178" i="34"/>
  <c r="B177" i="34"/>
  <c r="B176" i="34"/>
  <c r="B175" i="34"/>
  <c r="B174" i="34"/>
  <c r="B173" i="34"/>
  <c r="B172" i="34"/>
  <c r="B171" i="34"/>
  <c r="B170" i="34"/>
  <c r="B169" i="34"/>
  <c r="B168" i="34"/>
  <c r="B167" i="34"/>
  <c r="B166" i="34"/>
  <c r="B165" i="34"/>
  <c r="B164" i="34"/>
  <c r="B163" i="34"/>
  <c r="B162" i="34"/>
  <c r="B161" i="34"/>
  <c r="B160" i="34"/>
  <c r="B159" i="34"/>
  <c r="B158" i="34"/>
  <c r="B157" i="34"/>
  <c r="C115" i="34"/>
  <c r="C116" i="34" s="1"/>
  <c r="B149" i="34"/>
  <c r="B148" i="34"/>
  <c r="B147" i="34"/>
  <c r="B146" i="34"/>
  <c r="B145" i="34"/>
  <c r="B144" i="34"/>
  <c r="B143" i="34"/>
  <c r="B142" i="34"/>
  <c r="B141" i="34"/>
  <c r="B140" i="34"/>
  <c r="B139" i="34"/>
  <c r="B138" i="34"/>
  <c r="B137" i="34"/>
  <c r="B136" i="34"/>
  <c r="B135" i="34"/>
  <c r="B134" i="34"/>
  <c r="B133" i="34"/>
  <c r="B132" i="34"/>
  <c r="B131" i="34"/>
  <c r="B130" i="34"/>
  <c r="B129" i="34"/>
  <c r="B128" i="34"/>
  <c r="B127" i="34"/>
  <c r="B126" i="34"/>
  <c r="B125" i="34"/>
  <c r="B124" i="34"/>
  <c r="B123" i="34"/>
  <c r="B122" i="34"/>
  <c r="B121" i="34"/>
  <c r="C79" i="34"/>
  <c r="C80" i="34" s="1"/>
  <c r="B113" i="34"/>
  <c r="B112" i="34"/>
  <c r="B111" i="34"/>
  <c r="B110" i="34"/>
  <c r="B109" i="34"/>
  <c r="B108" i="34"/>
  <c r="B107" i="34"/>
  <c r="B106" i="34"/>
  <c r="B105" i="34"/>
  <c r="B104" i="34"/>
  <c r="B103" i="34"/>
  <c r="B102" i="34"/>
  <c r="B101" i="34"/>
  <c r="B100" i="34"/>
  <c r="B99" i="34"/>
  <c r="B98" i="34"/>
  <c r="B97" i="34"/>
  <c r="B96" i="34"/>
  <c r="B95" i="34"/>
  <c r="B94" i="34"/>
  <c r="B93" i="34"/>
  <c r="B92" i="34"/>
  <c r="B91" i="34"/>
  <c r="B90" i="34"/>
  <c r="B89" i="34"/>
  <c r="B88" i="34"/>
  <c r="B87" i="34"/>
  <c r="B86" i="34"/>
  <c r="B85" i="34"/>
  <c r="C43" i="34"/>
  <c r="C44" i="34" s="1"/>
  <c r="B77" i="34"/>
  <c r="B76" i="34"/>
  <c r="B75" i="34"/>
  <c r="B74" i="34"/>
  <c r="B73" i="34"/>
  <c r="B72" i="34"/>
  <c r="B71" i="34"/>
  <c r="B70" i="34"/>
  <c r="B69" i="34"/>
  <c r="B68" i="34"/>
  <c r="B67" i="34"/>
  <c r="B66" i="34"/>
  <c r="B65" i="34"/>
  <c r="B64" i="34"/>
  <c r="B63" i="34"/>
  <c r="B62" i="34"/>
  <c r="B61" i="34"/>
  <c r="B60" i="34"/>
  <c r="B59" i="34"/>
  <c r="B58" i="34"/>
  <c r="B57" i="34"/>
  <c r="B56" i="34"/>
  <c r="B55" i="34"/>
  <c r="B54" i="34"/>
  <c r="B53" i="34"/>
  <c r="B52" i="34"/>
  <c r="B51" i="34"/>
  <c r="B50" i="34"/>
  <c r="B49" i="34"/>
  <c r="C7" i="34"/>
  <c r="C8" i="34" s="1"/>
  <c r="B41" i="34"/>
  <c r="B40" i="34"/>
  <c r="B39" i="34"/>
  <c r="B38" i="34"/>
  <c r="B37" i="34"/>
  <c r="B36" i="34"/>
  <c r="B35" i="34"/>
  <c r="B34" i="34"/>
  <c r="B33" i="34"/>
  <c r="B32" i="34"/>
  <c r="B31" i="34"/>
  <c r="B30" i="34"/>
  <c r="B29" i="34"/>
  <c r="B28" i="34"/>
  <c r="B27" i="34"/>
  <c r="B26" i="34"/>
  <c r="B25" i="34"/>
  <c r="B24" i="34"/>
  <c r="B23" i="34"/>
  <c r="B22" i="34"/>
  <c r="B21" i="34"/>
  <c r="B20" i="34"/>
  <c r="B19" i="34"/>
  <c r="B18" i="34"/>
  <c r="B17" i="34"/>
  <c r="B16" i="34"/>
  <c r="B15" i="34"/>
  <c r="B14" i="34"/>
  <c r="B13" i="34"/>
  <c r="CH104" i="32"/>
  <c r="CG104" i="32"/>
  <c r="CG69" i="32" s="1"/>
  <c r="CG18" i="32" s="1"/>
  <c r="CF104" i="32"/>
  <c r="CE104" i="32"/>
  <c r="CD104" i="32"/>
  <c r="CC104" i="32"/>
  <c r="CC69" i="32" s="1"/>
  <c r="CC18" i="32" s="1"/>
  <c r="CB104" i="32"/>
  <c r="CA104" i="32"/>
  <c r="CA69" i="32" s="1"/>
  <c r="CA18" i="32" s="1"/>
  <c r="BZ104" i="32"/>
  <c r="BY104" i="32"/>
  <c r="BY69" i="32" s="1"/>
  <c r="BY18" i="32" s="1"/>
  <c r="BX104" i="32"/>
  <c r="BW104" i="32"/>
  <c r="BV104" i="32"/>
  <c r="BU104" i="32"/>
  <c r="BU69" i="32" s="1"/>
  <c r="BU18" i="32" s="1"/>
  <c r="BS104" i="32"/>
  <c r="BS69" i="32" s="1"/>
  <c r="BS18" i="32" s="1"/>
  <c r="BR104" i="32"/>
  <c r="BQ104" i="32"/>
  <c r="BQ69" i="32" s="1"/>
  <c r="BQ18" i="32" s="1"/>
  <c r="BP104" i="32"/>
  <c r="BO104" i="32"/>
  <c r="BN104" i="32"/>
  <c r="BM104" i="32"/>
  <c r="BM69" i="32" s="1"/>
  <c r="BM18" i="32" s="1"/>
  <c r="BL104" i="32"/>
  <c r="BK104" i="32"/>
  <c r="BK69" i="32" s="1"/>
  <c r="BK18" i="32" s="1"/>
  <c r="BJ104" i="32"/>
  <c r="BI104" i="32"/>
  <c r="BI69" i="32" s="1"/>
  <c r="BI18" i="32" s="1"/>
  <c r="BH104" i="32"/>
  <c r="BG104" i="32"/>
  <c r="BF104" i="32"/>
  <c r="BE104" i="32"/>
  <c r="BE69" i="32" s="1"/>
  <c r="BE18" i="32" s="1"/>
  <c r="BC104" i="32"/>
  <c r="BB104" i="32"/>
  <c r="AX104" i="32"/>
  <c r="AW104" i="32"/>
  <c r="AV104" i="32"/>
  <c r="AV69" i="32" s="1"/>
  <c r="AV18" i="32" s="1"/>
  <c r="AU104" i="32"/>
  <c r="AP104" i="32"/>
  <c r="AO104" i="32"/>
  <c r="AN104" i="32"/>
  <c r="AM104" i="32"/>
  <c r="AM69" i="32" s="1"/>
  <c r="AM18" i="32" s="1"/>
  <c r="AL104" i="32"/>
  <c r="AK104" i="32"/>
  <c r="AK69" i="32" s="1"/>
  <c r="AJ104" i="32"/>
  <c r="AI104" i="32"/>
  <c r="AH104" i="32"/>
  <c r="AG104" i="32"/>
  <c r="AF104" i="32"/>
  <c r="AE104" i="32"/>
  <c r="AE69" i="32" s="1"/>
  <c r="AE18" i="32" s="1"/>
  <c r="AD104" i="32"/>
  <c r="AC104" i="32"/>
  <c r="AC69" i="32" s="1"/>
  <c r="AB104" i="32"/>
  <c r="AA104" i="32"/>
  <c r="Z104" i="32"/>
  <c r="Y104" i="32"/>
  <c r="X104" i="32"/>
  <c r="W104" i="32"/>
  <c r="W69" i="32" s="1"/>
  <c r="W18" i="32" s="1"/>
  <c r="V104" i="32"/>
  <c r="U104" i="32"/>
  <c r="U69" i="32" s="1"/>
  <c r="T104" i="32"/>
  <c r="S104" i="32"/>
  <c r="R104" i="32"/>
  <c r="Q104" i="32"/>
  <c r="P104" i="32"/>
  <c r="O104" i="32"/>
  <c r="O69" i="32" s="1"/>
  <c r="O18" i="32" s="1"/>
  <c r="N104" i="32"/>
  <c r="M104" i="32"/>
  <c r="L104" i="32"/>
  <c r="K104" i="32"/>
  <c r="J104" i="32"/>
  <c r="I104" i="32"/>
  <c r="H104" i="32"/>
  <c r="G104" i="32"/>
  <c r="G69" i="32" s="1"/>
  <c r="G18" i="32" s="1"/>
  <c r="F104" i="32"/>
  <c r="E104" i="32"/>
  <c r="D104" i="32"/>
  <c r="C104" i="32"/>
  <c r="B104" i="32"/>
  <c r="BT101" i="32"/>
  <c r="BT95" i="32"/>
  <c r="BT104" i="32" s="1"/>
  <c r="BT69" i="32" s="1"/>
  <c r="BT18" i="32" s="1"/>
  <c r="CH69" i="32"/>
  <c r="CH18" i="32" s="1"/>
  <c r="CF69" i="32"/>
  <c r="CF18" i="32" s="1"/>
  <c r="CE69" i="32"/>
  <c r="CD69" i="32"/>
  <c r="CB69" i="32"/>
  <c r="BZ69" i="32"/>
  <c r="BZ18" i="32" s="1"/>
  <c r="BX69" i="32"/>
  <c r="BX18" i="32" s="1"/>
  <c r="BW69" i="32"/>
  <c r="BV69" i="32"/>
  <c r="BR69" i="32"/>
  <c r="BR18" i="32" s="1"/>
  <c r="BP69" i="32"/>
  <c r="BP18" i="32" s="1"/>
  <c r="BO69" i="32"/>
  <c r="BN69" i="32"/>
  <c r="BL69" i="32"/>
  <c r="BJ69" i="32"/>
  <c r="BJ18" i="32" s="1"/>
  <c r="BH69" i="32"/>
  <c r="BH18" i="32" s="1"/>
  <c r="BG69" i="32"/>
  <c r="BF69" i="32"/>
  <c r="BD69" i="32"/>
  <c r="BC69" i="32"/>
  <c r="BB69" i="32"/>
  <c r="BB18" i="32" s="1"/>
  <c r="BA69" i="32"/>
  <c r="AX69" i="32"/>
  <c r="AX18" i="32" s="1"/>
  <c r="AW69" i="32"/>
  <c r="AU69" i="32"/>
  <c r="AT69" i="32"/>
  <c r="AS69" i="32"/>
  <c r="AR69" i="32"/>
  <c r="AR18" i="32" s="1"/>
  <c r="AQ69" i="32"/>
  <c r="AP69" i="32"/>
  <c r="AO69" i="32"/>
  <c r="AN69" i="32"/>
  <c r="AL69" i="32"/>
  <c r="AJ69" i="32"/>
  <c r="AI69" i="32"/>
  <c r="AH69" i="32"/>
  <c r="AG69" i="32"/>
  <c r="AF69" i="32"/>
  <c r="AD69" i="32"/>
  <c r="AB69" i="32"/>
  <c r="AA69" i="32"/>
  <c r="Z69" i="32"/>
  <c r="Y69" i="32"/>
  <c r="X69" i="32"/>
  <c r="V69" i="32"/>
  <c r="T69" i="32"/>
  <c r="S69" i="32"/>
  <c r="R69" i="32"/>
  <c r="Q69" i="32"/>
  <c r="P69" i="32"/>
  <c r="N69" i="32"/>
  <c r="M69" i="32"/>
  <c r="L69" i="32"/>
  <c r="K69" i="32"/>
  <c r="J69" i="32"/>
  <c r="I69" i="32"/>
  <c r="H69" i="32"/>
  <c r="F69" i="32"/>
  <c r="E69" i="32"/>
  <c r="D69" i="32"/>
  <c r="C69" i="32"/>
  <c r="B69" i="32"/>
  <c r="AP65" i="32"/>
  <c r="AO65" i="32"/>
  <c r="AN65" i="32"/>
  <c r="AL65" i="32"/>
  <c r="AK65" i="32"/>
  <c r="AJ65" i="32"/>
  <c r="AI65" i="32"/>
  <c r="AH65" i="32"/>
  <c r="AG65" i="32"/>
  <c r="AF65" i="32"/>
  <c r="AE65" i="32"/>
  <c r="AD65" i="32"/>
  <c r="AC65" i="32"/>
  <c r="AB65" i="32"/>
  <c r="AA65" i="32"/>
  <c r="Z65" i="32"/>
  <c r="Y65" i="32"/>
  <c r="X65" i="32"/>
  <c r="W65" i="32"/>
  <c r="V65" i="32"/>
  <c r="U65" i="32"/>
  <c r="T65" i="32"/>
  <c r="S65" i="32"/>
  <c r="R65" i="32"/>
  <c r="Q65" i="32"/>
  <c r="P65" i="32"/>
  <c r="O65" i="32"/>
  <c r="N65" i="32"/>
  <c r="M65" i="32"/>
  <c r="L65" i="32"/>
  <c r="K65" i="32"/>
  <c r="J65" i="32"/>
  <c r="I65" i="32"/>
  <c r="H65" i="32"/>
  <c r="G65" i="32"/>
  <c r="F65" i="32"/>
  <c r="E65" i="32"/>
  <c r="D65" i="32"/>
  <c r="C65" i="32"/>
  <c r="B65" i="32"/>
  <c r="AP61" i="32"/>
  <c r="AO61" i="32"/>
  <c r="AN61" i="32"/>
  <c r="AL61" i="32"/>
  <c r="AK61" i="32"/>
  <c r="AJ61" i="32"/>
  <c r="AI61" i="32"/>
  <c r="AH61" i="32"/>
  <c r="AG61" i="32"/>
  <c r="AF61" i="32"/>
  <c r="AE61" i="32"/>
  <c r="AD61" i="32"/>
  <c r="AC61" i="32"/>
  <c r="AB61" i="32"/>
  <c r="AA61" i="32"/>
  <c r="Z61" i="32"/>
  <c r="Y61" i="32"/>
  <c r="X61" i="32"/>
  <c r="W61" i="32"/>
  <c r="V61" i="32"/>
  <c r="U61" i="32"/>
  <c r="T61" i="32"/>
  <c r="S61" i="32"/>
  <c r="R61" i="32"/>
  <c r="Q61" i="32"/>
  <c r="P61" i="32"/>
  <c r="O61" i="32"/>
  <c r="N61" i="32"/>
  <c r="M61" i="32"/>
  <c r="L61" i="32"/>
  <c r="K61" i="32"/>
  <c r="J61" i="32"/>
  <c r="I61" i="32"/>
  <c r="H61" i="32"/>
  <c r="G61" i="32"/>
  <c r="F61" i="32"/>
  <c r="E61" i="32"/>
  <c r="D61" i="32"/>
  <c r="C61" i="32"/>
  <c r="B61" i="32"/>
  <c r="AP60" i="32"/>
  <c r="AO60" i="32"/>
  <c r="AN60" i="32"/>
  <c r="AL60" i="32"/>
  <c r="AK60" i="32"/>
  <c r="AJ60" i="32"/>
  <c r="AI60" i="32"/>
  <c r="AH60" i="32"/>
  <c r="AG60" i="32"/>
  <c r="AF60" i="32"/>
  <c r="AE60" i="32"/>
  <c r="AD60" i="32"/>
  <c r="AC60" i="32"/>
  <c r="AB60" i="32"/>
  <c r="AA60" i="32"/>
  <c r="Z60" i="32"/>
  <c r="Y60" i="32"/>
  <c r="X60" i="32"/>
  <c r="W60" i="32"/>
  <c r="V60" i="32"/>
  <c r="U60" i="32"/>
  <c r="T60" i="32"/>
  <c r="S60" i="32"/>
  <c r="R60" i="32"/>
  <c r="Q60" i="32"/>
  <c r="P60" i="32"/>
  <c r="O60" i="32"/>
  <c r="N60" i="32"/>
  <c r="M60" i="32"/>
  <c r="L60" i="32"/>
  <c r="K60" i="32"/>
  <c r="J60" i="32"/>
  <c r="I60" i="32"/>
  <c r="H60" i="32"/>
  <c r="G60" i="32"/>
  <c r="F60" i="32"/>
  <c r="E60" i="32"/>
  <c r="D60" i="32"/>
  <c r="C60" i="32"/>
  <c r="B60" i="32"/>
  <c r="AP49" i="32"/>
  <c r="AP18" i="32" s="1"/>
  <c r="AO49" i="32"/>
  <c r="AN49" i="32"/>
  <c r="AM49" i="32"/>
  <c r="AL49" i="32"/>
  <c r="AK49" i="32"/>
  <c r="AJ49" i="32"/>
  <c r="AI49" i="32"/>
  <c r="AH49" i="32"/>
  <c r="AG49" i="32"/>
  <c r="AF49" i="32"/>
  <c r="AE49" i="32"/>
  <c r="AD49" i="32"/>
  <c r="AC49" i="32"/>
  <c r="AB49" i="32"/>
  <c r="AA49" i="32"/>
  <c r="Z49" i="32"/>
  <c r="Y49" i="32"/>
  <c r="X49" i="32"/>
  <c r="W49" i="32"/>
  <c r="V49" i="32"/>
  <c r="U49" i="32"/>
  <c r="T49" i="32"/>
  <c r="S49" i="32"/>
  <c r="R49" i="32"/>
  <c r="Q49" i="32"/>
  <c r="P49" i="32"/>
  <c r="O49" i="32"/>
  <c r="N49" i="32"/>
  <c r="M49" i="32"/>
  <c r="L49" i="32"/>
  <c r="K49" i="32"/>
  <c r="J49" i="32"/>
  <c r="I49" i="32"/>
  <c r="H49" i="32"/>
  <c r="G49" i="32"/>
  <c r="F49" i="32"/>
  <c r="E49" i="32"/>
  <c r="D49" i="32"/>
  <c r="C49" i="32"/>
  <c r="B49" i="32"/>
  <c r="AP48" i="32"/>
  <c r="AO48" i="32"/>
  <c r="AN48" i="32"/>
  <c r="AL48" i="32"/>
  <c r="AK48" i="32"/>
  <c r="AJ48" i="32"/>
  <c r="AI48" i="32"/>
  <c r="AH48" i="32"/>
  <c r="AG48" i="32"/>
  <c r="AF48" i="32"/>
  <c r="AE48" i="32"/>
  <c r="AD48" i="32"/>
  <c r="AC48" i="32"/>
  <c r="AB48" i="32"/>
  <c r="AA48" i="32"/>
  <c r="Z48" i="32"/>
  <c r="Y48" i="32"/>
  <c r="X48" i="32"/>
  <c r="W48" i="32"/>
  <c r="V48" i="32"/>
  <c r="U48" i="32"/>
  <c r="T48" i="32"/>
  <c r="S48" i="32"/>
  <c r="R48" i="32"/>
  <c r="Q48" i="32"/>
  <c r="P48" i="32"/>
  <c r="O48" i="32"/>
  <c r="N48" i="32"/>
  <c r="M48" i="32"/>
  <c r="L48" i="32"/>
  <c r="K48" i="32"/>
  <c r="J48" i="32"/>
  <c r="I48" i="32"/>
  <c r="H48" i="32"/>
  <c r="G48" i="32"/>
  <c r="F48" i="32"/>
  <c r="E48" i="32"/>
  <c r="D48" i="32"/>
  <c r="C48" i="32"/>
  <c r="B48" i="32"/>
  <c r="AP40" i="32"/>
  <c r="AO40" i="32"/>
  <c r="AN40" i="32"/>
  <c r="AL40" i="32"/>
  <c r="AK40" i="32"/>
  <c r="AJ40" i="32"/>
  <c r="AI40" i="32"/>
  <c r="AH40" i="32"/>
  <c r="AG40" i="32"/>
  <c r="AF40" i="32"/>
  <c r="AE40" i="32"/>
  <c r="AD40" i="32"/>
  <c r="AC40" i="32"/>
  <c r="AB40" i="32"/>
  <c r="AA40" i="32"/>
  <c r="Z40" i="32"/>
  <c r="Y40" i="32"/>
  <c r="X40" i="32"/>
  <c r="W40" i="32"/>
  <c r="V40" i="32"/>
  <c r="U40" i="32"/>
  <c r="T40" i="32"/>
  <c r="S40" i="32"/>
  <c r="R40" i="32"/>
  <c r="Q40" i="32"/>
  <c r="P40" i="32"/>
  <c r="O40" i="32"/>
  <c r="N40" i="32"/>
  <c r="M40" i="32"/>
  <c r="L40" i="32"/>
  <c r="K40" i="32"/>
  <c r="J40" i="32"/>
  <c r="I40" i="32"/>
  <c r="H40" i="32"/>
  <c r="G40" i="32"/>
  <c r="F40" i="32"/>
  <c r="E40" i="32"/>
  <c r="D40" i="32"/>
  <c r="C40" i="32"/>
  <c r="B40" i="32"/>
  <c r="AP36" i="32"/>
  <c r="AO36" i="32"/>
  <c r="AN36" i="32"/>
  <c r="AL36" i="32"/>
  <c r="AK36" i="32"/>
  <c r="AJ36" i="32"/>
  <c r="AI36" i="32"/>
  <c r="AH36" i="32"/>
  <c r="AG36" i="32"/>
  <c r="AF36" i="32"/>
  <c r="AE36" i="32"/>
  <c r="AD36" i="32"/>
  <c r="AC36" i="32"/>
  <c r="AB36" i="32"/>
  <c r="AA36" i="32"/>
  <c r="Z36" i="32"/>
  <c r="Y36" i="32"/>
  <c r="X36" i="32"/>
  <c r="W36" i="32"/>
  <c r="V36" i="32"/>
  <c r="U36" i="32"/>
  <c r="T36" i="32"/>
  <c r="S36" i="32"/>
  <c r="R36" i="32"/>
  <c r="Q36" i="32"/>
  <c r="P36" i="32"/>
  <c r="O36" i="32"/>
  <c r="N36" i="32"/>
  <c r="M36" i="32"/>
  <c r="L36" i="32"/>
  <c r="K36" i="32"/>
  <c r="J36" i="32"/>
  <c r="I36" i="32"/>
  <c r="H36" i="32"/>
  <c r="G36" i="32"/>
  <c r="F36" i="32"/>
  <c r="E36" i="32"/>
  <c r="D36" i="32"/>
  <c r="C36" i="32"/>
  <c r="B36" i="32"/>
  <c r="AP33" i="32"/>
  <c r="AO33" i="32"/>
  <c r="AN33" i="32"/>
  <c r="AL33" i="32"/>
  <c r="AK33" i="32"/>
  <c r="AK18" i="32" s="1"/>
  <c r="AJ33" i="32"/>
  <c r="AI33" i="32"/>
  <c r="AH33" i="32"/>
  <c r="AH18" i="32" s="1"/>
  <c r="AG33" i="32"/>
  <c r="AF33" i="32"/>
  <c r="AE33" i="32"/>
  <c r="AD33" i="32"/>
  <c r="AC33" i="32"/>
  <c r="AC18" i="32" s="1"/>
  <c r="AB33" i="32"/>
  <c r="AA33" i="32"/>
  <c r="Z33" i="32"/>
  <c r="Z18" i="32" s="1"/>
  <c r="Y33" i="32"/>
  <c r="X33" i="32"/>
  <c r="W33" i="32"/>
  <c r="V33" i="32"/>
  <c r="U33" i="32"/>
  <c r="U18" i="32" s="1"/>
  <c r="T33" i="32"/>
  <c r="S33" i="32"/>
  <c r="R33" i="32"/>
  <c r="R18" i="32" s="1"/>
  <c r="Q33" i="32"/>
  <c r="P33" i="32"/>
  <c r="O33" i="32"/>
  <c r="N33" i="32"/>
  <c r="M33" i="32"/>
  <c r="M18" i="32" s="1"/>
  <c r="L33" i="32"/>
  <c r="K33" i="32"/>
  <c r="J33" i="32"/>
  <c r="J18" i="32" s="1"/>
  <c r="I33" i="32"/>
  <c r="H33" i="32"/>
  <c r="G33" i="32"/>
  <c r="F33" i="32"/>
  <c r="E33" i="32"/>
  <c r="E18" i="32" s="1"/>
  <c r="D33" i="32"/>
  <c r="C33" i="32"/>
  <c r="B33" i="32"/>
  <c r="B18" i="32" s="1"/>
  <c r="AP32" i="32"/>
  <c r="AO32" i="32"/>
  <c r="AN32" i="32"/>
  <c r="AM32" i="32"/>
  <c r="AL32" i="32"/>
  <c r="AL18" i="32" s="1"/>
  <c r="AK32" i="32"/>
  <c r="AJ32" i="32"/>
  <c r="AJ18" i="32" s="1"/>
  <c r="AI32" i="32"/>
  <c r="AH32" i="32"/>
  <c r="AG32" i="32"/>
  <c r="AF32" i="32"/>
  <c r="AE32" i="32"/>
  <c r="AD32" i="32"/>
  <c r="AD18" i="32" s="1"/>
  <c r="AC32" i="32"/>
  <c r="AB32" i="32"/>
  <c r="AB18" i="32" s="1"/>
  <c r="AA32" i="32"/>
  <c r="Z32" i="32"/>
  <c r="Y32" i="32"/>
  <c r="X32" i="32"/>
  <c r="W32" i="32"/>
  <c r="V32" i="32"/>
  <c r="V18" i="32" s="1"/>
  <c r="U32" i="32"/>
  <c r="T32" i="32"/>
  <c r="T18" i="32" s="1"/>
  <c r="S32" i="32"/>
  <c r="R32" i="32"/>
  <c r="Q32" i="32"/>
  <c r="P32" i="32"/>
  <c r="O32" i="32"/>
  <c r="N32" i="32"/>
  <c r="N18" i="32" s="1"/>
  <c r="M32" i="32"/>
  <c r="L32" i="32"/>
  <c r="L18" i="32" s="1"/>
  <c r="K32" i="32"/>
  <c r="J32" i="32"/>
  <c r="I32" i="32"/>
  <c r="H32" i="32"/>
  <c r="G32" i="32"/>
  <c r="F32" i="32"/>
  <c r="F18" i="32" s="1"/>
  <c r="E32" i="32"/>
  <c r="D32" i="32"/>
  <c r="D18" i="32" s="1"/>
  <c r="C32" i="32"/>
  <c r="B32" i="32"/>
  <c r="CE18" i="32"/>
  <c r="CD18" i="32"/>
  <c r="CB18" i="32"/>
  <c r="BW18" i="32"/>
  <c r="BV18" i="32"/>
  <c r="BO18" i="32"/>
  <c r="BN18" i="32"/>
  <c r="BL18" i="32"/>
  <c r="BG18" i="32"/>
  <c r="BF18" i="32"/>
  <c r="BD18" i="32"/>
  <c r="BC18" i="32"/>
  <c r="BA18" i="32"/>
  <c r="AZ18" i="32"/>
  <c r="AY18" i="32"/>
  <c r="AW18" i="32"/>
  <c r="AU18" i="32"/>
  <c r="AT18" i="32"/>
  <c r="AS18" i="32"/>
  <c r="AQ18" i="32"/>
  <c r="AO18" i="32"/>
  <c r="AN18" i="32"/>
  <c r="AI18" i="32"/>
  <c r="AG18" i="32"/>
  <c r="AF18" i="32"/>
  <c r="AA18" i="32"/>
  <c r="Y18" i="32"/>
  <c r="X18" i="32"/>
  <c r="S18" i="32"/>
  <c r="Q18" i="32"/>
  <c r="P18" i="32"/>
  <c r="K18" i="32"/>
  <c r="I18" i="32"/>
  <c r="H18" i="32"/>
  <c r="C18" i="32"/>
  <c r="CH16" i="32"/>
  <c r="CG16" i="32"/>
  <c r="CF16" i="32"/>
  <c r="CE16" i="32"/>
  <c r="CD16" i="32"/>
  <c r="CC16" i="32"/>
  <c r="CB16" i="32"/>
  <c r="CA16" i="32"/>
  <c r="BZ16" i="32"/>
  <c r="BY16" i="32"/>
  <c r="BX16" i="32"/>
  <c r="BW16" i="32"/>
  <c r="BV16" i="32"/>
  <c r="BU16" i="32"/>
  <c r="BT16" i="32"/>
  <c r="BS16" i="32"/>
  <c r="BR16" i="32"/>
  <c r="BQ16" i="32"/>
  <c r="BP16" i="32"/>
  <c r="BO16" i="32"/>
  <c r="BN16" i="32"/>
  <c r="BM16" i="32"/>
  <c r="BL16" i="32"/>
  <c r="BK16" i="32"/>
  <c r="BJ16" i="32"/>
  <c r="BI16" i="32"/>
  <c r="BH16" i="32"/>
  <c r="BG16" i="32"/>
  <c r="BF16" i="32"/>
  <c r="BE16" i="32"/>
  <c r="BD16" i="32"/>
  <c r="BC16" i="32"/>
  <c r="BB16" i="32"/>
  <c r="BA16" i="32"/>
  <c r="AZ16" i="32"/>
  <c r="AY16" i="32"/>
  <c r="AX16" i="32"/>
  <c r="AW16" i="32"/>
  <c r="AV16" i="32"/>
  <c r="AU16" i="32"/>
  <c r="AT16" i="32"/>
  <c r="AS16" i="32"/>
  <c r="AR16" i="32"/>
  <c r="AQ16" i="32"/>
  <c r="AP16" i="32"/>
  <c r="AO16" i="32"/>
  <c r="AN16" i="32"/>
  <c r="AM16" i="32"/>
  <c r="AL16" i="32"/>
  <c r="AK16" i="32"/>
  <c r="AJ16" i="32"/>
  <c r="AI16" i="32"/>
  <c r="AH16" i="32"/>
  <c r="AG16" i="32"/>
  <c r="AF16" i="32"/>
  <c r="AE16" i="32"/>
  <c r="AD16" i="32"/>
  <c r="AC16" i="32"/>
  <c r="AB16" i="32"/>
  <c r="AA16" i="32"/>
  <c r="Z16" i="32"/>
  <c r="Y16" i="32"/>
  <c r="X16" i="32"/>
  <c r="W16" i="32"/>
  <c r="V16" i="32"/>
  <c r="U16" i="32"/>
  <c r="T16" i="32"/>
  <c r="S16" i="32"/>
  <c r="R16" i="32"/>
  <c r="Q16" i="32"/>
  <c r="P16" i="32"/>
  <c r="O16" i="32"/>
  <c r="N16" i="32"/>
  <c r="M16" i="32"/>
  <c r="L16" i="32"/>
  <c r="K16" i="32"/>
  <c r="J16" i="32"/>
  <c r="I16" i="32"/>
  <c r="H16" i="32"/>
  <c r="G16" i="32"/>
  <c r="F16" i="32"/>
  <c r="E16" i="32"/>
  <c r="D16" i="32"/>
  <c r="C16" i="32"/>
  <c r="B16" i="32"/>
  <c r="I37" i="31"/>
  <c r="M37" i="31" s="1"/>
  <c r="B37" i="31"/>
  <c r="H37" i="31" s="1"/>
  <c r="I36" i="31"/>
  <c r="O36" i="31" s="1"/>
  <c r="F36" i="31"/>
  <c r="B36" i="31"/>
  <c r="E36" i="31" s="1"/>
  <c r="I35" i="31"/>
  <c r="O35" i="31" s="1"/>
  <c r="H35" i="31"/>
  <c r="F35" i="31"/>
  <c r="E35" i="31"/>
  <c r="B35" i="31"/>
  <c r="G35" i="31" s="1"/>
  <c r="O34" i="31"/>
  <c r="M34" i="31"/>
  <c r="L34" i="31"/>
  <c r="I34" i="31"/>
  <c r="N34" i="31" s="1"/>
  <c r="H34" i="31"/>
  <c r="G34" i="31"/>
  <c r="F34" i="31"/>
  <c r="E34" i="31"/>
  <c r="B34" i="31"/>
  <c r="O33" i="31"/>
  <c r="I33" i="31"/>
  <c r="M33" i="31" s="1"/>
  <c r="G33" i="31"/>
  <c r="E33" i="31"/>
  <c r="B33" i="31"/>
  <c r="H33" i="31" s="1"/>
  <c r="I32" i="31"/>
  <c r="O32" i="31" s="1"/>
  <c r="G32" i="31"/>
  <c r="F32" i="31"/>
  <c r="B32" i="31"/>
  <c r="E32" i="31" s="1"/>
  <c r="I31" i="31"/>
  <c r="O31" i="31" s="1"/>
  <c r="H31" i="31"/>
  <c r="F31" i="31"/>
  <c r="E31" i="31"/>
  <c r="B31" i="31"/>
  <c r="G31" i="31" s="1"/>
  <c r="O30" i="31"/>
  <c r="M30" i="31"/>
  <c r="L30" i="31"/>
  <c r="I30" i="31"/>
  <c r="N30" i="31" s="1"/>
  <c r="H30" i="31"/>
  <c r="G30" i="31"/>
  <c r="F30" i="31"/>
  <c r="E30" i="31"/>
  <c r="B30" i="31"/>
  <c r="O29" i="31"/>
  <c r="I29" i="31"/>
  <c r="M29" i="31" s="1"/>
  <c r="G29" i="31"/>
  <c r="E29" i="31"/>
  <c r="B29" i="31"/>
  <c r="H29" i="31" s="1"/>
  <c r="I28" i="31"/>
  <c r="O28" i="31" s="1"/>
  <c r="G28" i="31"/>
  <c r="F28" i="31"/>
  <c r="B28" i="31"/>
  <c r="E28" i="31" s="1"/>
  <c r="I27" i="31"/>
  <c r="O27" i="31" s="1"/>
  <c r="H27" i="31"/>
  <c r="F27" i="31"/>
  <c r="E27" i="31"/>
  <c r="B27" i="31"/>
  <c r="G27" i="31" s="1"/>
  <c r="O26" i="31"/>
  <c r="M26" i="31"/>
  <c r="L26" i="31"/>
  <c r="I26" i="31"/>
  <c r="N26" i="31" s="1"/>
  <c r="H26" i="31"/>
  <c r="G26" i="31"/>
  <c r="F26" i="31"/>
  <c r="E26" i="31"/>
  <c r="B26" i="31"/>
  <c r="O25" i="31"/>
  <c r="N25" i="31"/>
  <c r="I25" i="31"/>
  <c r="M25" i="31" s="1"/>
  <c r="G25" i="31"/>
  <c r="E25" i="31"/>
  <c r="B25" i="31"/>
  <c r="H25" i="31" s="1"/>
  <c r="I24" i="31"/>
  <c r="O24" i="31" s="1"/>
  <c r="G24" i="31"/>
  <c r="F24" i="31"/>
  <c r="B24" i="31"/>
  <c r="E24" i="31" s="1"/>
  <c r="I23" i="31"/>
  <c r="O23" i="31" s="1"/>
  <c r="H23" i="31"/>
  <c r="F23" i="31"/>
  <c r="E23" i="31"/>
  <c r="B23" i="31"/>
  <c r="G23" i="31" s="1"/>
  <c r="O22" i="31"/>
  <c r="M22" i="31"/>
  <c r="L22" i="31"/>
  <c r="I22" i="31"/>
  <c r="N22" i="31" s="1"/>
  <c r="H22" i="31"/>
  <c r="G22" i="31"/>
  <c r="E22" i="31"/>
  <c r="B22" i="31"/>
  <c r="F22" i="31" s="1"/>
  <c r="O21" i="31"/>
  <c r="N21" i="31"/>
  <c r="I21" i="31"/>
  <c r="M21" i="31" s="1"/>
  <c r="G21" i="31"/>
  <c r="E21" i="31"/>
  <c r="B21" i="31"/>
  <c r="H21" i="31" s="1"/>
  <c r="I20" i="31"/>
  <c r="O20" i="31" s="1"/>
  <c r="G20" i="31"/>
  <c r="F20" i="31"/>
  <c r="B20" i="31"/>
  <c r="E20" i="31" s="1"/>
  <c r="I19" i="31"/>
  <c r="M19" i="31" s="1"/>
  <c r="H19" i="31"/>
  <c r="F19" i="31"/>
  <c r="E19" i="31"/>
  <c r="B19" i="31"/>
  <c r="G19" i="31" s="1"/>
  <c r="O18" i="31"/>
  <c r="M18" i="31"/>
  <c r="L18" i="31"/>
  <c r="I18" i="31"/>
  <c r="N18" i="31" s="1"/>
  <c r="H18" i="31"/>
  <c r="G18" i="31"/>
  <c r="F18" i="31"/>
  <c r="E18" i="31"/>
  <c r="B18" i="31"/>
  <c r="O17" i="31"/>
  <c r="N17" i="31"/>
  <c r="I17" i="31"/>
  <c r="M17" i="31" s="1"/>
  <c r="G17" i="31"/>
  <c r="E17" i="31"/>
  <c r="B17" i="31"/>
  <c r="H17" i="31" s="1"/>
  <c r="I16" i="31"/>
  <c r="O16" i="31" s="1"/>
  <c r="G16" i="31"/>
  <c r="F16" i="31"/>
  <c r="B16" i="31"/>
  <c r="E16" i="31" s="1"/>
  <c r="I15" i="31"/>
  <c r="O15" i="31" s="1"/>
  <c r="H15" i="31"/>
  <c r="F15" i="31"/>
  <c r="E15" i="31"/>
  <c r="B15" i="31"/>
  <c r="G15" i="31" s="1"/>
  <c r="O14" i="31"/>
  <c r="M14" i="31"/>
  <c r="L14" i="31"/>
  <c r="I14" i="31"/>
  <c r="N14" i="31" s="1"/>
  <c r="H14" i="31"/>
  <c r="G14" i="31"/>
  <c r="F14" i="31"/>
  <c r="E14" i="31"/>
  <c r="B14" i="31"/>
  <c r="O13" i="31"/>
  <c r="N13" i="31"/>
  <c r="I13" i="31"/>
  <c r="M13" i="31" s="1"/>
  <c r="G13" i="31"/>
  <c r="E13" i="31"/>
  <c r="B13" i="31"/>
  <c r="H13" i="31" s="1"/>
  <c r="I12" i="31"/>
  <c r="O12" i="31" s="1"/>
  <c r="G12" i="31"/>
  <c r="F12" i="31"/>
  <c r="B12" i="31"/>
  <c r="E12" i="31" s="1"/>
  <c r="I11" i="31"/>
  <c r="M11" i="31" s="1"/>
  <c r="H11" i="31"/>
  <c r="F11" i="31"/>
  <c r="E11" i="31"/>
  <c r="B11" i="31"/>
  <c r="G11" i="31" s="1"/>
  <c r="O10" i="31"/>
  <c r="M10" i="31"/>
  <c r="L10" i="31"/>
  <c r="I10" i="31"/>
  <c r="N10" i="31" s="1"/>
  <c r="H10" i="31"/>
  <c r="G10" i="31"/>
  <c r="E10" i="31"/>
  <c r="B10" i="31"/>
  <c r="F10" i="31" s="1"/>
  <c r="O9" i="31"/>
  <c r="N9" i="31"/>
  <c r="I9" i="31"/>
  <c r="M9" i="31" s="1"/>
  <c r="G9" i="31"/>
  <c r="E9" i="31"/>
  <c r="B9" i="31"/>
  <c r="H9" i="31" s="1"/>
  <c r="F150" i="37" l="1"/>
  <c r="H166" i="34"/>
  <c r="E131" i="34"/>
  <c r="H130" i="34"/>
  <c r="H61" i="34"/>
  <c r="H132" i="34"/>
  <c r="F168" i="34"/>
  <c r="J70" i="22" s="1"/>
  <c r="K70" i="22" s="1"/>
  <c r="G168" i="34"/>
  <c r="F132" i="34"/>
  <c r="H70" i="22" s="1"/>
  <c r="I70" i="22" s="1"/>
  <c r="F60" i="34"/>
  <c r="D70" i="22" s="1"/>
  <c r="E70" i="22" s="1"/>
  <c r="E167" i="34"/>
  <c r="H168" i="34"/>
  <c r="F167" i="34"/>
  <c r="J69" i="22" s="1"/>
  <c r="K69" i="22" s="1"/>
  <c r="G167" i="34"/>
  <c r="E169" i="34"/>
  <c r="E166" i="34"/>
  <c r="H167" i="34"/>
  <c r="F169" i="34"/>
  <c r="J71" i="22" s="1"/>
  <c r="K71" i="22" s="1"/>
  <c r="F166" i="34"/>
  <c r="J68" i="22" s="1"/>
  <c r="K68" i="22" s="1"/>
  <c r="G169" i="34"/>
  <c r="G166" i="34"/>
  <c r="E168" i="34"/>
  <c r="H169" i="34"/>
  <c r="G132" i="34"/>
  <c r="F131" i="34"/>
  <c r="H69" i="22" s="1"/>
  <c r="I69" i="22" s="1"/>
  <c r="G131" i="34"/>
  <c r="E133" i="34"/>
  <c r="E130" i="34"/>
  <c r="H131" i="34"/>
  <c r="F133" i="34"/>
  <c r="H71" i="22" s="1"/>
  <c r="I71" i="22" s="1"/>
  <c r="F130" i="34"/>
  <c r="H68" i="22" s="1"/>
  <c r="I68" i="22" s="1"/>
  <c r="G133" i="34"/>
  <c r="G130" i="34"/>
  <c r="E132" i="34"/>
  <c r="H133" i="34"/>
  <c r="H60" i="34"/>
  <c r="G96" i="34"/>
  <c r="E95" i="34"/>
  <c r="H96" i="34"/>
  <c r="F95" i="34"/>
  <c r="G60" i="34"/>
  <c r="H94" i="34"/>
  <c r="H58" i="34"/>
  <c r="G95" i="34"/>
  <c r="E97" i="34"/>
  <c r="E59" i="34"/>
  <c r="E94" i="34"/>
  <c r="H95" i="34"/>
  <c r="F97" i="34"/>
  <c r="F94" i="34"/>
  <c r="G97" i="34"/>
  <c r="F96" i="34"/>
  <c r="G94" i="34"/>
  <c r="E96" i="34"/>
  <c r="H97" i="34"/>
  <c r="F59" i="34"/>
  <c r="D69" i="22" s="1"/>
  <c r="E69" i="22" s="1"/>
  <c r="G59" i="34"/>
  <c r="E61" i="34"/>
  <c r="E58" i="34"/>
  <c r="H59" i="34"/>
  <c r="F61" i="34"/>
  <c r="D71" i="22" s="1"/>
  <c r="E71" i="22" s="1"/>
  <c r="F58" i="34"/>
  <c r="D68" i="22" s="1"/>
  <c r="G61" i="34"/>
  <c r="G58" i="34"/>
  <c r="E60" i="34"/>
  <c r="E22" i="34"/>
  <c r="H25" i="34"/>
  <c r="F22" i="34"/>
  <c r="B68" i="22" s="1"/>
  <c r="H22" i="34"/>
  <c r="F23" i="34"/>
  <c r="B69" i="22" s="1"/>
  <c r="C69" i="22" s="1"/>
  <c r="E24" i="34"/>
  <c r="G22" i="34"/>
  <c r="H24" i="34"/>
  <c r="H23" i="34"/>
  <c r="E23" i="34"/>
  <c r="F24" i="34"/>
  <c r="B70" i="22" s="1"/>
  <c r="C70" i="22" s="1"/>
  <c r="G24" i="34"/>
  <c r="G23" i="34"/>
  <c r="E25" i="34"/>
  <c r="F25" i="34"/>
  <c r="B71" i="22" s="1"/>
  <c r="C71" i="22" s="1"/>
  <c r="G25" i="34"/>
  <c r="N29" i="31"/>
  <c r="N33" i="31"/>
  <c r="N37" i="31"/>
  <c r="G36" i="31"/>
  <c r="E37" i="31"/>
  <c r="O37" i="31"/>
  <c r="F9" i="31"/>
  <c r="L11" i="31"/>
  <c r="H12" i="31"/>
  <c r="F13" i="31"/>
  <c r="L15" i="31"/>
  <c r="H16" i="31"/>
  <c r="F17" i="31"/>
  <c r="L19" i="31"/>
  <c r="H20" i="31"/>
  <c r="F21" i="31"/>
  <c r="L23" i="31"/>
  <c r="H24" i="31"/>
  <c r="F25" i="31"/>
  <c r="L27" i="31"/>
  <c r="H28" i="31"/>
  <c r="F29" i="31"/>
  <c r="L31" i="31"/>
  <c r="H32" i="31"/>
  <c r="F33" i="31"/>
  <c r="L35" i="31"/>
  <c r="H36" i="31"/>
  <c r="F37" i="31"/>
  <c r="G37" i="31"/>
  <c r="M23" i="31"/>
  <c r="M35" i="31"/>
  <c r="N11" i="31"/>
  <c r="L12" i="31"/>
  <c r="N15" i="31"/>
  <c r="L16" i="31"/>
  <c r="N19" i="31"/>
  <c r="L20" i="31"/>
  <c r="N23" i="31"/>
  <c r="L24" i="31"/>
  <c r="N27" i="31"/>
  <c r="L28" i="31"/>
  <c r="N31" i="31"/>
  <c r="L32" i="31"/>
  <c r="N35" i="31"/>
  <c r="L36" i="31"/>
  <c r="M15" i="31"/>
  <c r="M27" i="31"/>
  <c r="M31" i="31"/>
  <c r="O11" i="31"/>
  <c r="M12" i="31"/>
  <c r="M16" i="31"/>
  <c r="O19" i="31"/>
  <c r="M20" i="31"/>
  <c r="M24" i="31"/>
  <c r="M28" i="31"/>
  <c r="M32" i="31"/>
  <c r="M36" i="31"/>
  <c r="L9" i="31"/>
  <c r="N12" i="31"/>
  <c r="L13" i="31"/>
  <c r="N16" i="31"/>
  <c r="L17" i="31"/>
  <c r="N20" i="31"/>
  <c r="L21" i="31"/>
  <c r="N24" i="31"/>
  <c r="L25" i="31"/>
  <c r="N28" i="31"/>
  <c r="L29" i="31"/>
  <c r="N32" i="31"/>
  <c r="L33" i="31"/>
  <c r="N36" i="31"/>
  <c r="L37" i="31"/>
  <c r="L71" i="22" l="1"/>
  <c r="L69" i="22"/>
  <c r="L70" i="22"/>
  <c r="L68" i="22"/>
  <c r="H185" i="34"/>
  <c r="E184" i="34"/>
  <c r="G182" i="34"/>
  <c r="F179" i="34"/>
  <c r="J81" i="22" s="1"/>
  <c r="K81" i="22" s="1"/>
  <c r="H177" i="34"/>
  <c r="E176" i="34"/>
  <c r="G174" i="34"/>
  <c r="F171" i="34"/>
  <c r="J73" i="22" s="1"/>
  <c r="K73" i="22" s="1"/>
  <c r="F163" i="34"/>
  <c r="J65" i="22" s="1"/>
  <c r="K65" i="22" s="1"/>
  <c r="H161" i="34"/>
  <c r="E160" i="34"/>
  <c r="G158" i="34"/>
  <c r="G176" i="34"/>
  <c r="F173" i="34"/>
  <c r="J75" i="22" s="1"/>
  <c r="K75" i="22" s="1"/>
  <c r="H171" i="34"/>
  <c r="E170" i="34"/>
  <c r="E162" i="34"/>
  <c r="F157" i="34"/>
  <c r="J59" i="22" s="1"/>
  <c r="K59" i="22" s="1"/>
  <c r="F176" i="34"/>
  <c r="J78" i="22" s="1"/>
  <c r="K78" i="22" s="1"/>
  <c r="G163" i="34"/>
  <c r="E157" i="34"/>
  <c r="G185" i="34"/>
  <c r="F182" i="34"/>
  <c r="J84" i="22" s="1"/>
  <c r="K84" i="22" s="1"/>
  <c r="H180" i="34"/>
  <c r="E179" i="34"/>
  <c r="G177" i="34"/>
  <c r="F174" i="34"/>
  <c r="J76" i="22" s="1"/>
  <c r="K76" i="22" s="1"/>
  <c r="H172" i="34"/>
  <c r="E171" i="34"/>
  <c r="H164" i="34"/>
  <c r="E163" i="34"/>
  <c r="G161" i="34"/>
  <c r="F158" i="34"/>
  <c r="J60" i="22" s="1"/>
  <c r="K60" i="22" s="1"/>
  <c r="E178" i="34"/>
  <c r="F185" i="34"/>
  <c r="J87" i="22" s="1"/>
  <c r="K87" i="22" s="1"/>
  <c r="H183" i="34"/>
  <c r="E182" i="34"/>
  <c r="G180" i="34"/>
  <c r="F177" i="34"/>
  <c r="J79" i="22" s="1"/>
  <c r="K79" i="22" s="1"/>
  <c r="H175" i="34"/>
  <c r="E174" i="34"/>
  <c r="G172" i="34"/>
  <c r="G164" i="34"/>
  <c r="F161" i="34"/>
  <c r="J63" i="22" s="1"/>
  <c r="K63" i="22" s="1"/>
  <c r="H159" i="34"/>
  <c r="E158" i="34"/>
  <c r="F181" i="34"/>
  <c r="J83" i="22" s="1"/>
  <c r="K83" i="22" s="1"/>
  <c r="G179" i="34"/>
  <c r="H158" i="34"/>
  <c r="E185" i="34"/>
  <c r="G183" i="34"/>
  <c r="F180" i="34"/>
  <c r="J82" i="22" s="1"/>
  <c r="K82" i="22" s="1"/>
  <c r="H178" i="34"/>
  <c r="E177" i="34"/>
  <c r="G175" i="34"/>
  <c r="F172" i="34"/>
  <c r="J74" i="22" s="1"/>
  <c r="K74" i="22" s="1"/>
  <c r="H170" i="34"/>
  <c r="F164" i="34"/>
  <c r="H162" i="34"/>
  <c r="E161" i="34"/>
  <c r="G159" i="34"/>
  <c r="F184" i="34"/>
  <c r="J86" i="22" s="1"/>
  <c r="K86" i="22" s="1"/>
  <c r="H174" i="34"/>
  <c r="G171" i="34"/>
  <c r="F183" i="34"/>
  <c r="J85" i="22" s="1"/>
  <c r="K85" i="22" s="1"/>
  <c r="H181" i="34"/>
  <c r="E180" i="34"/>
  <c r="G178" i="34"/>
  <c r="F175" i="34"/>
  <c r="J77" i="22" s="1"/>
  <c r="K77" i="22" s="1"/>
  <c r="H173" i="34"/>
  <c r="E172" i="34"/>
  <c r="G170" i="34"/>
  <c r="H165" i="34"/>
  <c r="E164" i="34"/>
  <c r="G162" i="34"/>
  <c r="F159" i="34"/>
  <c r="J61" i="22" s="1"/>
  <c r="K61" i="22" s="1"/>
  <c r="H157" i="34"/>
  <c r="H179" i="34"/>
  <c r="F165" i="34"/>
  <c r="H163" i="34"/>
  <c r="G160" i="34"/>
  <c r="E181" i="34"/>
  <c r="H184" i="34"/>
  <c r="E183" i="34"/>
  <c r="G181" i="34"/>
  <c r="F178" i="34"/>
  <c r="J80" i="22" s="1"/>
  <c r="K80" i="22" s="1"/>
  <c r="H176" i="34"/>
  <c r="E175" i="34"/>
  <c r="G173" i="34"/>
  <c r="F170" i="34"/>
  <c r="J72" i="22" s="1"/>
  <c r="K72" i="22" s="1"/>
  <c r="G165" i="34"/>
  <c r="F162" i="34"/>
  <c r="J64" i="22" s="1"/>
  <c r="K64" i="22" s="1"/>
  <c r="H160" i="34"/>
  <c r="E159" i="34"/>
  <c r="G157" i="34"/>
  <c r="G184" i="34"/>
  <c r="H182" i="34"/>
  <c r="E173" i="34"/>
  <c r="E165" i="34"/>
  <c r="F160" i="34"/>
  <c r="J62" i="22" s="1"/>
  <c r="K62" i="22" s="1"/>
  <c r="H149" i="34"/>
  <c r="E148" i="34"/>
  <c r="G146" i="34"/>
  <c r="F143" i="34"/>
  <c r="H81" i="22" s="1"/>
  <c r="I81" i="22" s="1"/>
  <c r="H141" i="34"/>
  <c r="E140" i="34"/>
  <c r="G138" i="34"/>
  <c r="F135" i="34"/>
  <c r="H73" i="22" s="1"/>
  <c r="I73" i="22" s="1"/>
  <c r="F127" i="34"/>
  <c r="H65" i="22" s="1"/>
  <c r="I65" i="22" s="1"/>
  <c r="H125" i="34"/>
  <c r="E124" i="34"/>
  <c r="G122" i="34"/>
  <c r="G145" i="34"/>
  <c r="F134" i="34"/>
  <c r="H72" i="22" s="1"/>
  <c r="I72" i="22" s="1"/>
  <c r="G129" i="34"/>
  <c r="G149" i="34"/>
  <c r="F146" i="34"/>
  <c r="H84" i="22" s="1"/>
  <c r="I84" i="22" s="1"/>
  <c r="H144" i="34"/>
  <c r="E143" i="34"/>
  <c r="G141" i="34"/>
  <c r="F138" i="34"/>
  <c r="H76" i="22" s="1"/>
  <c r="I76" i="22" s="1"/>
  <c r="H136" i="34"/>
  <c r="E135" i="34"/>
  <c r="H128" i="34"/>
  <c r="E127" i="34"/>
  <c r="G125" i="34"/>
  <c r="F122" i="34"/>
  <c r="H60" i="22" s="1"/>
  <c r="I60" i="22" s="1"/>
  <c r="F126" i="34"/>
  <c r="H64" i="22" s="1"/>
  <c r="I64" i="22" s="1"/>
  <c r="E123" i="34"/>
  <c r="F149" i="34"/>
  <c r="H87" i="22" s="1"/>
  <c r="I87" i="22" s="1"/>
  <c r="H147" i="34"/>
  <c r="E146" i="34"/>
  <c r="G144" i="34"/>
  <c r="F141" i="34"/>
  <c r="H79" i="22" s="1"/>
  <c r="I79" i="22" s="1"/>
  <c r="H139" i="34"/>
  <c r="E138" i="34"/>
  <c r="G136" i="34"/>
  <c r="G128" i="34"/>
  <c r="F125" i="34"/>
  <c r="H63" i="22" s="1"/>
  <c r="I63" i="22" s="1"/>
  <c r="H123" i="34"/>
  <c r="E122" i="34"/>
  <c r="F142" i="34"/>
  <c r="H80" i="22" s="1"/>
  <c r="I80" i="22" s="1"/>
  <c r="E149" i="34"/>
  <c r="G147" i="34"/>
  <c r="F144" i="34"/>
  <c r="H82" i="22" s="1"/>
  <c r="I82" i="22" s="1"/>
  <c r="H142" i="34"/>
  <c r="E141" i="34"/>
  <c r="G139" i="34"/>
  <c r="F136" i="34"/>
  <c r="H74" i="22" s="1"/>
  <c r="I74" i="22" s="1"/>
  <c r="H134" i="34"/>
  <c r="F128" i="34"/>
  <c r="H126" i="34"/>
  <c r="E125" i="34"/>
  <c r="G123" i="34"/>
  <c r="E147" i="34"/>
  <c r="H124" i="34"/>
  <c r="G121" i="34"/>
  <c r="F147" i="34"/>
  <c r="H85" i="22" s="1"/>
  <c r="I85" i="22" s="1"/>
  <c r="H145" i="34"/>
  <c r="E144" i="34"/>
  <c r="G142" i="34"/>
  <c r="F139" i="34"/>
  <c r="H77" i="22" s="1"/>
  <c r="I77" i="22" s="1"/>
  <c r="H137" i="34"/>
  <c r="E136" i="34"/>
  <c r="G134" i="34"/>
  <c r="H129" i="34"/>
  <c r="E128" i="34"/>
  <c r="G126" i="34"/>
  <c r="F123" i="34"/>
  <c r="H61" i="22" s="1"/>
  <c r="I61" i="22" s="1"/>
  <c r="H121" i="34"/>
  <c r="H148" i="34"/>
  <c r="H140" i="34"/>
  <c r="E139" i="34"/>
  <c r="G137" i="34"/>
  <c r="G148" i="34"/>
  <c r="F145" i="34"/>
  <c r="H83" i="22" s="1"/>
  <c r="I83" i="22" s="1"/>
  <c r="H143" i="34"/>
  <c r="E142" i="34"/>
  <c r="G140" i="34"/>
  <c r="F137" i="34"/>
  <c r="H75" i="22" s="1"/>
  <c r="I75" i="22" s="1"/>
  <c r="H135" i="34"/>
  <c r="E134" i="34"/>
  <c r="F129" i="34"/>
  <c r="H127" i="34"/>
  <c r="E126" i="34"/>
  <c r="G124" i="34"/>
  <c r="F121" i="34"/>
  <c r="H59" i="22" s="1"/>
  <c r="I59" i="22" s="1"/>
  <c r="F148" i="34"/>
  <c r="H86" i="22" s="1"/>
  <c r="I86" i="22" s="1"/>
  <c r="H146" i="34"/>
  <c r="E145" i="34"/>
  <c r="G143" i="34"/>
  <c r="F140" i="34"/>
  <c r="H78" i="22" s="1"/>
  <c r="I78" i="22" s="1"/>
  <c r="H138" i="34"/>
  <c r="E137" i="34"/>
  <c r="G135" i="34"/>
  <c r="E129" i="34"/>
  <c r="G127" i="34"/>
  <c r="F124" i="34"/>
  <c r="H62" i="22" s="1"/>
  <c r="I62" i="22" s="1"/>
  <c r="H122" i="34"/>
  <c r="E121" i="34"/>
  <c r="F17" i="34"/>
  <c r="B63" i="22" s="1"/>
  <c r="G13" i="34"/>
  <c r="H113" i="34"/>
  <c r="E112" i="34"/>
  <c r="G110" i="34"/>
  <c r="F107" i="34"/>
  <c r="H105" i="34"/>
  <c r="E104" i="34"/>
  <c r="G102" i="34"/>
  <c r="F99" i="34"/>
  <c r="F73" i="22" s="1"/>
  <c r="F91" i="34"/>
  <c r="F65" i="22" s="1"/>
  <c r="G65" i="22" s="1"/>
  <c r="H89" i="34"/>
  <c r="E88" i="34"/>
  <c r="G86" i="34"/>
  <c r="E113" i="34"/>
  <c r="F108" i="34"/>
  <c r="H106" i="34"/>
  <c r="E105" i="34"/>
  <c r="G103" i="34"/>
  <c r="H90" i="34"/>
  <c r="H110" i="34"/>
  <c r="H102" i="34"/>
  <c r="G99" i="34"/>
  <c r="E93" i="34"/>
  <c r="G91" i="34"/>
  <c r="F88" i="34"/>
  <c r="F62" i="22" s="1"/>
  <c r="G62" i="22" s="1"/>
  <c r="H86" i="34"/>
  <c r="E85" i="34"/>
  <c r="G113" i="34"/>
  <c r="F110" i="34"/>
  <c r="H108" i="34"/>
  <c r="E107" i="34"/>
  <c r="G105" i="34"/>
  <c r="F102" i="34"/>
  <c r="H100" i="34"/>
  <c r="E99" i="34"/>
  <c r="H92" i="34"/>
  <c r="E91" i="34"/>
  <c r="G89" i="34"/>
  <c r="F86" i="34"/>
  <c r="F60" i="22" s="1"/>
  <c r="G60" i="22" s="1"/>
  <c r="E89" i="34"/>
  <c r="F113" i="34"/>
  <c r="H111" i="34"/>
  <c r="E110" i="34"/>
  <c r="G108" i="34"/>
  <c r="F105" i="34"/>
  <c r="H103" i="34"/>
  <c r="E102" i="34"/>
  <c r="G100" i="34"/>
  <c r="G92" i="34"/>
  <c r="F89" i="34"/>
  <c r="F63" i="22" s="1"/>
  <c r="H87" i="34"/>
  <c r="E86" i="34"/>
  <c r="G111" i="34"/>
  <c r="F100" i="34"/>
  <c r="F74" i="22" s="1"/>
  <c r="H98" i="34"/>
  <c r="F92" i="34"/>
  <c r="G87" i="34"/>
  <c r="E109" i="34"/>
  <c r="F111" i="34"/>
  <c r="H109" i="34"/>
  <c r="E108" i="34"/>
  <c r="G106" i="34"/>
  <c r="F103" i="34"/>
  <c r="H101" i="34"/>
  <c r="E100" i="34"/>
  <c r="G98" i="34"/>
  <c r="H93" i="34"/>
  <c r="E92" i="34"/>
  <c r="G90" i="34"/>
  <c r="F87" i="34"/>
  <c r="F61" i="22" s="1"/>
  <c r="G61" i="22" s="1"/>
  <c r="H85" i="34"/>
  <c r="F93" i="34"/>
  <c r="H91" i="34"/>
  <c r="E90" i="34"/>
  <c r="G88" i="34"/>
  <c r="G107" i="34"/>
  <c r="H112" i="34"/>
  <c r="E111" i="34"/>
  <c r="G109" i="34"/>
  <c r="F106" i="34"/>
  <c r="H104" i="34"/>
  <c r="E103" i="34"/>
  <c r="G101" i="34"/>
  <c r="F98" i="34"/>
  <c r="F72" i="22" s="1"/>
  <c r="G93" i="34"/>
  <c r="F90" i="34"/>
  <c r="F64" i="22" s="1"/>
  <c r="G64" i="22" s="1"/>
  <c r="H88" i="34"/>
  <c r="E87" i="34"/>
  <c r="G85" i="34"/>
  <c r="G112" i="34"/>
  <c r="F109" i="34"/>
  <c r="H107" i="34"/>
  <c r="E106" i="34"/>
  <c r="G104" i="34"/>
  <c r="F101" i="34"/>
  <c r="F75" i="22" s="1"/>
  <c r="H99" i="34"/>
  <c r="E98" i="34"/>
  <c r="F85" i="34"/>
  <c r="F112" i="34"/>
  <c r="F104" i="34"/>
  <c r="E101" i="34"/>
  <c r="E28" i="34"/>
  <c r="H37" i="34"/>
  <c r="H77" i="34"/>
  <c r="E76" i="34"/>
  <c r="G74" i="34"/>
  <c r="F71" i="34"/>
  <c r="D81" i="22" s="1"/>
  <c r="E81" i="22" s="1"/>
  <c r="H69" i="34"/>
  <c r="E68" i="34"/>
  <c r="G66" i="34"/>
  <c r="F63" i="34"/>
  <c r="D73" i="22" s="1"/>
  <c r="E73" i="22" s="1"/>
  <c r="F55" i="34"/>
  <c r="D65" i="22" s="1"/>
  <c r="E65" i="22" s="1"/>
  <c r="H53" i="34"/>
  <c r="E52" i="34"/>
  <c r="G50" i="34"/>
  <c r="H71" i="34"/>
  <c r="F57" i="34"/>
  <c r="H55" i="34"/>
  <c r="E54" i="34"/>
  <c r="G52" i="34"/>
  <c r="F49" i="34"/>
  <c r="H74" i="34"/>
  <c r="H66" i="34"/>
  <c r="F52" i="34"/>
  <c r="D62" i="22" s="1"/>
  <c r="E62" i="22" s="1"/>
  <c r="E49" i="34"/>
  <c r="G77" i="34"/>
  <c r="F74" i="34"/>
  <c r="D84" i="22" s="1"/>
  <c r="E84" i="22" s="1"/>
  <c r="H72" i="34"/>
  <c r="E71" i="34"/>
  <c r="G69" i="34"/>
  <c r="F66" i="34"/>
  <c r="D76" i="22" s="1"/>
  <c r="E76" i="22" s="1"/>
  <c r="H64" i="34"/>
  <c r="E63" i="34"/>
  <c r="H56" i="34"/>
  <c r="E55" i="34"/>
  <c r="G53" i="34"/>
  <c r="F50" i="34"/>
  <c r="D60" i="22" s="1"/>
  <c r="E60" i="22" s="1"/>
  <c r="E70" i="34"/>
  <c r="G68" i="34"/>
  <c r="F65" i="34"/>
  <c r="H63" i="34"/>
  <c r="E62" i="34"/>
  <c r="E73" i="34"/>
  <c r="F77" i="34"/>
  <c r="D87" i="22" s="1"/>
  <c r="E87" i="22" s="1"/>
  <c r="H75" i="34"/>
  <c r="E74" i="34"/>
  <c r="G72" i="34"/>
  <c r="F69" i="34"/>
  <c r="D79" i="22" s="1"/>
  <c r="E79" i="22" s="1"/>
  <c r="H67" i="34"/>
  <c r="E66" i="34"/>
  <c r="G64" i="34"/>
  <c r="G56" i="34"/>
  <c r="F53" i="34"/>
  <c r="D63" i="22" s="1"/>
  <c r="E63" i="22" s="1"/>
  <c r="H51" i="34"/>
  <c r="E50" i="34"/>
  <c r="F73" i="34"/>
  <c r="D83" i="22" s="1"/>
  <c r="E83" i="22" s="1"/>
  <c r="F76" i="34"/>
  <c r="D86" i="22" s="1"/>
  <c r="E86" i="22" s="1"/>
  <c r="E65" i="34"/>
  <c r="H50" i="34"/>
  <c r="E77" i="34"/>
  <c r="G75" i="34"/>
  <c r="F72" i="34"/>
  <c r="D82" i="22" s="1"/>
  <c r="E82" i="22" s="1"/>
  <c r="H70" i="34"/>
  <c r="E69" i="34"/>
  <c r="G67" i="34"/>
  <c r="F64" i="34"/>
  <c r="D74" i="22" s="1"/>
  <c r="E74" i="22" s="1"/>
  <c r="H62" i="34"/>
  <c r="F56" i="34"/>
  <c r="H54" i="34"/>
  <c r="E53" i="34"/>
  <c r="G51" i="34"/>
  <c r="F75" i="34"/>
  <c r="D85" i="22" s="1"/>
  <c r="E85" i="22" s="1"/>
  <c r="H73" i="34"/>
  <c r="E72" i="34"/>
  <c r="G70" i="34"/>
  <c r="F67" i="34"/>
  <c r="D77" i="22" s="1"/>
  <c r="E77" i="22" s="1"/>
  <c r="H65" i="34"/>
  <c r="E64" i="34"/>
  <c r="G62" i="34"/>
  <c r="H57" i="34"/>
  <c r="E56" i="34"/>
  <c r="G54" i="34"/>
  <c r="F51" i="34"/>
  <c r="D61" i="22" s="1"/>
  <c r="E61" i="22" s="1"/>
  <c r="H49" i="34"/>
  <c r="F68" i="34"/>
  <c r="D78" i="22" s="1"/>
  <c r="E78" i="22" s="1"/>
  <c r="H76" i="34"/>
  <c r="E75" i="34"/>
  <c r="G73" i="34"/>
  <c r="F70" i="34"/>
  <c r="D80" i="22" s="1"/>
  <c r="E80" i="22" s="1"/>
  <c r="H68" i="34"/>
  <c r="E67" i="34"/>
  <c r="G65" i="34"/>
  <c r="F62" i="34"/>
  <c r="G57" i="34"/>
  <c r="F54" i="34"/>
  <c r="D64" i="22" s="1"/>
  <c r="E64" i="22" s="1"/>
  <c r="H52" i="34"/>
  <c r="E51" i="34"/>
  <c r="G49" i="34"/>
  <c r="G76" i="34"/>
  <c r="G71" i="34"/>
  <c r="G63" i="34"/>
  <c r="E57" i="34"/>
  <c r="G55" i="34"/>
  <c r="G18" i="34"/>
  <c r="H17" i="34"/>
  <c r="H26" i="34"/>
  <c r="E38" i="34"/>
  <c r="G39" i="34"/>
  <c r="E34" i="34"/>
  <c r="E13" i="34"/>
  <c r="F21" i="34"/>
  <c r="F35" i="34"/>
  <c r="B81" i="22" s="1"/>
  <c r="C81" i="22" s="1"/>
  <c r="G30" i="34"/>
  <c r="F30" i="34"/>
  <c r="B76" i="22" s="1"/>
  <c r="C76" i="22" s="1"/>
  <c r="F19" i="34"/>
  <c r="B65" i="22" s="1"/>
  <c r="C65" i="22" s="1"/>
  <c r="F41" i="34"/>
  <c r="B87" i="22" s="1"/>
  <c r="C87" i="22" s="1"/>
  <c r="F34" i="34"/>
  <c r="B80" i="22" s="1"/>
  <c r="C80" i="22" s="1"/>
  <c r="G41" i="34"/>
  <c r="G36" i="34"/>
  <c r="F36" i="34"/>
  <c r="B82" i="22" s="1"/>
  <c r="C82" i="22" s="1"/>
  <c r="F20" i="34"/>
  <c r="G32" i="34"/>
  <c r="F37" i="34"/>
  <c r="B83" i="22" s="1"/>
  <c r="C83" i="22" s="1"/>
  <c r="H40" i="34"/>
  <c r="E27" i="34"/>
  <c r="F26" i="34"/>
  <c r="B72" i="22" s="1"/>
  <c r="C72" i="22" s="1"/>
  <c r="G26" i="34"/>
  <c r="G37" i="34"/>
  <c r="F15" i="34"/>
  <c r="B61" i="22" s="1"/>
  <c r="C61" i="22" s="1"/>
  <c r="E40" i="34"/>
  <c r="H29" i="34"/>
  <c r="G40" i="34"/>
  <c r="F39" i="34"/>
  <c r="B85" i="22" s="1"/>
  <c r="C85" i="22" s="1"/>
  <c r="H36" i="34"/>
  <c r="F33" i="34"/>
  <c r="B79" i="22" s="1"/>
  <c r="C79" i="22" s="1"/>
  <c r="H34" i="34"/>
  <c r="H18" i="34"/>
  <c r="E26" i="34"/>
  <c r="E37" i="34"/>
  <c r="G29" i="34"/>
  <c r="H20" i="34"/>
  <c r="H19" i="34"/>
  <c r="G19" i="34"/>
  <c r="H32" i="34"/>
  <c r="H13" i="34"/>
  <c r="E16" i="34"/>
  <c r="E30" i="34"/>
  <c r="G33" i="34"/>
  <c r="G28" i="34"/>
  <c r="E33" i="34"/>
  <c r="E17" i="34"/>
  <c r="H15" i="34"/>
  <c r="H14" i="34"/>
  <c r="G14" i="34"/>
  <c r="H28" i="34"/>
  <c r="F27" i="34"/>
  <c r="B73" i="22" s="1"/>
  <c r="C73" i="22" s="1"/>
  <c r="F18" i="34"/>
  <c r="B64" i="22" s="1"/>
  <c r="C64" i="22" s="1"/>
  <c r="G34" i="34"/>
  <c r="E41" i="34"/>
  <c r="F13" i="34"/>
  <c r="G31" i="34"/>
  <c r="G15" i="34"/>
  <c r="E18" i="34"/>
  <c r="E29" i="34"/>
  <c r="E21" i="34"/>
  <c r="H41" i="34"/>
  <c r="F40" i="34"/>
  <c r="B86" i="22" s="1"/>
  <c r="C86" i="22" s="1"/>
  <c r="E39" i="34"/>
  <c r="E14" i="34"/>
  <c r="G21" i="34"/>
  <c r="F31" i="34"/>
  <c r="B77" i="22" s="1"/>
  <c r="C77" i="22" s="1"/>
  <c r="F16" i="34"/>
  <c r="B62" i="22" s="1"/>
  <c r="C62" i="22" s="1"/>
  <c r="H38" i="34"/>
  <c r="G17" i="34"/>
  <c r="G20" i="34"/>
  <c r="F28" i="34"/>
  <c r="B74" i="22" s="1"/>
  <c r="C74" i="22" s="1"/>
  <c r="E20" i="34"/>
  <c r="G16" i="34"/>
  <c r="E32" i="34"/>
  <c r="H16" i="34"/>
  <c r="H33" i="34"/>
  <c r="F32" i="34"/>
  <c r="B78" i="22" s="1"/>
  <c r="C78" i="22" s="1"/>
  <c r="E15" i="34"/>
  <c r="H39" i="34"/>
  <c r="F14" i="34"/>
  <c r="B60" i="22" s="1"/>
  <c r="C60" i="22" s="1"/>
  <c r="H31" i="34"/>
  <c r="G35" i="34"/>
  <c r="H21" i="34"/>
  <c r="E36" i="34"/>
  <c r="H27" i="34"/>
  <c r="H35" i="34"/>
  <c r="H30" i="34"/>
  <c r="E35" i="34"/>
  <c r="F38" i="34"/>
  <c r="B84" i="22" s="1"/>
  <c r="C84" i="22" s="1"/>
  <c r="G38" i="34"/>
  <c r="E19" i="34"/>
  <c r="E31" i="34"/>
  <c r="F29" i="34"/>
  <c r="G27" i="34"/>
  <c r="F87" i="22" l="1"/>
  <c r="G87" i="22" s="1"/>
  <c r="D72" i="22"/>
  <c r="E72" i="22" s="1"/>
  <c r="F69" i="22"/>
  <c r="G69" i="22" s="1"/>
  <c r="F76" i="22"/>
  <c r="G76" i="22" s="1"/>
  <c r="G74" i="22"/>
  <c r="F81" i="22"/>
  <c r="G81" i="22" s="1"/>
  <c r="F85" i="22"/>
  <c r="G85" i="22" s="1"/>
  <c r="G72" i="22"/>
  <c r="F79" i="22"/>
  <c r="G79" i="22" s="1"/>
  <c r="G75" i="22"/>
  <c r="F82" i="22"/>
  <c r="G82" i="22" s="1"/>
  <c r="G73" i="22"/>
  <c r="F80" i="22"/>
  <c r="G80" i="22" s="1"/>
  <c r="F86" i="22"/>
  <c r="G86" i="22" s="1"/>
  <c r="F84" i="22"/>
  <c r="G84" i="22" s="1"/>
  <c r="G63" i="22"/>
  <c r="F83" i="22"/>
  <c r="G83" i="22" s="1"/>
  <c r="F70" i="22"/>
  <c r="G70" i="22" s="1"/>
  <c r="F77" i="22"/>
  <c r="G77" i="22" s="1"/>
  <c r="F71" i="22"/>
  <c r="G71" i="22" s="1"/>
  <c r="F78" i="22"/>
  <c r="G78" i="22" s="1"/>
  <c r="C63" i="22"/>
  <c r="L62" i="22"/>
  <c r="L65" i="22"/>
  <c r="L61" i="22"/>
  <c r="L78" i="22"/>
  <c r="B59" i="22"/>
  <c r="L83" i="22"/>
  <c r="L64" i="22"/>
  <c r="E68" i="22"/>
  <c r="D75" i="22"/>
  <c r="E75" i="22" s="1"/>
  <c r="L60" i="22"/>
  <c r="L72" i="22"/>
  <c r="L82" i="22"/>
  <c r="L73" i="22"/>
  <c r="C68" i="22"/>
  <c r="B75" i="22"/>
  <c r="C75" i="22" s="1"/>
  <c r="L63" i="22"/>
  <c r="L80" i="22"/>
  <c r="L87" i="22"/>
  <c r="F59" i="22"/>
  <c r="G59" i="22" s="1"/>
  <c r="F68" i="22"/>
  <c r="G68" i="22" s="1"/>
  <c r="L74" i="22"/>
  <c r="D59" i="22"/>
  <c r="E59" i="22" s="1"/>
  <c r="L59" i="22"/>
  <c r="L79" i="22"/>
  <c r="L86" i="22"/>
  <c r="L85" i="22"/>
  <c r="B37" i="22"/>
  <c r="O37" i="22" s="1"/>
  <c r="B38" i="22"/>
  <c r="O38" i="22" s="1"/>
  <c r="B39" i="22"/>
  <c r="O39" i="22" s="1"/>
  <c r="B40" i="22"/>
  <c r="O40" i="22" s="1"/>
  <c r="B41" i="22"/>
  <c r="O41" i="22" s="1"/>
  <c r="B35" i="22"/>
  <c r="B42" i="21"/>
  <c r="B43" i="21"/>
  <c r="J28" i="22"/>
  <c r="P10" i="3"/>
  <c r="O10" i="3" l="1"/>
  <c r="CO22" i="60" s="1"/>
  <c r="CP22" i="60"/>
  <c r="E35" i="22"/>
  <c r="B66" i="22" s="1"/>
  <c r="C66" i="22" s="1"/>
  <c r="O35" i="22"/>
  <c r="F175" i="37"/>
  <c r="G18" i="22"/>
  <c r="D181" i="37" s="1"/>
  <c r="Q40" i="21"/>
  <c r="S40" i="21"/>
  <c r="R40" i="21"/>
  <c r="Q42" i="21"/>
  <c r="S42" i="21"/>
  <c r="R42" i="21"/>
  <c r="Q43" i="21"/>
  <c r="S43" i="21"/>
  <c r="R43" i="21"/>
  <c r="C175" i="37"/>
  <c r="C59" i="22"/>
  <c r="D175" i="37" s="1"/>
  <c r="B41" i="21"/>
  <c r="B36" i="22"/>
  <c r="O36" i="22" s="1"/>
  <c r="K41" i="22"/>
  <c r="L84" i="22"/>
  <c r="M41" i="22"/>
  <c r="I41" i="22"/>
  <c r="E41" i="22"/>
  <c r="G41" i="22"/>
  <c r="L81" i="22"/>
  <c r="K40" i="22"/>
  <c r="E40" i="22"/>
  <c r="M40" i="22"/>
  <c r="G40" i="22"/>
  <c r="I40" i="22"/>
  <c r="I39" i="22"/>
  <c r="E39" i="22"/>
  <c r="G39" i="22"/>
  <c r="M39" i="22"/>
  <c r="L77" i="22"/>
  <c r="K39" i="22"/>
  <c r="I38" i="22"/>
  <c r="G38" i="22"/>
  <c r="L76" i="22"/>
  <c r="M38" i="22"/>
  <c r="K38" i="22"/>
  <c r="E38" i="22"/>
  <c r="M35" i="22"/>
  <c r="J66" i="22" s="1"/>
  <c r="K66" i="22" s="1"/>
  <c r="L66" i="22"/>
  <c r="K35" i="22"/>
  <c r="H66" i="22" s="1"/>
  <c r="I66" i="22" s="1"/>
  <c r="I35" i="22"/>
  <c r="F66" i="22" s="1"/>
  <c r="G35" i="22"/>
  <c r="D66" i="22" s="1"/>
  <c r="E66" i="22" s="1"/>
  <c r="K37" i="22"/>
  <c r="G37" i="22"/>
  <c r="I37" i="22"/>
  <c r="L75" i="22"/>
  <c r="E37" i="22"/>
  <c r="M37" i="22"/>
  <c r="M43" i="21"/>
  <c r="E43" i="21"/>
  <c r="I43" i="21"/>
  <c r="M40" i="21"/>
  <c r="I40" i="21"/>
  <c r="E40" i="21"/>
  <c r="I42" i="21"/>
  <c r="M42" i="21"/>
  <c r="E42" i="21"/>
  <c r="F28" i="22"/>
  <c r="F82" i="3"/>
  <c r="G76" i="3"/>
  <c r="G79" i="3" s="1"/>
  <c r="M74" i="3"/>
  <c r="K74" i="3"/>
  <c r="G66" i="22" l="1"/>
  <c r="E175" i="37"/>
  <c r="E178" i="37" s="1"/>
  <c r="E179" i="37" s="1"/>
  <c r="S41" i="21"/>
  <c r="R41" i="21"/>
  <c r="Q41" i="21"/>
  <c r="I41" i="21"/>
  <c r="M41" i="21"/>
  <c r="H33" i="21"/>
  <c r="H91" i="3" l="1"/>
  <c r="O91" i="3"/>
  <c r="N91" i="3" s="1"/>
  <c r="L95" i="3"/>
  <c r="K95" i="3" s="1"/>
  <c r="L91" i="3"/>
  <c r="K91" i="3" s="1"/>
  <c r="H95" i="3"/>
  <c r="O95" i="3"/>
  <c r="N95" i="3" s="1"/>
  <c r="L96" i="3"/>
  <c r="K96" i="3" s="1"/>
  <c r="H96" i="3"/>
  <c r="O96" i="3"/>
  <c r="H93" i="3"/>
  <c r="O94" i="3"/>
  <c r="N94" i="3" s="1"/>
  <c r="O93" i="3"/>
  <c r="N93" i="3" s="1"/>
  <c r="L93" i="3"/>
  <c r="K93" i="3" s="1"/>
  <c r="L94" i="3"/>
  <c r="K94" i="3" s="1"/>
  <c r="H97" i="3"/>
  <c r="J19" i="21"/>
  <c r="F83" i="3" s="1"/>
  <c r="K76" i="3"/>
  <c r="K79" i="3" s="1"/>
  <c r="M76" i="3"/>
  <c r="N96" i="3" l="1"/>
  <c r="H94" i="3"/>
  <c r="M79" i="3"/>
  <c r="G10" i="3" s="1"/>
  <c r="G17" i="3" s="1"/>
  <c r="J11" i="56" s="1"/>
  <c r="H116" i="56" l="1"/>
  <c r="H72" i="56"/>
  <c r="H136" i="56"/>
  <c r="H90" i="56"/>
  <c r="H93" i="56"/>
  <c r="F174" i="56" s="1"/>
  <c r="H89" i="56"/>
  <c r="H91" i="56"/>
  <c r="F172" i="56" s="1"/>
  <c r="H45" i="56"/>
  <c r="F169" i="56" s="1"/>
  <c r="DO37" i="60" s="1"/>
  <c r="GI37" i="60" s="1"/>
  <c r="H46" i="56"/>
  <c r="H81" i="56"/>
  <c r="H86" i="56"/>
  <c r="H29" i="56"/>
  <c r="F153" i="56" s="1"/>
  <c r="H38" i="56"/>
  <c r="H87" i="56"/>
  <c r="H44" i="56"/>
  <c r="H43" i="56"/>
  <c r="H32" i="56"/>
  <c r="K10" i="3"/>
  <c r="M94" i="3"/>
  <c r="M93" i="3"/>
  <c r="M97" i="3"/>
  <c r="M92" i="3"/>
  <c r="M96" i="3"/>
  <c r="M91" i="3"/>
  <c r="M95" i="3"/>
  <c r="M90" i="3"/>
  <c r="P97" i="3"/>
  <c r="J90" i="3"/>
  <c r="J93" i="3"/>
  <c r="P92" i="3"/>
  <c r="P95" i="3"/>
  <c r="P96" i="3"/>
  <c r="P91" i="3"/>
  <c r="P90" i="3"/>
  <c r="J97" i="3"/>
  <c r="J92" i="3"/>
  <c r="P93" i="3"/>
  <c r="P94" i="3"/>
  <c r="J94" i="3"/>
  <c r="J96" i="3"/>
  <c r="J95" i="3"/>
  <c r="J91" i="3"/>
  <c r="N10" i="3"/>
  <c r="Q10" i="3"/>
  <c r="B16" i="29"/>
  <c r="C16" i="29"/>
  <c r="D16" i="29"/>
  <c r="E16" i="29"/>
  <c r="F16" i="29"/>
  <c r="G16" i="29"/>
  <c r="H16" i="29"/>
  <c r="I16" i="29"/>
  <c r="J16" i="29"/>
  <c r="K16" i="29"/>
  <c r="L16" i="29"/>
  <c r="M16" i="29"/>
  <c r="N16" i="29"/>
  <c r="O16" i="29"/>
  <c r="P16" i="29"/>
  <c r="Q16" i="29"/>
  <c r="R16" i="29"/>
  <c r="S16" i="29"/>
  <c r="T16" i="29"/>
  <c r="U16" i="29"/>
  <c r="V16" i="29"/>
  <c r="W16" i="29"/>
  <c r="X16" i="29"/>
  <c r="Y16" i="29"/>
  <c r="Z16" i="29"/>
  <c r="AA16" i="29"/>
  <c r="AB16" i="29"/>
  <c r="AC16" i="29"/>
  <c r="AD16" i="29"/>
  <c r="AE16" i="29"/>
  <c r="AF16" i="29"/>
  <c r="AG16" i="29"/>
  <c r="AH16" i="29"/>
  <c r="AI16" i="29"/>
  <c r="AJ16" i="29"/>
  <c r="AK16" i="29"/>
  <c r="AL16" i="29"/>
  <c r="AM16" i="29"/>
  <c r="AN16" i="29"/>
  <c r="AO16" i="29"/>
  <c r="AP16" i="29"/>
  <c r="AQ16" i="29"/>
  <c r="AR16" i="29"/>
  <c r="AS16" i="29"/>
  <c r="AT16" i="29"/>
  <c r="AU16" i="29"/>
  <c r="AV16" i="29"/>
  <c r="AW16" i="29"/>
  <c r="AX16" i="29"/>
  <c r="AY16" i="29"/>
  <c r="AZ16" i="29"/>
  <c r="BA16" i="29"/>
  <c r="BB16" i="29"/>
  <c r="BC16" i="29"/>
  <c r="BD16" i="29"/>
  <c r="BE16" i="29"/>
  <c r="BF16" i="29"/>
  <c r="BG16" i="29"/>
  <c r="BH16" i="29"/>
  <c r="BI16" i="29"/>
  <c r="BJ16" i="29"/>
  <c r="BK16" i="29"/>
  <c r="BL16" i="29"/>
  <c r="BM16" i="29"/>
  <c r="BN16" i="29"/>
  <c r="BO16" i="29"/>
  <c r="BP16" i="29"/>
  <c r="BQ16" i="29"/>
  <c r="BR16" i="29"/>
  <c r="BS16" i="29"/>
  <c r="BT16" i="29"/>
  <c r="BU16" i="29"/>
  <c r="BV16" i="29"/>
  <c r="BW16" i="29"/>
  <c r="BX16" i="29"/>
  <c r="BY16" i="29"/>
  <c r="BZ16" i="29"/>
  <c r="CA16" i="29"/>
  <c r="CB16" i="29"/>
  <c r="CC16" i="29"/>
  <c r="CD16" i="29"/>
  <c r="CE16" i="29"/>
  <c r="CF16" i="29"/>
  <c r="CG16" i="29"/>
  <c r="CH16" i="29"/>
  <c r="C18" i="29"/>
  <c r="K18" i="29"/>
  <c r="AQ18" i="29"/>
  <c r="AY18" i="29"/>
  <c r="AZ18" i="29"/>
  <c r="B32" i="29"/>
  <c r="B18" i="29" s="1"/>
  <c r="C32" i="29"/>
  <c r="D32" i="29"/>
  <c r="D18" i="29" s="1"/>
  <c r="E32" i="29"/>
  <c r="E18" i="29" s="1"/>
  <c r="F32" i="29"/>
  <c r="F18" i="29" s="1"/>
  <c r="G32" i="29"/>
  <c r="H32" i="29"/>
  <c r="I32" i="29"/>
  <c r="I18" i="29" s="1"/>
  <c r="J32" i="29"/>
  <c r="J18" i="29" s="1"/>
  <c r="K32" i="29"/>
  <c r="L32" i="29"/>
  <c r="L18" i="29" s="1"/>
  <c r="M32" i="29"/>
  <c r="M18" i="29" s="1"/>
  <c r="N32" i="29"/>
  <c r="O32" i="29"/>
  <c r="P32" i="29"/>
  <c r="Q32" i="29"/>
  <c r="Q18" i="29" s="1"/>
  <c r="R32" i="29"/>
  <c r="S32" i="29"/>
  <c r="T32" i="29"/>
  <c r="T18" i="29" s="1"/>
  <c r="U32" i="29"/>
  <c r="V32" i="29"/>
  <c r="W32" i="29"/>
  <c r="X32" i="29"/>
  <c r="Y32" i="29"/>
  <c r="Z32" i="29"/>
  <c r="AA32" i="29"/>
  <c r="AB32" i="29"/>
  <c r="AB18" i="29" s="1"/>
  <c r="AC32" i="29"/>
  <c r="AD32" i="29"/>
  <c r="AE32" i="29"/>
  <c r="AF32" i="29"/>
  <c r="AG32" i="29"/>
  <c r="AH32" i="29"/>
  <c r="AI32" i="29"/>
  <c r="AJ32" i="29"/>
  <c r="AJ18" i="29" s="1"/>
  <c r="AK32" i="29"/>
  <c r="AL32" i="29"/>
  <c r="AM32" i="29"/>
  <c r="AN32" i="29"/>
  <c r="AO32" i="29"/>
  <c r="AP32" i="29"/>
  <c r="B33" i="29"/>
  <c r="C33" i="29"/>
  <c r="D33" i="29"/>
  <c r="E33" i="29"/>
  <c r="F33" i="29"/>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N33" i="29"/>
  <c r="AO33" i="29"/>
  <c r="AP33" i="29"/>
  <c r="B36" i="29"/>
  <c r="C36" i="29"/>
  <c r="D36" i="29"/>
  <c r="E36" i="29"/>
  <c r="F36" i="29"/>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N36" i="29"/>
  <c r="AO36" i="29"/>
  <c r="AP36" i="29"/>
  <c r="B40" i="29"/>
  <c r="C40" i="29"/>
  <c r="D40" i="29"/>
  <c r="E40" i="29"/>
  <c r="F40" i="29"/>
  <c r="G40" i="29"/>
  <c r="H40" i="29"/>
  <c r="I40" i="29"/>
  <c r="J40" i="29"/>
  <c r="K40" i="29"/>
  <c r="L40" i="29"/>
  <c r="M40" i="29"/>
  <c r="N40" i="29"/>
  <c r="O40" i="29"/>
  <c r="P40" i="29"/>
  <c r="Q40" i="29"/>
  <c r="R40" i="29"/>
  <c r="S40" i="29"/>
  <c r="T40" i="29"/>
  <c r="U40" i="29"/>
  <c r="V40" i="29"/>
  <c r="W40" i="29"/>
  <c r="X40" i="29"/>
  <c r="Y40" i="29"/>
  <c r="Z40" i="29"/>
  <c r="AA40" i="29"/>
  <c r="AB40" i="29"/>
  <c r="AC40" i="29"/>
  <c r="AD40" i="29"/>
  <c r="AE40" i="29"/>
  <c r="AF40" i="29"/>
  <c r="AG40" i="29"/>
  <c r="AH40" i="29"/>
  <c r="AI40" i="29"/>
  <c r="AJ40" i="29"/>
  <c r="AK40" i="29"/>
  <c r="AL40" i="29"/>
  <c r="AN40" i="29"/>
  <c r="AO40" i="29"/>
  <c r="AP40" i="29"/>
  <c r="B48" i="29"/>
  <c r="C48" i="29"/>
  <c r="D48" i="29"/>
  <c r="E48" i="29"/>
  <c r="F48" i="29"/>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N48" i="29"/>
  <c r="AO48" i="29"/>
  <c r="AP48" i="29"/>
  <c r="B49" i="29"/>
  <c r="C49" i="29"/>
  <c r="D49" i="29"/>
  <c r="E49" i="29"/>
  <c r="F49" i="29"/>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B60" i="29"/>
  <c r="C60" i="29"/>
  <c r="D60" i="29"/>
  <c r="E60" i="29"/>
  <c r="F60" i="29"/>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N60" i="29"/>
  <c r="AO60" i="29"/>
  <c r="AP60" i="29"/>
  <c r="B61" i="29"/>
  <c r="C61" i="29"/>
  <c r="D61" i="29"/>
  <c r="E61" i="29"/>
  <c r="F61" i="29"/>
  <c r="G61" i="29"/>
  <c r="H61" i="29"/>
  <c r="I61" i="29"/>
  <c r="J61" i="29"/>
  <c r="K61" i="29"/>
  <c r="L61" i="29"/>
  <c r="M61" i="29"/>
  <c r="N61" i="29"/>
  <c r="O61" i="29"/>
  <c r="P61" i="29"/>
  <c r="Q61" i="29"/>
  <c r="R61" i="29"/>
  <c r="S61" i="29"/>
  <c r="T61" i="29"/>
  <c r="U61" i="29"/>
  <c r="V61" i="29"/>
  <c r="W61" i="29"/>
  <c r="X61" i="29"/>
  <c r="Y61" i="29"/>
  <c r="Z61" i="29"/>
  <c r="AA61" i="29"/>
  <c r="AB61" i="29"/>
  <c r="AC61" i="29"/>
  <c r="AD61" i="29"/>
  <c r="AE61" i="29"/>
  <c r="AF61" i="29"/>
  <c r="AG61" i="29"/>
  <c r="AH61" i="29"/>
  <c r="AI61" i="29"/>
  <c r="AJ61" i="29"/>
  <c r="AK61" i="29"/>
  <c r="AL61" i="29"/>
  <c r="AN61" i="29"/>
  <c r="AO61" i="29"/>
  <c r="AP61" i="29"/>
  <c r="B65" i="29"/>
  <c r="C65" i="29"/>
  <c r="D65" i="29"/>
  <c r="E65" i="29"/>
  <c r="F65" i="29"/>
  <c r="G65" i="29"/>
  <c r="H65" i="29"/>
  <c r="I65" i="29"/>
  <c r="J65" i="29"/>
  <c r="K65" i="29"/>
  <c r="L65" i="29"/>
  <c r="M65" i="29"/>
  <c r="N65" i="29"/>
  <c r="O65" i="29"/>
  <c r="P65" i="29"/>
  <c r="Q65" i="29"/>
  <c r="R65" i="29"/>
  <c r="S65" i="29"/>
  <c r="T65" i="29"/>
  <c r="U65" i="29"/>
  <c r="V65" i="29"/>
  <c r="W65" i="29"/>
  <c r="X65" i="29"/>
  <c r="Y65" i="29"/>
  <c r="Z65" i="29"/>
  <c r="AA65" i="29"/>
  <c r="AB65" i="29"/>
  <c r="AC65" i="29"/>
  <c r="AD65" i="29"/>
  <c r="AE65" i="29"/>
  <c r="AF65" i="29"/>
  <c r="AG65" i="29"/>
  <c r="AH65" i="29"/>
  <c r="AI65" i="29"/>
  <c r="AJ65" i="29"/>
  <c r="AK65" i="29"/>
  <c r="AL65" i="29"/>
  <c r="AN65" i="29"/>
  <c r="AO65" i="29"/>
  <c r="AP65" i="29"/>
  <c r="B69" i="29"/>
  <c r="C69" i="29"/>
  <c r="D69" i="29"/>
  <c r="E69" i="29"/>
  <c r="F69" i="29"/>
  <c r="I69" i="29"/>
  <c r="J69" i="29"/>
  <c r="K69" i="29"/>
  <c r="L69" i="29"/>
  <c r="M69" i="29"/>
  <c r="T69" i="29"/>
  <c r="AB69" i="29"/>
  <c r="AJ69" i="29"/>
  <c r="AQ69" i="29"/>
  <c r="AR69" i="29"/>
  <c r="AR18" i="29" s="1"/>
  <c r="AS69" i="29"/>
  <c r="AS18" i="29" s="1"/>
  <c r="AT69" i="29"/>
  <c r="AT18" i="29" s="1"/>
  <c r="AX69" i="29"/>
  <c r="AX18" i="29" s="1"/>
  <c r="BA69" i="29"/>
  <c r="BA18" i="29" s="1"/>
  <c r="BD69" i="29"/>
  <c r="BD18" i="29" s="1"/>
  <c r="BH69" i="29"/>
  <c r="BH18" i="29" s="1"/>
  <c r="BJ69" i="29"/>
  <c r="BJ18" i="29" s="1"/>
  <c r="BP69" i="29"/>
  <c r="BP18" i="29" s="1"/>
  <c r="BR69" i="29"/>
  <c r="BR18" i="29" s="1"/>
  <c r="BX69" i="29"/>
  <c r="BX18" i="29" s="1"/>
  <c r="BZ69" i="29"/>
  <c r="BZ18" i="29" s="1"/>
  <c r="CF69" i="29"/>
  <c r="CF18" i="29" s="1"/>
  <c r="CH69" i="29"/>
  <c r="CH18" i="29" s="1"/>
  <c r="BT95" i="29"/>
  <c r="BT101" i="29"/>
  <c r="B104" i="29"/>
  <c r="C104" i="29"/>
  <c r="D104" i="29"/>
  <c r="E104" i="29"/>
  <c r="F104" i="29"/>
  <c r="G104" i="29"/>
  <c r="G69" i="29" s="1"/>
  <c r="H104" i="29"/>
  <c r="H69" i="29" s="1"/>
  <c r="I104" i="29"/>
  <c r="J104" i="29"/>
  <c r="K104" i="29"/>
  <c r="L104" i="29"/>
  <c r="M104" i="29"/>
  <c r="N104" i="29"/>
  <c r="N69" i="29" s="1"/>
  <c r="O104" i="29"/>
  <c r="O69" i="29" s="1"/>
  <c r="P104" i="29"/>
  <c r="P69" i="29" s="1"/>
  <c r="Q104" i="29"/>
  <c r="Q69" i="29" s="1"/>
  <c r="R104" i="29"/>
  <c r="R69" i="29" s="1"/>
  <c r="S104" i="29"/>
  <c r="S69" i="29" s="1"/>
  <c r="S18" i="29" s="1"/>
  <c r="T104" i="29"/>
  <c r="U104" i="29"/>
  <c r="U69" i="29" s="1"/>
  <c r="V104" i="29"/>
  <c r="V69" i="29" s="1"/>
  <c r="W104" i="29"/>
  <c r="W69" i="29" s="1"/>
  <c r="X104" i="29"/>
  <c r="X69" i="29" s="1"/>
  <c r="Y104" i="29"/>
  <c r="Y69" i="29" s="1"/>
  <c r="Z104" i="29"/>
  <c r="Z69" i="29" s="1"/>
  <c r="AA104" i="29"/>
  <c r="AA69" i="29" s="1"/>
  <c r="AA18" i="29" s="1"/>
  <c r="AB104" i="29"/>
  <c r="AC104" i="29"/>
  <c r="AC69" i="29" s="1"/>
  <c r="AD104" i="29"/>
  <c r="AD69" i="29" s="1"/>
  <c r="AE104" i="29"/>
  <c r="AE69" i="29" s="1"/>
  <c r="AF104" i="29"/>
  <c r="AF69" i="29" s="1"/>
  <c r="AG104" i="29"/>
  <c r="AG69" i="29" s="1"/>
  <c r="AH104" i="29"/>
  <c r="AH69" i="29" s="1"/>
  <c r="AI104" i="29"/>
  <c r="AI69" i="29" s="1"/>
  <c r="AI18" i="29" s="1"/>
  <c r="AJ104" i="29"/>
  <c r="AK104" i="29"/>
  <c r="AK69" i="29" s="1"/>
  <c r="AL104" i="29"/>
  <c r="AL69" i="29" s="1"/>
  <c r="AM104" i="29"/>
  <c r="AM69" i="29" s="1"/>
  <c r="AN104" i="29"/>
  <c r="AN69" i="29" s="1"/>
  <c r="AO104" i="29"/>
  <c r="AO69" i="29" s="1"/>
  <c r="AP104" i="29"/>
  <c r="AP69" i="29" s="1"/>
  <c r="AU104" i="29"/>
  <c r="AU69" i="29" s="1"/>
  <c r="AU18" i="29" s="1"/>
  <c r="AV104" i="29"/>
  <c r="AV69" i="29" s="1"/>
  <c r="AV18" i="29" s="1"/>
  <c r="AW104" i="29"/>
  <c r="AW69" i="29" s="1"/>
  <c r="AW18" i="29" s="1"/>
  <c r="AX104" i="29"/>
  <c r="BB104" i="29"/>
  <c r="BB69" i="29" s="1"/>
  <c r="BB18" i="29" s="1"/>
  <c r="BC104" i="29"/>
  <c r="BC69" i="29" s="1"/>
  <c r="BC18" i="29" s="1"/>
  <c r="BE104" i="29"/>
  <c r="BE69" i="29" s="1"/>
  <c r="BE18" i="29" s="1"/>
  <c r="BF104" i="29"/>
  <c r="BF69" i="29" s="1"/>
  <c r="BF18" i="29" s="1"/>
  <c r="BG104" i="29"/>
  <c r="BG69" i="29" s="1"/>
  <c r="BG18" i="29" s="1"/>
  <c r="BH104" i="29"/>
  <c r="BI104" i="29"/>
  <c r="BI69" i="29" s="1"/>
  <c r="BI18" i="29" s="1"/>
  <c r="BJ104" i="29"/>
  <c r="BK104" i="29"/>
  <c r="BK69" i="29" s="1"/>
  <c r="BK18" i="29" s="1"/>
  <c r="BL104" i="29"/>
  <c r="BL69" i="29" s="1"/>
  <c r="BL18" i="29" s="1"/>
  <c r="BM104" i="29"/>
  <c r="BM69" i="29" s="1"/>
  <c r="BM18" i="29" s="1"/>
  <c r="BN104" i="29"/>
  <c r="BN69" i="29" s="1"/>
  <c r="BN18" i="29" s="1"/>
  <c r="BO104" i="29"/>
  <c r="BO69" i="29" s="1"/>
  <c r="BO18" i="29" s="1"/>
  <c r="BP104" i="29"/>
  <c r="BQ104" i="29"/>
  <c r="BQ69" i="29" s="1"/>
  <c r="BQ18" i="29" s="1"/>
  <c r="BR104" i="29"/>
  <c r="BS104" i="29"/>
  <c r="BS69" i="29" s="1"/>
  <c r="BS18" i="29" s="1"/>
  <c r="BT104" i="29"/>
  <c r="BT69" i="29" s="1"/>
  <c r="BT18" i="29" s="1"/>
  <c r="BU104" i="29"/>
  <c r="BU69" i="29" s="1"/>
  <c r="BU18" i="29" s="1"/>
  <c r="BV104" i="29"/>
  <c r="BV69" i="29" s="1"/>
  <c r="BV18" i="29" s="1"/>
  <c r="BW104" i="29"/>
  <c r="BW69" i="29" s="1"/>
  <c r="BW18" i="29" s="1"/>
  <c r="BX104" i="29"/>
  <c r="BY104" i="29"/>
  <c r="BY69" i="29" s="1"/>
  <c r="BY18" i="29" s="1"/>
  <c r="BZ104" i="29"/>
  <c r="CA104" i="29"/>
  <c r="CA69" i="29" s="1"/>
  <c r="CA18" i="29" s="1"/>
  <c r="CB104" i="29"/>
  <c r="CB69" i="29" s="1"/>
  <c r="CB18" i="29" s="1"/>
  <c r="CC104" i="29"/>
  <c r="CC69" i="29" s="1"/>
  <c r="CC18" i="29" s="1"/>
  <c r="CD104" i="29"/>
  <c r="CD69" i="29" s="1"/>
  <c r="CD18" i="29" s="1"/>
  <c r="CE104" i="29"/>
  <c r="CE69" i="29" s="1"/>
  <c r="CE18" i="29" s="1"/>
  <c r="CF104" i="29"/>
  <c r="CG104" i="29"/>
  <c r="CG69" i="29" s="1"/>
  <c r="CG18" i="29" s="1"/>
  <c r="CH104" i="29"/>
  <c r="F162" i="56" l="1"/>
  <c r="DO42" i="60" s="1"/>
  <c r="GI42" i="60" s="1"/>
  <c r="F170" i="56"/>
  <c r="DO46" i="60" s="1"/>
  <c r="GI46" i="60" s="1"/>
  <c r="DO24" i="60"/>
  <c r="GI24" i="60" s="1"/>
  <c r="J8" i="61"/>
  <c r="J17" i="61" s="1"/>
  <c r="DO43" i="60"/>
  <c r="GI43" i="60" s="1"/>
  <c r="H75" i="56"/>
  <c r="F171" i="56"/>
  <c r="H74" i="56"/>
  <c r="F155" i="56" s="1"/>
  <c r="DO49" i="60" s="1"/>
  <c r="GI49" i="60" s="1"/>
  <c r="F173" i="56"/>
  <c r="H119" i="56"/>
  <c r="F156" i="56" s="1"/>
  <c r="F167" i="56"/>
  <c r="DO41" i="60" s="1"/>
  <c r="GI41" i="60" s="1"/>
  <c r="F168" i="56"/>
  <c r="DO44" i="60" s="1"/>
  <c r="GI44" i="60" s="1"/>
  <c r="F7" i="61"/>
  <c r="F17" i="61" s="1"/>
  <c r="DU20" i="60"/>
  <c r="GI20" i="60" s="1"/>
  <c r="G7" i="61"/>
  <c r="G17" i="61" s="1"/>
  <c r="DU21" i="60"/>
  <c r="GI21" i="60" s="1"/>
  <c r="H7" i="61"/>
  <c r="H17" i="61" s="1"/>
  <c r="DU22" i="60"/>
  <c r="GI22" i="60" s="1"/>
  <c r="AL18" i="29"/>
  <c r="AM18" i="29"/>
  <c r="AE18" i="29"/>
  <c r="W18" i="29"/>
  <c r="O18" i="29"/>
  <c r="G18" i="29"/>
  <c r="AC18" i="29"/>
  <c r="V18" i="29"/>
  <c r="U18" i="29"/>
  <c r="N18" i="29"/>
  <c r="AK18" i="29"/>
  <c r="AP18" i="29"/>
  <c r="AH18" i="29"/>
  <c r="Z18" i="29"/>
  <c r="R18" i="29"/>
  <c r="AD18" i="29"/>
  <c r="AO18" i="29"/>
  <c r="AG18" i="29"/>
  <c r="Y18" i="29"/>
  <c r="AN18" i="29"/>
  <c r="AF18" i="29"/>
  <c r="X18" i="29"/>
  <c r="P18" i="29"/>
  <c r="H18" i="29"/>
  <c r="M8" i="61" l="1"/>
  <c r="M17" i="61" s="1"/>
  <c r="DO50" i="60"/>
  <c r="GI50" i="60" s="1"/>
  <c r="B30" i="7"/>
  <c r="E30" i="7" s="1"/>
  <c r="I36" i="7"/>
  <c r="I31" i="7"/>
  <c r="K40" i="21"/>
  <c r="L92" i="3"/>
  <c r="K92" i="3" s="1"/>
  <c r="L97" i="3"/>
  <c r="H92" i="3"/>
  <c r="O92" i="3"/>
  <c r="N92" i="3" s="1"/>
  <c r="M11" i="3"/>
  <c r="M14" i="3"/>
  <c r="M12" i="3"/>
  <c r="M13" i="3"/>
  <c r="M15" i="3"/>
  <c r="M16" i="3"/>
  <c r="M10" i="3"/>
  <c r="J11" i="3"/>
  <c r="CV20" i="60" s="1"/>
  <c r="J14" i="3"/>
  <c r="BR20" i="60" s="1"/>
  <c r="J12" i="3"/>
  <c r="J13" i="3"/>
  <c r="J15" i="3"/>
  <c r="BX20" i="60" s="1"/>
  <c r="J16" i="3"/>
  <c r="P11" i="3"/>
  <c r="N28" i="22"/>
  <c r="N29" i="22"/>
  <c r="N30" i="22"/>
  <c r="L28" i="22"/>
  <c r="L30" i="22"/>
  <c r="J29" i="22"/>
  <c r="J30" i="22"/>
  <c r="H28" i="22"/>
  <c r="H29" i="22"/>
  <c r="H30" i="22"/>
  <c r="F29" i="22"/>
  <c r="F30" i="22"/>
  <c r="O97" i="3"/>
  <c r="N97" i="3" s="1"/>
  <c r="P15" i="3"/>
  <c r="P12" i="3"/>
  <c r="P13" i="3"/>
  <c r="P14" i="3"/>
  <c r="P16" i="3"/>
  <c r="H40" i="22"/>
  <c r="L40" i="22"/>
  <c r="K33" i="21"/>
  <c r="I41" i="7"/>
  <c r="J41" i="7" s="1"/>
  <c r="G42" i="7"/>
  <c r="H42" i="7" s="1"/>
  <c r="K28" i="7"/>
  <c r="I29" i="7"/>
  <c r="E41" i="7"/>
  <c r="F41" i="7" s="1"/>
  <c r="G41" i="7"/>
  <c r="I28" i="7"/>
  <c r="K41" i="7"/>
  <c r="L41" i="7" s="1"/>
  <c r="E42" i="7"/>
  <c r="F42" i="7" s="1"/>
  <c r="K42" i="7"/>
  <c r="K29" i="7"/>
  <c r="G29" i="7"/>
  <c r="H29" i="7" s="1"/>
  <c r="G28" i="7"/>
  <c r="H28" i="7" s="1"/>
  <c r="I42" i="7"/>
  <c r="N40" i="22"/>
  <c r="J40" i="22"/>
  <c r="L12" i="3" l="1"/>
  <c r="DA21" i="60" s="1"/>
  <c r="DB21" i="60"/>
  <c r="L16" i="3"/>
  <c r="CC21" i="60" s="1"/>
  <c r="CD21" i="60"/>
  <c r="L15" i="3"/>
  <c r="BW21" i="60" s="1"/>
  <c r="BX21" i="60"/>
  <c r="O16" i="3"/>
  <c r="CC22" i="60" s="1"/>
  <c r="CD22" i="60"/>
  <c r="L13" i="3"/>
  <c r="DG21" i="60" s="1"/>
  <c r="DH21" i="60"/>
  <c r="O14" i="3"/>
  <c r="BQ22" i="60" s="1"/>
  <c r="BR22" i="60"/>
  <c r="O13" i="3"/>
  <c r="DG22" i="60" s="1"/>
  <c r="DH22" i="60"/>
  <c r="L14" i="3"/>
  <c r="BQ21" i="60" s="1"/>
  <c r="BR21" i="60"/>
  <c r="L11" i="3"/>
  <c r="CU21" i="60" s="1"/>
  <c r="CV21" i="60"/>
  <c r="O11" i="3"/>
  <c r="CU22" i="60" s="1"/>
  <c r="CV22" i="60"/>
  <c r="I16" i="3"/>
  <c r="CC20" i="60" s="1"/>
  <c r="CD20" i="60"/>
  <c r="O15" i="3"/>
  <c r="BW22" i="60" s="1"/>
  <c r="BX22" i="60"/>
  <c r="I13" i="3"/>
  <c r="DG20" i="60" s="1"/>
  <c r="DH20" i="60"/>
  <c r="I12" i="3"/>
  <c r="DA20" i="60" s="1"/>
  <c r="DB20" i="60"/>
  <c r="O12" i="3"/>
  <c r="DA22" i="60" s="1"/>
  <c r="DB22" i="60"/>
  <c r="L10" i="3"/>
  <c r="CO21" i="60" s="1"/>
  <c r="CP21" i="60"/>
  <c r="K97" i="3"/>
  <c r="I14" i="3"/>
  <c r="D115" i="37"/>
  <c r="F115" i="37" s="1"/>
  <c r="I15" i="3"/>
  <c r="D120" i="37"/>
  <c r="F120" i="37" s="1"/>
  <c r="I11" i="3"/>
  <c r="D110" i="37"/>
  <c r="F110" i="37" s="1"/>
  <c r="J21" i="21"/>
  <c r="E148" i="37"/>
  <c r="E152" i="37" s="1"/>
  <c r="G35" i="7"/>
  <c r="H35" i="7" s="1"/>
  <c r="L42" i="7"/>
  <c r="K48" i="7"/>
  <c r="J36" i="7"/>
  <c r="I44" i="7"/>
  <c r="E36" i="7"/>
  <c r="F36" i="7" s="1"/>
  <c r="G36" i="7"/>
  <c r="H36" i="7" s="1"/>
  <c r="I33" i="7"/>
  <c r="E49" i="7"/>
  <c r="K46" i="7"/>
  <c r="K36" i="7"/>
  <c r="K49" i="7"/>
  <c r="J42" i="7"/>
  <c r="I49" i="7"/>
  <c r="J49" i="7" s="1"/>
  <c r="E44" i="7"/>
  <c r="F44" i="7" s="1"/>
  <c r="H41" i="7"/>
  <c r="E47" i="7"/>
  <c r="K47" i="7"/>
  <c r="J28" i="7"/>
  <c r="I35" i="7"/>
  <c r="J35" i="7" s="1"/>
  <c r="K33" i="7"/>
  <c r="G49" i="7"/>
  <c r="H49" i="7" s="1"/>
  <c r="G48" i="7"/>
  <c r="K43" i="7"/>
  <c r="L43" i="7" s="1"/>
  <c r="I34" i="7"/>
  <c r="J34" i="7" s="1"/>
  <c r="F34" i="40"/>
  <c r="F38" i="40"/>
  <c r="EF34" i="60" s="1"/>
  <c r="F37" i="40"/>
  <c r="EF33" i="60" s="1"/>
  <c r="N33" i="21"/>
  <c r="N35" i="21"/>
  <c r="O35" i="21"/>
  <c r="P35" i="21" s="1"/>
  <c r="N34" i="21"/>
  <c r="O34" i="21"/>
  <c r="P34" i="21" s="1"/>
  <c r="G34" i="21"/>
  <c r="H34" i="21" s="1"/>
  <c r="G35" i="21"/>
  <c r="H35" i="21" s="1"/>
  <c r="J35" i="21"/>
  <c r="K35" i="21"/>
  <c r="L35" i="21" s="1"/>
  <c r="K34" i="21"/>
  <c r="L34" i="21" s="1"/>
  <c r="I30" i="7"/>
  <c r="I43" i="7"/>
  <c r="K30" i="7"/>
  <c r="E50" i="7"/>
  <c r="F50" i="7" s="1"/>
  <c r="F29" i="7"/>
  <c r="G37" i="7"/>
  <c r="K37" i="7"/>
  <c r="L37" i="7" s="1"/>
  <c r="K50" i="7"/>
  <c r="G30" i="7"/>
  <c r="E43" i="7"/>
  <c r="F43" i="7" s="1"/>
  <c r="I37" i="7"/>
  <c r="G43" i="7"/>
  <c r="J29" i="7"/>
  <c r="E37" i="7"/>
  <c r="F37" i="7" s="1"/>
  <c r="I50" i="7"/>
  <c r="G50" i="7"/>
  <c r="J31" i="7"/>
  <c r="K34" i="7"/>
  <c r="L28" i="7"/>
  <c r="E35" i="7"/>
  <c r="E46" i="7"/>
  <c r="K31" i="7"/>
  <c r="E34" i="7"/>
  <c r="E48" i="7"/>
  <c r="K44" i="7"/>
  <c r="G47" i="7"/>
  <c r="L29" i="7"/>
  <c r="I47" i="7"/>
  <c r="G31" i="7"/>
  <c r="G34" i="7"/>
  <c r="G44" i="7"/>
  <c r="I48" i="7"/>
  <c r="G46" i="7"/>
  <c r="K35" i="7"/>
  <c r="G33" i="7"/>
  <c r="I46" i="7"/>
  <c r="J33" i="21"/>
  <c r="D148" i="37" s="1"/>
  <c r="D152" i="37" s="1"/>
  <c r="F40" i="22"/>
  <c r="H38" i="22"/>
  <c r="L41" i="22"/>
  <c r="N41" i="22"/>
  <c r="J38" i="22"/>
  <c r="F38" i="22"/>
  <c r="F41" i="22"/>
  <c r="N35" i="22"/>
  <c r="J35" i="22"/>
  <c r="N37" i="22"/>
  <c r="L29" i="22"/>
  <c r="J39" i="22"/>
  <c r="N38" i="22"/>
  <c r="O43" i="21"/>
  <c r="F35" i="21"/>
  <c r="G43" i="21"/>
  <c r="F34" i="21"/>
  <c r="L40" i="21"/>
  <c r="J40" i="21"/>
  <c r="G40" i="21"/>
  <c r="O40" i="21"/>
  <c r="J34" i="21"/>
  <c r="N90" i="3"/>
  <c r="L90" i="3"/>
  <c r="K90" i="3" s="1"/>
  <c r="C110" i="37" l="1"/>
  <c r="CU20" i="60"/>
  <c r="C115" i="37"/>
  <c r="E115" i="37" s="1"/>
  <c r="E118" i="37" s="1"/>
  <c r="E119" i="37" s="1"/>
  <c r="BQ20" i="60"/>
  <c r="C120" i="37"/>
  <c r="E120" i="37" s="1"/>
  <c r="E123" i="37" s="1"/>
  <c r="BW20" i="60"/>
  <c r="E110" i="37"/>
  <c r="E113" i="37" s="1"/>
  <c r="E114" i="37" s="1"/>
  <c r="E122" i="37"/>
  <c r="E124" i="37" s="1"/>
  <c r="E155" i="37"/>
  <c r="E156" i="37" s="1"/>
  <c r="D158" i="37"/>
  <c r="B122" i="23"/>
  <c r="B127" i="23"/>
  <c r="E32" i="7"/>
  <c r="L33" i="7"/>
  <c r="K32" i="7"/>
  <c r="K45" i="7"/>
  <c r="I45" i="7"/>
  <c r="G45" i="7"/>
  <c r="E45" i="7"/>
  <c r="I32" i="7"/>
  <c r="G32" i="7"/>
  <c r="H48" i="7"/>
  <c r="J33" i="7"/>
  <c r="L49" i="7"/>
  <c r="L47" i="7"/>
  <c r="L48" i="7"/>
  <c r="F47" i="7"/>
  <c r="F49" i="7"/>
  <c r="J44" i="7"/>
  <c r="L46" i="7"/>
  <c r="L36" i="7"/>
  <c r="F40" i="40"/>
  <c r="EF45" i="60" s="1"/>
  <c r="F39" i="40"/>
  <c r="EF39" i="60" s="1"/>
  <c r="F36" i="40"/>
  <c r="EF32" i="60" s="1"/>
  <c r="G42" i="21"/>
  <c r="H42" i="21" s="1"/>
  <c r="O42" i="21"/>
  <c r="P42" i="21" s="1"/>
  <c r="J43" i="21"/>
  <c r="K43" i="21"/>
  <c r="K42" i="21"/>
  <c r="J37" i="7"/>
  <c r="J50" i="7"/>
  <c r="H30" i="7"/>
  <c r="L50" i="7"/>
  <c r="H37" i="7"/>
  <c r="L30" i="7"/>
  <c r="F30" i="7"/>
  <c r="H50" i="7"/>
  <c r="J43" i="7"/>
  <c r="J30" i="7"/>
  <c r="H43" i="7"/>
  <c r="L35" i="7"/>
  <c r="H47" i="7"/>
  <c r="F33" i="7"/>
  <c r="F46" i="7"/>
  <c r="J46" i="7"/>
  <c r="H33" i="7"/>
  <c r="J48" i="7"/>
  <c r="F48" i="7"/>
  <c r="F35" i="7"/>
  <c r="L44" i="7"/>
  <c r="F31" i="7"/>
  <c r="H34" i="7"/>
  <c r="H44" i="7"/>
  <c r="H31" i="7"/>
  <c r="F34" i="7"/>
  <c r="L34" i="7"/>
  <c r="H46" i="7"/>
  <c r="J47" i="7"/>
  <c r="L31" i="7"/>
  <c r="L33" i="21"/>
  <c r="P33" i="21"/>
  <c r="H41" i="22"/>
  <c r="L35" i="22"/>
  <c r="J41" i="22"/>
  <c r="L38" i="22"/>
  <c r="H37" i="22"/>
  <c r="F35" i="22"/>
  <c r="H35" i="22"/>
  <c r="F42" i="21"/>
  <c r="N42" i="21"/>
  <c r="J42" i="21"/>
  <c r="F37" i="22"/>
  <c r="J37" i="22"/>
  <c r="L37" i="22"/>
  <c r="F39" i="22"/>
  <c r="H39" i="22"/>
  <c r="L39" i="22"/>
  <c r="N39" i="22"/>
  <c r="F43" i="21"/>
  <c r="H43" i="21"/>
  <c r="P43" i="21"/>
  <c r="N43" i="21"/>
  <c r="N40" i="21"/>
  <c r="F40" i="21"/>
  <c r="F41" i="21" l="1"/>
  <c r="C127" i="23"/>
  <c r="C122" i="23"/>
  <c r="C104" i="23"/>
  <c r="F45" i="7"/>
  <c r="H45" i="7"/>
  <c r="J45" i="7"/>
  <c r="J32" i="7"/>
  <c r="L45" i="7"/>
  <c r="L32" i="7"/>
  <c r="F32" i="7"/>
  <c r="H32" i="7"/>
  <c r="N41" i="21"/>
  <c r="K41" i="21"/>
  <c r="J41" i="21"/>
  <c r="O41" i="21"/>
  <c r="G41" i="21"/>
  <c r="F35" i="40"/>
  <c r="EF50" i="60" s="1"/>
  <c r="L42" i="21"/>
  <c r="L43" i="21"/>
  <c r="H40" i="21"/>
  <c r="H41" i="21" s="1"/>
  <c r="P40" i="21"/>
  <c r="P41" i="21" s="1"/>
  <c r="L41" i="21" l="1"/>
  <c r="M36" i="22"/>
  <c r="I36" i="22"/>
  <c r="K36" i="22"/>
  <c r="G36" i="22"/>
  <c r="E36" i="22"/>
  <c r="L67" i="22"/>
  <c r="J36" i="22" l="1"/>
  <c r="F67" i="22"/>
  <c r="F36" i="22"/>
  <c r="B67" i="22"/>
  <c r="H36" i="22"/>
  <c r="D67" i="22"/>
  <c r="L36" i="22"/>
  <c r="H67" i="22"/>
  <c r="I67" i="22" s="1"/>
  <c r="N36" i="22"/>
  <c r="J67" i="22"/>
  <c r="K67" i="22" s="1"/>
  <c r="E67" i="22" l="1"/>
  <c r="AN18" i="60" s="1" a="1"/>
  <c r="G67" i="22"/>
  <c r="AT18" i="60" s="1" a="1"/>
  <c r="AT18" i="60" s="1"/>
  <c r="AS18" i="60" a="1"/>
  <c r="C67" i="22"/>
  <c r="AS18" i="60" l="1"/>
  <c r="GG18" i="60" s="1"/>
  <c r="GG37" i="60"/>
  <c r="GG36" i="60"/>
  <c r="GG42" i="60"/>
  <c r="GG27" i="60"/>
  <c r="GG44" i="60"/>
  <c r="GG43" i="60"/>
  <c r="GG29" i="60"/>
  <c r="GG50" i="60"/>
  <c r="GG49" i="60"/>
  <c r="GG32" i="60"/>
  <c r="GG47" i="60"/>
  <c r="GG38" i="60"/>
  <c r="GG19" i="60"/>
  <c r="GG35" i="60"/>
  <c r="GG40" i="60"/>
  <c r="GG46" i="60"/>
  <c r="GG28" i="60"/>
  <c r="GG26" i="60"/>
  <c r="GG31" i="60"/>
  <c r="GG34" i="60"/>
  <c r="GG33" i="60"/>
  <c r="GG30" i="60"/>
  <c r="GG45" i="60"/>
  <c r="GG39" i="60"/>
  <c r="GG20" i="60"/>
  <c r="GG22" i="60"/>
  <c r="GG23" i="60"/>
  <c r="GG21" i="60"/>
  <c r="GG25" i="60"/>
  <c r="GG48" i="60"/>
  <c r="GG41" i="60"/>
  <c r="GG24" i="60"/>
  <c r="AN18" i="60"/>
  <c r="GH18" i="60" s="1"/>
  <c r="GH26" i="60"/>
  <c r="GH27" i="60"/>
  <c r="GH40" i="60"/>
  <c r="GH32" i="60"/>
  <c r="GH50" i="60"/>
  <c r="GH46" i="60"/>
  <c r="GH29" i="60"/>
  <c r="GH35" i="60"/>
  <c r="GH49" i="60"/>
  <c r="GH31" i="60"/>
  <c r="GH33" i="60"/>
  <c r="GH37" i="60"/>
  <c r="GH19" i="60"/>
  <c r="GH42" i="60"/>
  <c r="GH44" i="60"/>
  <c r="GH28" i="60"/>
  <c r="GH36" i="60"/>
  <c r="GH38" i="60"/>
  <c r="GH47" i="60"/>
  <c r="GH30" i="60"/>
  <c r="GH34" i="60"/>
  <c r="GH43" i="60"/>
  <c r="GH20" i="60"/>
  <c r="GH22" i="60"/>
  <c r="GH25" i="60"/>
  <c r="GH23" i="60"/>
  <c r="GH21" i="60"/>
  <c r="GH39" i="60"/>
  <c r="GH45" i="60"/>
  <c r="GH48" i="60"/>
  <c r="GH41" i="60"/>
  <c r="GH24" i="6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<sst xmlns="http://schemas.openxmlformats.org/spreadsheetml/2006/main" count="7695" uniqueCount="1269">
  <si>
    <t>Process Parameters</t>
  </si>
  <si>
    <t>Units</t>
  </si>
  <si>
    <t>Aluminum Melting</t>
  </si>
  <si>
    <t>DELTA: EU 019, 020, 021, 022 &amp; 027-&gt;SV013</t>
  </si>
  <si>
    <t>TEMPO: EQUI3, 4, 5, 6 &amp; 8-&gt;STRU13</t>
  </si>
  <si>
    <t>Airflow</t>
  </si>
  <si>
    <t>acfm</t>
  </si>
  <si>
    <t>Temperature</t>
  </si>
  <si>
    <t>deg F</t>
  </si>
  <si>
    <t>Outlet Pressure</t>
  </si>
  <si>
    <t>psig</t>
  </si>
  <si>
    <t>dscf/min</t>
  </si>
  <si>
    <t>Annual Operating Hours</t>
  </si>
  <si>
    <t>Hours</t>
  </si>
  <si>
    <t xml:space="preserve">Pollutant </t>
  </si>
  <si>
    <t>Unrestricted Emission Rate</t>
  </si>
  <si>
    <t>Unrestricted Emissions</t>
  </si>
  <si>
    <t>lb/hr</t>
  </si>
  <si>
    <t>tpy</t>
  </si>
  <si>
    <t>Particulate Matter</t>
  </si>
  <si>
    <t>IPER Limit - Airflow</t>
  </si>
  <si>
    <t>gr/dscf</t>
  </si>
  <si>
    <t>This Unit</t>
  </si>
  <si>
    <t>Compliant?</t>
  </si>
  <si>
    <t>IPER Emissions</t>
  </si>
  <si>
    <t xml:space="preserve">PTE </t>
  </si>
  <si>
    <t>lb/hr uncontrolled</t>
  </si>
  <si>
    <t>Brass Melting</t>
  </si>
  <si>
    <t>TEMPO: EQUI23, 12, &amp; 2-&gt;TREA 5 &amp; 3-&gt;TREA HEPA [NEW]-&gt;STRU12</t>
  </si>
  <si>
    <t>Limited
Emissions
(includes captured/controlled and uncaptured)</t>
  </si>
  <si>
    <t>Shakeout</t>
  </si>
  <si>
    <t>Limited Annual PTE Summary</t>
  </si>
  <si>
    <t>Description</t>
  </si>
  <si>
    <t>NOx</t>
  </si>
  <si>
    <t>CO</t>
  </si>
  <si>
    <t>PM</t>
  </si>
  <si>
    <t>PM10</t>
  </si>
  <si>
    <t>PM2.5</t>
  </si>
  <si>
    <t xml:space="preserve">SO2 </t>
  </si>
  <si>
    <t>VOC</t>
  </si>
  <si>
    <t>Lead</t>
  </si>
  <si>
    <t>CO2e</t>
  </si>
  <si>
    <t>Total HAPs</t>
  </si>
  <si>
    <t>GP 001</t>
  </si>
  <si>
    <t>GP 002</t>
  </si>
  <si>
    <t xml:space="preserve">GP 004 </t>
  </si>
  <si>
    <t>Sand Handling</t>
  </si>
  <si>
    <t>NA</t>
  </si>
  <si>
    <t>EU 005</t>
  </si>
  <si>
    <t>Wheelabrator Table Blast</t>
  </si>
  <si>
    <t>Goff Tumble Blast</t>
  </si>
  <si>
    <t>EU 014</t>
  </si>
  <si>
    <t>Ladle Preheater</t>
  </si>
  <si>
    <t>EU 023</t>
  </si>
  <si>
    <t>EU 034</t>
  </si>
  <si>
    <t>Pouring/Casting/Cooling</t>
  </si>
  <si>
    <t>EU 035</t>
  </si>
  <si>
    <t>Core Wash</t>
  </si>
  <si>
    <t>Total</t>
  </si>
  <si>
    <t>External Combustion Air Emissions Calculator</t>
  </si>
  <si>
    <t>Air Quality Permit Program</t>
  </si>
  <si>
    <t>Doc type: Permit Application</t>
  </si>
  <si>
    <t>aq-f13-ecs01  •  1/7/25</t>
  </si>
  <si>
    <t>EQUI ID</t>
  </si>
  <si>
    <t>Heat Input (MMBtu/hr)</t>
  </si>
  <si>
    <t>Fuel Usage (MMSCF/hr)</t>
  </si>
  <si>
    <t>Unlimited Operating Hours</t>
  </si>
  <si>
    <t>Limited Operating Hours</t>
  </si>
  <si>
    <t>Firing Type</t>
  </si>
  <si>
    <t>Small, Uncontrolled</t>
  </si>
  <si>
    <t>Pollutant</t>
  </si>
  <si>
    <t>AP-42 Emission Factor (lb/MMSCF)</t>
  </si>
  <si>
    <t>Other Emission Factor (lb/MMscf)</t>
  </si>
  <si>
    <t>Control Efficiency (%)</t>
  </si>
  <si>
    <t>Controlled 
Emission Rate 
(lb/hr)</t>
  </si>
  <si>
    <t>Unrestricted 
Emissions 
(tpy)</t>
  </si>
  <si>
    <t>Limited 
Emissions 
(tpy)</t>
  </si>
  <si>
    <t>PM &lt; 10 micron</t>
  </si>
  <si>
    <t>PM &lt; 2.5 micron</t>
  </si>
  <si>
    <t>Nitrogen Oxides</t>
  </si>
  <si>
    <t>Carbon Monoxide</t>
  </si>
  <si>
    <t>Sulfur Dioxide</t>
  </si>
  <si>
    <t>Volatile Organic Compounds</t>
  </si>
  <si>
    <t>Lead Compounds</t>
  </si>
  <si>
    <t>HAPs - Total</t>
  </si>
  <si>
    <t>Carbon Dioxide</t>
  </si>
  <si>
    <t>Methane</t>
  </si>
  <si>
    <t>Nitrous Oxide</t>
  </si>
  <si>
    <t>Carbon Dioxide Equivalent</t>
  </si>
  <si>
    <t>1,4-Dichlorobenzene (para-)</t>
  </si>
  <si>
    <t>Arsenic compounds</t>
  </si>
  <si>
    <t>Benzene</t>
  </si>
  <si>
    <t>Beryllium compounds</t>
  </si>
  <si>
    <t>Cadmium compounds</t>
  </si>
  <si>
    <t>Chromium compounds</t>
  </si>
  <si>
    <t>Cobalt compounds</t>
  </si>
  <si>
    <t>Formaldehyde</t>
  </si>
  <si>
    <t>Hexane</t>
  </si>
  <si>
    <t>Manganese compounds</t>
  </si>
  <si>
    <t>Mercury</t>
  </si>
  <si>
    <t>Naphthalene</t>
  </si>
  <si>
    <t>Nickel compounds</t>
  </si>
  <si>
    <t>Polycyclic organic matter (POM)</t>
  </si>
  <si>
    <t>Selenium compounds</t>
  </si>
  <si>
    <t>Toluene</t>
  </si>
  <si>
    <t>Other Emission Factor and/or Control Efficiency Factor Notes:</t>
  </si>
  <si>
    <t xml:space="preserve">AP-42 Section 1.4, Table 1.4-1, Footnote a: To convert from 1b/10^6 scf to lb/MMBtu, divide by 1,020. </t>
  </si>
  <si>
    <t>Notes for AP-42, Section 1.4 Calculations:</t>
  </si>
  <si>
    <t>Emission factors for CO2, CH4, and N2O are from 40 CFR Part 98, Subpart C, Table C-1 and C-2 (November 29, 2013). CO2e emissions are based</t>
  </si>
  <si>
    <t>on global warming potentials from 40 CFR Part 98, Subpart A, Table A-1 (CO2 = 1, CH4 = 25, and N2O = 298) (November 29, 2013).</t>
  </si>
  <si>
    <t>EU</t>
  </si>
  <si>
    <t>GP</t>
  </si>
  <si>
    <t>SV</t>
  </si>
  <si>
    <t>SCC</t>
  </si>
  <si>
    <t>EU004</t>
  </si>
  <si>
    <t>EU009</t>
  </si>
  <si>
    <t>EU010</t>
  </si>
  <si>
    <t>Air Set sand mixing (included in EU028, Air Set Sand Mixing/Molding)</t>
  </si>
  <si>
    <t>EU011</t>
  </si>
  <si>
    <t>Sand transport (not counted explicitly, included in other sand handling operations)</t>
  </si>
  <si>
    <t>EU012</t>
  </si>
  <si>
    <t>Receiving Station/Mold Machine 1</t>
  </si>
  <si>
    <t>30400350</t>
  </si>
  <si>
    <t>ton sand/yr</t>
  </si>
  <si>
    <t>EU013</t>
  </si>
  <si>
    <t>Receiving Station/Mold Machine 2</t>
  </si>
  <si>
    <t>EU028</t>
  </si>
  <si>
    <t>GP 005</t>
  </si>
  <si>
    <t>Air Set Sand Mixing and Molding</t>
  </si>
  <si>
    <t>EU029</t>
  </si>
  <si>
    <t>Receiving Station/Mold Machine 3</t>
  </si>
  <si>
    <t>EU030</t>
  </si>
  <si>
    <t>Receiving Station/Mold Machine 4</t>
  </si>
  <si>
    <t>EU031</t>
  </si>
  <si>
    <t>EU033</t>
  </si>
  <si>
    <t>Actual Operating Hours Per Year</t>
  </si>
  <si>
    <t>hours/yr</t>
  </si>
  <si>
    <t>Maximum Operating Hours</t>
  </si>
  <si>
    <t>Emission Factors:</t>
  </si>
  <si>
    <t>lb / ton sand</t>
  </si>
  <si>
    <t>uncontrolled</t>
  </si>
  <si>
    <t>PM10: RTI International publication submitted to US EPA, "Emission Estimation Protocol for Iron and Steel Foundries", Table 4-5,  Default PM Emission Factors for Sand Handling Operations Associated with Mold and Core Making, December 2012.</t>
  </si>
  <si>
    <t>PM2.5: RTI International publication submitted to US EPA, "Emission Estimation Protocol for Iron and Steel Foundries", Table 4-5,  Default PM Emission Factors for Sand Handling Operations Associated with Mold and Core Making, December 2012.</t>
  </si>
  <si>
    <t>Limited 
Emissions 
(tpy)*</t>
  </si>
  <si>
    <t>EU024</t>
  </si>
  <si>
    <t>EU025</t>
  </si>
  <si>
    <t>EU026</t>
  </si>
  <si>
    <t>Emission factors:</t>
  </si>
  <si>
    <t>PM: US EPA AP-42 Ch. 13 Section 13.2.4 Aggregate Handling And Storage Piles, Equation 1, November 2006</t>
  </si>
  <si>
    <t>lb /ton sand</t>
  </si>
  <si>
    <t>--&gt;</t>
  </si>
  <si>
    <t>(lb/ton material transferred)</t>
  </si>
  <si>
    <t>PM10: US EPA AP-42 Ch. 13 Section 13.2.4 Aggregate Handling And Storage Piles, Equation 1, November 2006</t>
  </si>
  <si>
    <t>where:</t>
  </si>
  <si>
    <t xml:space="preserve">E = emission factor </t>
  </si>
  <si>
    <t>PM2.5: US EPA AP-42 Ch. 13 Section 13.2.4 Aggregate Handling And Storage Piles, Equation 1, November 2006</t>
  </si>
  <si>
    <t xml:space="preserve">k = particle size multiplier (dimensionless) </t>
  </si>
  <si>
    <t xml:space="preserve">U = mean wind speed, (miles per hour [mph]) </t>
  </si>
  <si>
    <t>M = material moisture content (%)</t>
  </si>
  <si>
    <t>Particle Size Multiplier, K</t>
  </si>
  <si>
    <t>Mean Wind Speed, U
(mph)</t>
  </si>
  <si>
    <t>Moisture Content, M
(%)</t>
  </si>
  <si>
    <t>PM&lt;10</t>
  </si>
  <si>
    <t>PM&lt;2.5</t>
  </si>
  <si>
    <t>Note 1: Conveyors are enclosed (including open conveying inside building) so the lowest range of source conditions recommended for Wind Speed, 1.3 mph was used in Equation 1 to Section 13.2.4.</t>
  </si>
  <si>
    <t xml:space="preserve">Note 2: Sand mean moisture content based on footnote to US EPA AP-42 Ch. 11 Section 11.12 Concrete Batching, Table 11.12-2, Sand Transfer. </t>
  </si>
  <si>
    <t>*Limited Emission Calculation Basis</t>
  </si>
  <si>
    <t xml:space="preserve">Emission Unit no. </t>
  </si>
  <si>
    <t>Equipment</t>
  </si>
  <si>
    <t>Material</t>
  </si>
  <si>
    <t>EU005</t>
  </si>
  <si>
    <t>Core oven baking</t>
  </si>
  <si>
    <t>Sand</t>
  </si>
  <si>
    <t>tons</t>
  </si>
  <si>
    <t>EU006</t>
  </si>
  <si>
    <t>Wheelabrator Table Blast 1</t>
  </si>
  <si>
    <t>Metal</t>
  </si>
  <si>
    <t>EU007</t>
  </si>
  <si>
    <t>Wheelabrator Tumble Blast 2</t>
  </si>
  <si>
    <t>EU008</t>
  </si>
  <si>
    <t>Sand Hunter</t>
  </si>
  <si>
    <t>Sand International</t>
  </si>
  <si>
    <t>EU015</t>
  </si>
  <si>
    <t>Electric Induction Furnace 1</t>
  </si>
  <si>
    <t>EU016</t>
  </si>
  <si>
    <t>Electric Induction Furnace 2</t>
  </si>
  <si>
    <t>EU019</t>
  </si>
  <si>
    <t>Aluminum Melt furnace 1</t>
  </si>
  <si>
    <t>EU020</t>
  </si>
  <si>
    <t>Aluminum melt furnace 2</t>
  </si>
  <si>
    <t>EU021</t>
  </si>
  <si>
    <t>Aluminum Melt Furnace 3</t>
  </si>
  <si>
    <t>EU022</t>
  </si>
  <si>
    <t>Aluminum Melt Furnace 4</t>
  </si>
  <si>
    <t>EU023</t>
  </si>
  <si>
    <t>EU027</t>
  </si>
  <si>
    <t>Aluminum Melt Furnace 5</t>
  </si>
  <si>
    <t>Air Set Sand Mix/Mold</t>
  </si>
  <si>
    <t>lbs</t>
  </si>
  <si>
    <t>Sand Squeezer</t>
  </si>
  <si>
    <t>Sand Rotolift</t>
  </si>
  <si>
    <t>Isocure Total</t>
  </si>
  <si>
    <t>EU032</t>
  </si>
  <si>
    <t>Electric Induction Furnace 3</t>
  </si>
  <si>
    <t>Oil Core Molding Op</t>
  </si>
  <si>
    <t>EU034</t>
  </si>
  <si>
    <t>Brass pouring</t>
  </si>
  <si>
    <t>Aluminum pouring</t>
  </si>
  <si>
    <t>Furnaces Total Charge</t>
  </si>
  <si>
    <t>Receiving Station Actual Usages</t>
  </si>
  <si>
    <t>Ton Sand / Ton Metal Charged</t>
  </si>
  <si>
    <t>Sand/Metal</t>
  </si>
  <si>
    <t>ton/ton</t>
  </si>
  <si>
    <t>Annual Facility-wide Charge Limit (Permit)</t>
  </si>
  <si>
    <t>Receiving Station Total Capacity</t>
  </si>
  <si>
    <t>Total Facility-wide Charge Capacity</t>
  </si>
  <si>
    <t>ton metal charged/yr</t>
  </si>
  <si>
    <t>Ton Sand / Ton Metal Charged (As Permitted)</t>
  </si>
  <si>
    <t>ton sand/ton metal charged</t>
  </si>
  <si>
    <t>Aluminum Melt Furnaces</t>
  </si>
  <si>
    <t>DELTA ID</t>
  </si>
  <si>
    <t>TEMPO ID</t>
  </si>
  <si>
    <t>DESCRIPTION</t>
  </si>
  <si>
    <t>MAX DESIGN CAPACITY</t>
  </si>
  <si>
    <t>UNITS</t>
  </si>
  <si>
    <t>EQUI3</t>
  </si>
  <si>
    <t>Aluminum Melt Furnace 1</t>
  </si>
  <si>
    <t>Maximum Capacity</t>
  </si>
  <si>
    <t>ton/yr</t>
  </si>
  <si>
    <t>Maximum Heat Input</t>
  </si>
  <si>
    <t>EQUI4</t>
  </si>
  <si>
    <t>Aluminum Melt Furnace 2</t>
  </si>
  <si>
    <t>EQUI5</t>
  </si>
  <si>
    <t>EQUI6</t>
  </si>
  <si>
    <t>EQUI8</t>
  </si>
  <si>
    <t>Total Hourly Aluminum Melt/Charge Capacity</t>
  </si>
  <si>
    <t>ton/hr</t>
  </si>
  <si>
    <t>Maximum Annual Aluminum Melt/Charge Capacity</t>
  </si>
  <si>
    <t>Limited Production for Aluminum Casting [1]</t>
  </si>
  <si>
    <t>Limited PM per COMG 5 / GP001 [2]</t>
  </si>
  <si>
    <t>hr/yr</t>
  </si>
  <si>
    <t>Natural Gas Higher Heating Value</t>
  </si>
  <si>
    <t>BTU/scf</t>
  </si>
  <si>
    <t>[1] Permit 123000010-001 TFAC Permit Limit</t>
  </si>
  <si>
    <t>[2] Total PM-FIL &lt;=0.3 gr/dscf. This limit applies to each unit listed in COMG 5 / GP001, which at the stack based on maximum airflow capacity is approximately 9.5 lb/hr. Combined PTE of the 5 units is approximately 2.9 lb/hr.</t>
  </si>
  <si>
    <t>Process Emissions from Aluminum Melting</t>
  </si>
  <si>
    <t>Secondary Metal Production; Aluminum; Smelting Furnace/Crucible; 
SCC 30400102</t>
  </si>
  <si>
    <t>EU019 Aluminum Melt Furnace 1</t>
  </si>
  <si>
    <t>EU020 Aluminum Melt Furnace 2</t>
  </si>
  <si>
    <t>EU021 Aluminum Melt Furnace 3</t>
  </si>
  <si>
    <t>EU022 Aluminum Melt Furnace 4</t>
  </si>
  <si>
    <t>EU027 Aluminum Melt Furnace 5</t>
  </si>
  <si>
    <t>Total Aluminum Melt Furnaces Process Emissions</t>
  </si>
  <si>
    <t>Uncontrolled Emission Factor</t>
  </si>
  <si>
    <t>Source</t>
  </si>
  <si>
    <t>Uncontrolled
Hourly
Emissions (lb/hr)</t>
  </si>
  <si>
    <t>Uncontrolled
Annual
Emissions (ton/yr)</t>
  </si>
  <si>
    <t>Limited 
(ton/yr)</t>
  </si>
  <si>
    <t>lb/ton</t>
  </si>
  <si>
    <t>[3]</t>
  </si>
  <si>
    <t>[3, 4]</t>
  </si>
  <si>
    <t>[5]</t>
  </si>
  <si>
    <t>-</t>
  </si>
  <si>
    <t>[6]</t>
  </si>
  <si>
    <t>Total HAP</t>
  </si>
  <si>
    <t>Beryllium</t>
  </si>
  <si>
    <t>Cadmium</t>
  </si>
  <si>
    <t xml:space="preserve">Chromium </t>
  </si>
  <si>
    <t>Manganese</t>
  </si>
  <si>
    <t xml:space="preserve">Nickel </t>
  </si>
  <si>
    <t xml:space="preserve">[4] PM2.5 = PM10. </t>
  </si>
  <si>
    <t>[5] AIRS Facility Subsystem Source Classification Codes and Emission Factor Listing for Criteria Air Pollutants (EPA 450/4-90-003), March 1990. Secondary Aluminum Production, SCC 30400102, Smelting Furnace/Crucible. Emissions for CO assumed negligible based on missing emission factor.</t>
  </si>
  <si>
    <t>%</t>
  </si>
  <si>
    <t>Combined Process and Natural Gas Combustion Emissions from Aluminum Melting</t>
  </si>
  <si>
    <t>Secondary Metal Production; Aluminum; Smelting Furnace/Crucible; SCC 30400102</t>
  </si>
  <si>
    <t>Aluminum Melt Furnaces - Natural Gas</t>
  </si>
  <si>
    <t>EU019 - Aluminum Melt Furnace</t>
  </si>
  <si>
    <t>EU020 - Aluminum Melt Furnace</t>
  </si>
  <si>
    <t>Unrestriced Emission Rate (lb/hr)</t>
  </si>
  <si>
    <t>Controlled Emission Rate (lb/hr)</t>
  </si>
  <si>
    <t>Unrestricted Emissions (tpy)</t>
  </si>
  <si>
    <t>Limited Emissions (tpy)</t>
  </si>
  <si>
    <t>EU021 - Aluminum Melt Furnace</t>
  </si>
  <si>
    <t>EU022 - Aluminum Melt Furnace</t>
  </si>
  <si>
    <t>EU027 - Aluminum Melt Furnace</t>
  </si>
  <si>
    <t>Firing Options</t>
  </si>
  <si>
    <t>Large, Uncontrolled,
Pre-NSPS</t>
  </si>
  <si>
    <t>Large, Uncontrolled,
Post-NSPS</t>
  </si>
  <si>
    <t>Large, Controlled,
Low Nox</t>
  </si>
  <si>
    <t>Large, Controlled, Flue Gas Recirculation</t>
  </si>
  <si>
    <t>Small, Controlled,
Low NOx burners</t>
  </si>
  <si>
    <t>Small, Controlled, Flue Gas Recirculation</t>
  </si>
  <si>
    <t>Tangential Fired, Uncontrolled</t>
  </si>
  <si>
    <t>Tangential Fired, Controlled, Flue Gas Recirculation</t>
  </si>
  <si>
    <t>Residential, Uncontrolled</t>
  </si>
  <si>
    <t>Brass Melt Furnaces</t>
  </si>
  <si>
    <t>EQUI23</t>
  </si>
  <si>
    <t>EQUI12</t>
  </si>
  <si>
    <t>EQUI2</t>
  </si>
  <si>
    <t>Fabric Capture Efficiency [1]</t>
  </si>
  <si>
    <t>PM Fabric Filter Control Efficiency [1]</t>
  </si>
  <si>
    <t>PM10 &amp; PM2.5 Fabric Filter Control Efficiency [1]</t>
  </si>
  <si>
    <t>HEPA Filter Capture Efficiency [1]</t>
  </si>
  <si>
    <t>HEPA Filter Control Efficiency [1]</t>
  </si>
  <si>
    <t>CE003</t>
  </si>
  <si>
    <t>TREA 3</t>
  </si>
  <si>
    <t>Fabric Filter - Low Temp</t>
  </si>
  <si>
    <t>CE005</t>
  </si>
  <si>
    <t>TREA 5</t>
  </si>
  <si>
    <t>PM Overall Control Efficiency [1]</t>
  </si>
  <si>
    <t>Null</t>
  </si>
  <si>
    <t>TREA HEPA</t>
  </si>
  <si>
    <t>High Efficiency Particulate Air Filter</t>
  </si>
  <si>
    <t>PM/PM10/PM2.5 Overall Control Efficiency [1]</t>
  </si>
  <si>
    <t>Effective Combined Control [2]</t>
  </si>
  <si>
    <t>Total Hourly Brass Melt/Charge Capacity</t>
  </si>
  <si>
    <t>Maximum Annual Brass Melt/Charge Capacity</t>
  </si>
  <si>
    <t>Limited Production for Brass Casting [3]</t>
  </si>
  <si>
    <t>Limited PM per COMG 6 / GP002 [4, 5]</t>
  </si>
  <si>
    <t>[2] The HEPA add-on does not change the capture efficiency, but it does provide better control of PM10 and PM2.5. Overall control efficiency is the same for all PM with HEPA.</t>
  </si>
  <si>
    <t>[3] Permit 123000010-001 TFAC Permit Limit</t>
  </si>
  <si>
    <t xml:space="preserve">[4] Original Permit limits total PM-FIL &lt;=0.3 gr/dscf. With the addition of the HEPA, COMG 6 / GP002 permit limit is to be revised. </t>
  </si>
  <si>
    <t>[5] Permittee shall operate and maintain the fabric filters (CE003 and CE005) at all times any emission unit controlled by the fabric filters is in operation.</t>
  </si>
  <si>
    <t>Process Emissions from Brass Melting</t>
  </si>
  <si>
    <t>Secondary Metal Production; Copper; Charge with Brass and Bronze: Electric Induction; SCC 30400224</t>
  </si>
  <si>
    <t>EU015 Electric Induction Furnace 1</t>
  </si>
  <si>
    <t>EU016 Electric Induction Furnace 2</t>
  </si>
  <si>
    <t>EU032 Electric Induction Furnace 3</t>
  </si>
  <si>
    <t>Total Brass Melt Furnaces</t>
  </si>
  <si>
    <t>Controlled Hourly Emissions (lb/hr)</t>
  </si>
  <si>
    <t>Controlled Annual Emissions (ton/yr)</t>
  </si>
  <si>
    <t>Controlled &amp; Limited 
(ton/yr)</t>
  </si>
  <si>
    <t>Limited Controlled Stack Emissions
(ton/yr)</t>
  </si>
  <si>
    <t>Limited Uncaptured Emissions
(ton/yr)</t>
  </si>
  <si>
    <t>[2]</t>
  </si>
  <si>
    <t>[2], [3]</t>
  </si>
  <si>
    <t>[4]</t>
  </si>
  <si>
    <t>Nickel</t>
  </si>
  <si>
    <t>[2] US EPA AP-42 Ch. 12 Section 12.9 Secondary Copper Smelting and Alloying, Table 12.9-2 (electric induction furnace, brass and bronze); SCC 30400224</t>
  </si>
  <si>
    <t>[3] PM2.5 = PM10</t>
  </si>
  <si>
    <t>[4] AIRS Facility Subsystem Source Classification Codes and Emission Factor Listing for Criteria Air Pollutants (EPA 450/4-90-003), March 1990. Secondary Copper Production, Electric Induction, SCC 30400224, Charge w/Brass and Bronze. Emissions for NOx, CO, and VOC assumed negligible based on either missing or 0.0 emission factors.</t>
  </si>
  <si>
    <t>2024 AEIR</t>
  </si>
  <si>
    <t>2024 AEIR based on ratio of HAP-containing metal alloy melted / total brass melted. These actual percentages of lead, manganese, and nickel are lower than the highest maximum.</t>
  </si>
  <si>
    <t>Melt/Charge Capacities [1]</t>
  </si>
  <si>
    <t>Hourly
Capacity</t>
  </si>
  <si>
    <t>Annual
Capacity</t>
  </si>
  <si>
    <t>Limited
Capacity</t>
  </si>
  <si>
    <t>Aluminum Melt/Charge Capacity</t>
  </si>
  <si>
    <t>Brass Melt/Charge Capacity</t>
  </si>
  <si>
    <t>Combined Aluminum &amp; Brass Casting</t>
  </si>
  <si>
    <t>PTE Annual Hours of Operation (hr/yr)</t>
  </si>
  <si>
    <t>[1] Pouring / Casting / Cooling (EU034) capacities represent maximum and limited melt/charge capacities. This assumption results in the potential to emit calculations representing all emissions from tapping, pouring, casting, and cooling, and includes slag which is approximately 22% of total melt. No add-on control of emissions is claimed. Facility-wide throughput limit is only requirement requested.</t>
  </si>
  <si>
    <t>Uncontrolled</t>
  </si>
  <si>
    <t>Emission Factor</t>
  </si>
  <si>
    <t>Hourly Emissions (lb/hr)</t>
  </si>
  <si>
    <t>Annual Emissions (ton/yr)</t>
  </si>
  <si>
    <t>Limited Annual Emissions (ton/yr)</t>
  </si>
  <si>
    <t>[1]</t>
  </si>
  <si>
    <t>[1, 2]</t>
  </si>
  <si>
    <t>Methanol</t>
  </si>
  <si>
    <t>Phenol</t>
  </si>
  <si>
    <t xml:space="preserve">[1] In the absence of Aluminum or Brass pouring/casting emission factors in EPA AP-42 and WebFIRE sources for aluminum or brass, EPA WebFIRE SCC 30400318 and 30400320 Secondary Metal Production; Grey Iron Foundries; Pouring, Cooling, Casting emission factors were used. </t>
  </si>
  <si>
    <t>[2] Particle size distribution based on AP-42 Ch. 12 Section 12.10 Grey Iron Foundries, Table 12.10-9, pouring and cooling (SCC 30400318).</t>
  </si>
  <si>
    <t>[3] EPA WebFIRE SCC 30400114 Secondary Metal Production; Aluminum; Pouring/Casting, from AIRS Facility Subsystem Source Classification Codes and Emission Factor Listing for Criteria Air Pollutants, March 1990, EPA 450/4-90-003. Aluminum emission factors applied to total annual capacity due to absence of brass pouring/casting/cooling emission factors.</t>
  </si>
  <si>
    <t>[4] Used highest weight percent of HAP in aluminum or brass alloys, and assume same percentage of PM emissions.</t>
  </si>
  <si>
    <t>DELTA: EU014-&gt;CE003 &amp; CE005-&gt;TREA HEPA-&gt;SV012</t>
  </si>
  <si>
    <t>TEMPO: EQUI22-&gt;TREA 5 &amp; TREA 3-&gt;TREA HEPA-&gt;STRU12</t>
  </si>
  <si>
    <t>No. of Transfer Ladles/Preheaters</t>
  </si>
  <si>
    <t xml:space="preserve">[1] After melting, the molten metal is tapped from the furnace into a transfer ladle. Molten metal is held in the melting furnace until tapping. When the melting furnace acts as a holding furnace, the melting emission factors are expected to include emissions from this temporary holding process. Transfer ladles are open, but the molten metal does not remain in the ladles for long, and emissions from the ladle are expected to be small compared to tapping, metallurgical treatment, and pouring emissions, which could generally be considered, at least in part, emissions from the transfer ladle. Pouring / Casting / Cooling (EU034) are assumed to include transfer ladle emissions; however, for purposes of demonstrating Insignificant Activity classification, transfer ladle emission estimates are presented below. </t>
  </si>
  <si>
    <t>Ladle Transfer Emission 
Factor [1]</t>
  </si>
  <si>
    <t>Total Limited Annual Emissions (ton/yr)</t>
  </si>
  <si>
    <t>[3] Used highest weight percent of HAP in aluminum or brass alloys, and assume same percentage of PM emissions.</t>
  </si>
  <si>
    <t>Ladle Preheaters - Natural Gas</t>
  </si>
  <si>
    <t>EU014 - Ladle Preheaters</t>
  </si>
  <si>
    <t>EU014 controlled by CE003 and CE005, but control not accounted for in emissions calculations. AEIR reports EU014 PD001 as controlled with 85% capture and 99% control efficiency and PD002 is uncontrolled.</t>
  </si>
  <si>
    <t>EQUI7</t>
  </si>
  <si>
    <t>Limited Shakeout Capacity [1]</t>
  </si>
  <si>
    <t>Limited Shakeout [1]</t>
  </si>
  <si>
    <t>Limited Operating Hours [1]</t>
  </si>
  <si>
    <t>PM Overall Control Efficiency [2]</t>
  </si>
  <si>
    <t xml:space="preserve">[1] In the absence of Aluminum or Brass shakeout emission factors in EPA AP-42 and WebFIRE sources for aluminum or brass, EPA WebFIRE SCC 30400331 Secondary Metal Production; Grey Iron Foundries; Shakeout emission factors were used. </t>
  </si>
  <si>
    <t>[2] Particle size distribution based on AP-42 Ch. 12 Section 12.10 Grey Iron Foundries, Table 12.10-9, shakeout (SCC 30400331).</t>
  </si>
  <si>
    <t>DELTA: EU006, 007 &amp; 008-&gt;CE002-&gt;SV004</t>
  </si>
  <si>
    <t>EQUI15</t>
  </si>
  <si>
    <t>(From SI Details)</t>
  </si>
  <si>
    <t>unknown</t>
  </si>
  <si>
    <t>EQUI16</t>
  </si>
  <si>
    <t>Wheelabrator Tumble Blast</t>
  </si>
  <si>
    <t>EQUI17</t>
  </si>
  <si>
    <t xml:space="preserve">Goff Tumble Blast </t>
  </si>
  <si>
    <t>CE002</t>
  </si>
  <si>
    <t>TREA4</t>
  </si>
  <si>
    <t>ton/year</t>
  </si>
  <si>
    <t>Controlled/ Limited Annual Emissions (ton/yr)</t>
  </si>
  <si>
    <t>Cut off Circular Saw 1</t>
  </si>
  <si>
    <t>Cut off Circular Saw 2</t>
  </si>
  <si>
    <t>See Natural Gas</t>
  </si>
  <si>
    <t>lb/ gal</t>
  </si>
  <si>
    <t>Total VOC</t>
  </si>
  <si>
    <t>Density</t>
  </si>
  <si>
    <t>lb/gal</t>
  </si>
  <si>
    <t>EU005 - Core Oven</t>
  </si>
  <si>
    <t>N/A - Process Only</t>
  </si>
  <si>
    <t>Natural Gas</t>
  </si>
  <si>
    <t>MMBtu/hr</t>
  </si>
  <si>
    <t>lb/MMscf</t>
  </si>
  <si>
    <t>lb/MMBtu</t>
  </si>
  <si>
    <t>2-Methylnaphthalene</t>
  </si>
  <si>
    <t>Acenaphthene</t>
  </si>
  <si>
    <t>Acenaphthylene</t>
  </si>
  <si>
    <t>Anthracene</t>
  </si>
  <si>
    <t>Benzo(b)fluoranthene</t>
  </si>
  <si>
    <t>Benzo(k)fluoranthene</t>
  </si>
  <si>
    <t>Chrysene</t>
  </si>
  <si>
    <t>Fluoranthene</t>
  </si>
  <si>
    <t>Fluorene</t>
  </si>
  <si>
    <t>Indeno(1,2,3-cd)pyrene</t>
  </si>
  <si>
    <t>Pyrene</t>
  </si>
  <si>
    <t>Aluminum Alloy Laboratory Sampling</t>
  </si>
  <si>
    <t>Method ASTM D1976</t>
  </si>
  <si>
    <t>Results</t>
  </si>
  <si>
    <t>MAX</t>
  </si>
  <si>
    <t>(wt %)</t>
  </si>
  <si>
    <t>Analyte Name</t>
  </si>
  <si>
    <t>221221-0024-1</t>
  </si>
  <si>
    <t>221221-0024-2</t>
  </si>
  <si>
    <t>221221-0024-3</t>
  </si>
  <si>
    <t>221221-0024-4</t>
  </si>
  <si>
    <t>221221-0024-5</t>
  </si>
  <si>
    <t>Silicon</t>
  </si>
  <si>
    <t>(Si)</t>
  </si>
  <si>
    <t>(Mn)</t>
  </si>
  <si>
    <t>Chromium</t>
  </si>
  <si>
    <t>(Cr)</t>
  </si>
  <si>
    <t>&lt;0.01</t>
  </si>
  <si>
    <t>(Ni)</t>
  </si>
  <si>
    <t>Copper</t>
  </si>
  <si>
    <t>(Cu)</t>
  </si>
  <si>
    <t>Tin</t>
  </si>
  <si>
    <t>(Sn)</t>
  </si>
  <si>
    <t>(Pb)</t>
  </si>
  <si>
    <t>Iron</t>
  </si>
  <si>
    <t>(Fe)</t>
  </si>
  <si>
    <t>Aluminum</t>
  </si>
  <si>
    <t>(Al)</t>
  </si>
  <si>
    <t>Base</t>
  </si>
  <si>
    <t>Magnesium</t>
  </si>
  <si>
    <t>(Mg)</t>
  </si>
  <si>
    <t>Titanium</t>
  </si>
  <si>
    <t>(Ti)</t>
  </si>
  <si>
    <t>(Cd)</t>
  </si>
  <si>
    <t>&lt;0.001</t>
  </si>
  <si>
    <t>Boron</t>
  </si>
  <si>
    <t>(B)</t>
  </si>
  <si>
    <t>--</t>
  </si>
  <si>
    <t>(Be)</t>
  </si>
  <si>
    <t>Zinc</t>
  </si>
  <si>
    <t>(Zn)</t>
  </si>
  <si>
    <t>Emission Factors</t>
  </si>
  <si>
    <r>
      <t>AP-42, Section 1.1 Emission Factors for Bituminous and Sub-bituminous Coal</t>
    </r>
    <r>
      <rPr>
        <b/>
        <vertAlign val="superscript"/>
        <sz val="11"/>
        <color theme="1"/>
        <rFont val="Calibri"/>
        <family val="2"/>
        <scheme val="minor"/>
      </rPr>
      <t>1,2</t>
    </r>
  </si>
  <si>
    <r>
      <t>AP-42, Section 1.2 Emission Factors for Anthracite Coal</t>
    </r>
    <r>
      <rPr>
        <b/>
        <vertAlign val="superscript"/>
        <sz val="11"/>
        <color theme="1"/>
        <rFont val="Calibri"/>
        <family val="2"/>
        <scheme val="minor"/>
      </rPr>
      <t>3</t>
    </r>
  </si>
  <si>
    <t>AP-42, Section 1.3 Emission Factors for Fuel Oil</t>
  </si>
  <si>
    <t>AP-42, Section 1.4 Emission Factors for Natural Gas</t>
  </si>
  <si>
    <r>
      <t>AP-42, Section 1.5 Emission Factors for Liquid Petroleum Gas</t>
    </r>
    <r>
      <rPr>
        <b/>
        <vertAlign val="superscript"/>
        <sz val="11"/>
        <color theme="1"/>
        <rFont val="Calibri"/>
        <family val="2"/>
        <scheme val="minor"/>
      </rPr>
      <t>4</t>
    </r>
  </si>
  <si>
    <t>AP-42, Section 1.6 Emission Factors for Wood Residue</t>
  </si>
  <si>
    <t>PC, dry bottom, wall-fired, bituminous Pre-NSPS</t>
  </si>
  <si>
    <t>PC, dry bottom, wall-fired, bituminous, Pre-NSPS with low-NOx burner</t>
  </si>
  <si>
    <t>PC, dry bottom, wall-fired, bituminous NSPS</t>
  </si>
  <si>
    <t>PC, dry bottom, wall-fired, sub-bituminous
Pre-NSPS</t>
  </si>
  <si>
    <t>PC, dry bottom, wall-fired, sub-bituminous NSPS</t>
  </si>
  <si>
    <t>PC, dry bottom, cell burner fired, bituminous</t>
  </si>
  <si>
    <t>PC, dry bottom, cell burner fired, sub-bituminous</t>
  </si>
  <si>
    <t>PC, dry bottom, tangentially fired, bituminous, Pre-NSPS</t>
  </si>
  <si>
    <t>PC, dry bottom, tangentially fired, bituminous, Pre-NSPS with low-NOx burner</t>
  </si>
  <si>
    <t>PC, dry bottom, tangentially fired, bituminous, NSPS</t>
  </si>
  <si>
    <t>PC, dry bottom, tangentially fired, sub-bituminous, pre-NSPS</t>
  </si>
  <si>
    <t>PC, dry bottom, tangentially fired, sub-bituminous, NSPS</t>
  </si>
  <si>
    <t>PC, wet bottom,
wall-fired, bituminous, Pre-NSPS</t>
  </si>
  <si>
    <t>PC, wet bottom, wall-fired, bituminous, NSPS</t>
  </si>
  <si>
    <t>PC, wet bottom, wall-fired, sub-bituminous</t>
  </si>
  <si>
    <t>Cyclone Furnace, bituminous</t>
  </si>
  <si>
    <t>Cyclone Furnace, sub-bituminous</t>
  </si>
  <si>
    <t>Spreader stoker, bituminous</t>
  </si>
  <si>
    <t>Spreader stoker, bituminous, with multiple cyclones, with reinjection</t>
  </si>
  <si>
    <t>Spreader stoker, bituminous, with multiple cyclones, no reinjection</t>
  </si>
  <si>
    <t>Spreader stoker, sub-bituminous</t>
  </si>
  <si>
    <t>Spreader stoker, sub-bituminous, with multiple cyclones, with reinjection</t>
  </si>
  <si>
    <t>Spreader stoker, sub-bituminous, with multiple cyclones, no reinjection</t>
  </si>
  <si>
    <t>Overfeed stoker, bituminous</t>
  </si>
  <si>
    <t>Overfeed stoker, bituminous, with multiple cyclones</t>
  </si>
  <si>
    <t>Overfeed stoker,
sub-bituminous</t>
  </si>
  <si>
    <t>Overfeed stoker,
sub-bituminous, with multiple cyclones</t>
  </si>
  <si>
    <t>Underfeed stoker, bituminous</t>
  </si>
  <si>
    <t>Underfeed stoker, bituminous, with multiple cyclones</t>
  </si>
  <si>
    <t>Underfeed stoker, sub-bituminous</t>
  </si>
  <si>
    <t>Underfeed stoker, sub-bituminous, with multiple cyclones</t>
  </si>
  <si>
    <t>Hand-fed units, bituminous</t>
  </si>
  <si>
    <t>Hand-fed units, 
sub-bituminous</t>
  </si>
  <si>
    <t>FBC, circulating bed, bituminous</t>
  </si>
  <si>
    <t>FBC, circulating bed,
sub-bituminous</t>
  </si>
  <si>
    <t>FBC, bubbling bed, bituminous</t>
  </si>
  <si>
    <t>FBC, bubbling bed, sub-bituminous</t>
  </si>
  <si>
    <t>Stoker-fired</t>
  </si>
  <si>
    <t>FBC</t>
  </si>
  <si>
    <t>Pulverized coal</t>
  </si>
  <si>
    <t>Residential space heaters</t>
  </si>
  <si>
    <t>Large, No. 6 oil fired, normal firing</t>
  </si>
  <si>
    <t>Large, No. 6 oil fired, normal firing,
low NOx burner</t>
  </si>
  <si>
    <t>Large, No. 6 oil fired, tangential firing</t>
  </si>
  <si>
    <t>Large, No. 6 oil fired, tangential firing,
low NOx burner</t>
  </si>
  <si>
    <t>Large, No. 5 oil fired, normal firing</t>
  </si>
  <si>
    <t>Large, No. 5 oil fired, tangential firing</t>
  </si>
  <si>
    <t>Large, No. 4 oil fired, normal firing</t>
  </si>
  <si>
    <t>Large, No. 4 oil fired, tangential firing</t>
  </si>
  <si>
    <t>Large, No. 2 oil fired</t>
  </si>
  <si>
    <t>Large, No. 2 oil fired, LNB/FGR</t>
  </si>
  <si>
    <t>Small, No. 6 oil fired</t>
  </si>
  <si>
    <t>Small, No. 5 oil fired</t>
  </si>
  <si>
    <t>Small, No. 4 oil fired</t>
  </si>
  <si>
    <t>Small, Distillate oil fired</t>
  </si>
  <si>
    <t>Residential furnace</t>
  </si>
  <si>
    <t>Butane, Industrial</t>
  </si>
  <si>
    <t>Butane, Commercial</t>
  </si>
  <si>
    <t>Propane, Industrial</t>
  </si>
  <si>
    <t>Propane, Commercial</t>
  </si>
  <si>
    <t>Bark/Bark and Wet Wood, No Control</t>
  </si>
  <si>
    <t>Dry Wood, No Control</t>
  </si>
  <si>
    <t>Wet Wood, No Control</t>
  </si>
  <si>
    <t>Bark, Mechanical Collector</t>
  </si>
  <si>
    <t>Bark and Wet Wood, Mechanical Collector</t>
  </si>
  <si>
    <t>Dry Wood, Mechanical Collector</t>
  </si>
  <si>
    <t>Wet Wood, Mechanical Collector</t>
  </si>
  <si>
    <t>Bark/bark and wet wood/wet wood-fired boiler, with Electrolyzed Gravel Bed</t>
  </si>
  <si>
    <t>Dry wood-fired boilers, with Electrolyzed Gravel Bed</t>
  </si>
  <si>
    <t>Bark/bark and wet wood/wet wood-fired boiler, with Wet Scrubber</t>
  </si>
  <si>
    <t>Dry wood-fired boilers, with Wet Scrubber</t>
  </si>
  <si>
    <t>Bark/bark and wet wood/wet wood-fired boiler, with Fabric Filter</t>
  </si>
  <si>
    <t>Dry wood-fired boilers, with Fabric Filter</t>
  </si>
  <si>
    <t>Bark/bark and wet wood/wet wood-fired boiler, with Electrostatis Precipitator</t>
  </si>
  <si>
    <t>Dry wood-fired boilers, with Electrostatis Precipitator</t>
  </si>
  <si>
    <t>Parameter Code</t>
  </si>
  <si>
    <r>
      <t>lb/10</t>
    </r>
    <r>
      <rPr>
        <vertAlign val="superscript"/>
        <sz val="9"/>
        <color theme="1"/>
        <rFont val="Arial"/>
        <family val="2"/>
      </rPr>
      <t>3</t>
    </r>
    <r>
      <rPr>
        <sz val="9"/>
        <color theme="1"/>
        <rFont val="Arial"/>
        <family val="2"/>
      </rPr>
      <t xml:space="preserve"> gal</t>
    </r>
  </si>
  <si>
    <t>(lb/MMscf)</t>
  </si>
  <si>
    <t>lb/10^3</t>
  </si>
  <si>
    <t>kg/MMBtu</t>
  </si>
  <si>
    <t>HAPs</t>
  </si>
  <si>
    <t>1,1,1-Trichloroethane</t>
  </si>
  <si>
    <t>1,2-Dibromoethane (Ethylene dibromide); EDB</t>
  </si>
  <si>
    <t>1,2-Dichloroethane</t>
  </si>
  <si>
    <t>1,2-Dichloropropane</t>
  </si>
  <si>
    <t>2,4,6-Trichlorophenol</t>
  </si>
  <si>
    <t>2,4-Dinitrophenol</t>
  </si>
  <si>
    <t>2,4-Dinitrotoluene</t>
  </si>
  <si>
    <t>2-Chloroacetophenone</t>
  </si>
  <si>
    <t>Acetaldehyde</t>
  </si>
  <si>
    <t>Acetophenone</t>
  </si>
  <si>
    <t>Acrolein</t>
  </si>
  <si>
    <t>Antimony compounds</t>
  </si>
  <si>
    <t>Benzyl chloride</t>
  </si>
  <si>
    <t>Beryllium Compounds</t>
  </si>
  <si>
    <t>Bis(2-ethylhexyl) phthalate</t>
  </si>
  <si>
    <t>Bromoform</t>
  </si>
  <si>
    <t>Bromomethane (Methyl bromide)</t>
  </si>
  <si>
    <t>Carbon disulfide</t>
  </si>
  <si>
    <t>Carbon tetrachloride</t>
  </si>
  <si>
    <t>Chlorine</t>
  </si>
  <si>
    <t>Chlorobenzene (Monochlorobenzene)</t>
  </si>
  <si>
    <t>Chloroethane</t>
  </si>
  <si>
    <t>Chloroform</t>
  </si>
  <si>
    <t>Chloromethane</t>
  </si>
  <si>
    <t>Cumene (Isopropylbenzene)</t>
  </si>
  <si>
    <t>Cyanide compounds</t>
  </si>
  <si>
    <t>Dichloromethane (Methylene chloride)</t>
  </si>
  <si>
    <t>Dimethyl sulfate</t>
  </si>
  <si>
    <t>Ethylbenzene</t>
  </si>
  <si>
    <t>Hydrogen Chloride</t>
  </si>
  <si>
    <t>Hydrogen Fluoride</t>
  </si>
  <si>
    <t>Isophorone</t>
  </si>
  <si>
    <t>Methyl methacrylate</t>
  </si>
  <si>
    <t>Methylhydrazine</t>
  </si>
  <si>
    <t>Methyl-tert-butylether</t>
  </si>
  <si>
    <t>Pentachlorophenol (PCP)</t>
  </si>
  <si>
    <t>Phosphorus</t>
  </si>
  <si>
    <t>Propionaldehyde</t>
  </si>
  <si>
    <t>Styrene</t>
  </si>
  <si>
    <t>Tetrachloroethylene (Perchloroethylene)</t>
  </si>
  <si>
    <t>Vinyl acetate (Acetic acid)</t>
  </si>
  <si>
    <t>Vinyl chloride (chloroethene)</t>
  </si>
  <si>
    <t>Xylenes, Total</t>
  </si>
  <si>
    <t>POMs</t>
  </si>
  <si>
    <t>5-Methylchrysene</t>
  </si>
  <si>
    <t>7,12-Dimethylbenz[a]anthracene</t>
  </si>
  <si>
    <t>Benzo(a)anthracene</t>
  </si>
  <si>
    <t>Benzo(e)pyrene</t>
  </si>
  <si>
    <t>Benzo(ghi)perylene</t>
  </si>
  <si>
    <t>Benzo[a]pyrene</t>
  </si>
  <si>
    <t>Biphenyl</t>
  </si>
  <si>
    <t>Dibenz[a,h]anthracene</t>
  </si>
  <si>
    <t>Dioxins and Furans</t>
  </si>
  <si>
    <t>Octachlorodibenzo-p-dioxin</t>
  </si>
  <si>
    <t>PCBs (Polychlorinated biphenyls)</t>
  </si>
  <si>
    <t>Phenanthrene</t>
  </si>
  <si>
    <t>Total POM</t>
  </si>
  <si>
    <r>
      <rPr>
        <vertAlign val="superscript"/>
        <sz val="9"/>
        <color theme="1"/>
        <rFont val="Arial"/>
        <family val="2"/>
      </rPr>
      <t>1</t>
    </r>
    <r>
      <rPr>
        <sz val="9"/>
        <color theme="1"/>
        <rFont val="Arial"/>
        <family val="2"/>
      </rPr>
      <t xml:space="preserve">Uncontrolled emission factors are derived from AP-42 Section 1.1 controlled emission factors assuming an ESP with a control efficiency of 99.2%. </t>
    </r>
  </si>
  <si>
    <r>
      <rPr>
        <vertAlign val="superscript"/>
        <sz val="9"/>
        <color theme="1"/>
        <rFont val="Arial"/>
        <family val="2"/>
      </rPr>
      <t>3</t>
    </r>
    <r>
      <rPr>
        <sz val="9"/>
        <color theme="1"/>
        <rFont val="Arial"/>
        <family val="2"/>
      </rPr>
      <t>Factors from Section 1.2 used where none provided in Section 1.1.</t>
    </r>
  </si>
  <si>
    <r>
      <rPr>
        <vertAlign val="superscript"/>
        <sz val="9"/>
        <color theme="1"/>
        <rFont val="Arial"/>
        <family val="2"/>
      </rPr>
      <t>4</t>
    </r>
    <r>
      <rPr>
        <sz val="9"/>
        <color theme="1"/>
        <rFont val="Arial"/>
        <family val="2"/>
      </rPr>
      <t>HAP factors from AP-42, Section 1.4.</t>
    </r>
  </si>
  <si>
    <r>
      <rPr>
        <vertAlign val="superscript"/>
        <sz val="9"/>
        <color theme="1"/>
        <rFont val="Arial"/>
        <family val="2"/>
      </rPr>
      <t>2</t>
    </r>
    <r>
      <rPr>
        <sz val="9"/>
        <color theme="1"/>
        <rFont val="Arial"/>
        <family val="2"/>
      </rPr>
      <t>Polycyclic Organic Matter (POM) emission factor has units of lb/MMBtu for the following firing types:</t>
    </r>
  </si>
  <si>
    <t>EQUI XX</t>
  </si>
  <si>
    <t>Heat Input (MMBTU/hr)</t>
  </si>
  <si>
    <t>[6] Highest weight percent from five (5) aluminum alloy samples tested on December 29, 2022 using ASTM D1976. Assume trace metals contained at same percentage in PM emissions.</t>
  </si>
  <si>
    <t>Highest wt % in alloy</t>
  </si>
  <si>
    <t>[5] Of the alloys produced, the highest wt % of each element allowable in ASTM standard was assumed multiplied by the PM emission factor.</t>
  </si>
  <si>
    <t>Brass Alloy Summary</t>
  </si>
  <si>
    <t>2017-2024</t>
  </si>
  <si>
    <t>wt %</t>
  </si>
  <si>
    <t>ASTM</t>
  </si>
  <si>
    <t>2017-2022</t>
  </si>
  <si>
    <t>Alloy</t>
  </si>
  <si>
    <t>5 Year Avg.</t>
  </si>
  <si>
    <t>C8345</t>
  </si>
  <si>
    <t>C836</t>
  </si>
  <si>
    <t>C862</t>
  </si>
  <si>
    <t>C863</t>
  </si>
  <si>
    <t>C864</t>
  </si>
  <si>
    <t>C865</t>
  </si>
  <si>
    <t>C875</t>
  </si>
  <si>
    <t>C903</t>
  </si>
  <si>
    <t>C905</t>
  </si>
  <si>
    <t>C907</t>
  </si>
  <si>
    <t>C922</t>
  </si>
  <si>
    <t>C923</t>
  </si>
  <si>
    <t>C952</t>
  </si>
  <si>
    <t>C954</t>
  </si>
  <si>
    <t>C955</t>
  </si>
  <si>
    <t>C958</t>
  </si>
  <si>
    <t>C995</t>
  </si>
  <si>
    <t>Maximum</t>
  </si>
  <si>
    <t>Lead (Pb)</t>
  </si>
  <si>
    <t>Nickel (Ni)</t>
  </si>
  <si>
    <t>Manganese (Mn)</t>
  </si>
  <si>
    <t>VOC lb/gal:</t>
  </si>
  <si>
    <t>Total % HAP:</t>
  </si>
  <si>
    <t>HAP lb/gal:</t>
  </si>
  <si>
    <t>EPA/MN Pollutant Type</t>
  </si>
  <si>
    <t>CAS</t>
  </si>
  <si>
    <t>67-63-0</t>
  </si>
  <si>
    <t>51-76-6</t>
  </si>
  <si>
    <t>64-17-5</t>
  </si>
  <si>
    <t xml:space="preserve">Maximum Organic HAP Components in Material </t>
  </si>
  <si>
    <t>67-56-1</t>
  </si>
  <si>
    <t xml:space="preserve">Maximum Particulate HAP Components in Material </t>
  </si>
  <si>
    <t>Arsenic</t>
  </si>
  <si>
    <t>744-38-2</t>
  </si>
  <si>
    <t>7440-43-9</t>
  </si>
  <si>
    <t>7439-92-1</t>
  </si>
  <si>
    <t>7439-97-6</t>
  </si>
  <si>
    <t>7440-02-0</t>
  </si>
  <si>
    <t>108-95-2</t>
  </si>
  <si>
    <t>91-20-3</t>
  </si>
  <si>
    <t xml:space="preserve"> 101-68-8</t>
  </si>
  <si>
    <t>9016-87-9</t>
  </si>
  <si>
    <t>MN Air Toxic</t>
  </si>
  <si>
    <t>64742-89-8
64742-94-5</t>
  </si>
  <si>
    <t>Polymethylene polyphenylene isocyanate (PPI)</t>
  </si>
  <si>
    <t>Methylene diphenyl diisocyanate (MDI)</t>
  </si>
  <si>
    <t>26447-40-5</t>
  </si>
  <si>
    <t>Kerosene</t>
  </si>
  <si>
    <t>2,2'-methylenediphenyl diisocyanate</t>
  </si>
  <si>
    <t>2536-05-2</t>
  </si>
  <si>
    <t>Heptane</t>
  </si>
  <si>
    <t>Maximum VOC Components in Material
(Not a HAP)</t>
  </si>
  <si>
    <t xml:space="preserve">Isopropanol (Isopropyl Alcohol, IPA) </t>
  </si>
  <si>
    <t>Solvent Naphtha</t>
  </si>
  <si>
    <t>108-88-3</t>
  </si>
  <si>
    <t>Octane</t>
  </si>
  <si>
    <t>111-65-9</t>
  </si>
  <si>
    <t>Cure Oven EU005</t>
  </si>
  <si>
    <r>
      <t>PM</t>
    </r>
    <r>
      <rPr>
        <b/>
        <vertAlign val="subscript"/>
        <sz val="10"/>
        <rFont val="Aptos Narrow"/>
        <family val="2"/>
      </rPr>
      <t>10</t>
    </r>
  </si>
  <si>
    <r>
      <t>PM</t>
    </r>
    <r>
      <rPr>
        <b/>
        <vertAlign val="subscript"/>
        <sz val="10"/>
        <rFont val="Aptos Narrow"/>
        <family val="2"/>
      </rPr>
      <t>2.5</t>
    </r>
  </si>
  <si>
    <r>
      <t>E = k * (0.0032) * [ (U/5 )</t>
    </r>
    <r>
      <rPr>
        <vertAlign val="superscript"/>
        <sz val="10"/>
        <color theme="1"/>
        <rFont val="Aptos Narrow"/>
        <family val="2"/>
      </rPr>
      <t>1.3</t>
    </r>
    <r>
      <rPr>
        <sz val="10"/>
        <color theme="1"/>
        <rFont val="Aptos Narrow"/>
        <family val="2"/>
      </rPr>
      <t xml:space="preserve"> / (M/2)</t>
    </r>
    <r>
      <rPr>
        <vertAlign val="superscript"/>
        <sz val="10"/>
        <color theme="1"/>
        <rFont val="Aptos Narrow"/>
        <family val="2"/>
      </rPr>
      <t>1.4</t>
    </r>
    <r>
      <rPr>
        <sz val="10"/>
        <color theme="1"/>
        <rFont val="Aptos Narrow"/>
        <family val="2"/>
      </rPr>
      <t xml:space="preserve"> ]</t>
    </r>
  </si>
  <si>
    <t>[4] All organic HAPs from the core/mold binders and catalysts are assumed to be emitted at EU 034 (pouring/casting/cooling).</t>
  </si>
  <si>
    <t xml:space="preserve">[1] Control is based on the Fabric Filter, CE002. </t>
  </si>
  <si>
    <t>Total Hourly Shot Blast Capacity (limited by upstream melt/charge capacity)</t>
  </si>
  <si>
    <t>Limited Production [2]</t>
  </si>
  <si>
    <t>[2] Permit 123000010-001 TFAC Permit Limit</t>
  </si>
  <si>
    <t>lb/hr controlled</t>
  </si>
  <si>
    <t>Shotblast</t>
  </si>
  <si>
    <t>Fabric Capture Efficiency [2]</t>
  </si>
  <si>
    <t>PM Fabric Filter Control Efficiency [2]</t>
  </si>
  <si>
    <t>PM10 &amp; PM2.5 Fabric Filter Control Efficiency [2]</t>
  </si>
  <si>
    <t>IA</t>
  </si>
  <si>
    <t>TEMPO: EQUI 15, 16 &amp; 17-&gt;TREA4-&gt;STRU4</t>
  </si>
  <si>
    <t>[3] Permittee shall operate and maintain the fabric filter (CE002) at all times any emission unit controlled by the fabric filters is in operation.</t>
  </si>
  <si>
    <t>Limited PM per COMG 1 / GP003 [3, 4]</t>
  </si>
  <si>
    <t>PM10/PM2.5 Fabric Filter Control Efficiency [1]</t>
  </si>
  <si>
    <t>PM10/PM2.5 Overall Control Efficiency [1]</t>
  </si>
  <si>
    <t>[1], [2]</t>
  </si>
  <si>
    <t>[1] In the absence of Aluminum or Brass shotblast cleaning emission factors in EPA AP-42 and WebFIRE sources for aluminum or brass, EPA WebFIRE SCC 30400340 Secondary Metal Production; Grey Iron Foundries; Grinding/Cleaning emission factors were used. This is consistent with US EPA AP-42 Ch. 12 Section 12.10 Grey Iron Foundries, Table 12.10-7 Cleaning, Finishing.</t>
  </si>
  <si>
    <t>[3] Used highest weight percent of HAP in aluminum or brass alloys, and assumed same percentage contained in PM emissions.</t>
  </si>
  <si>
    <t>[4] Used highest weight percent of HAP in aluminum or brass alloys, and assumed same percentage contained in PM emissions.</t>
  </si>
  <si>
    <t xml:space="preserve">[1] In the absence of Aluminum or Brass finishing emission factors in EPA AP-42 and WebFIRE sources for aluminum or brass, EPA WebFIRE SCC 30400360 Secondary Metal Production; Grey Iron Foundries; Casting Finishing emission factors were used. </t>
  </si>
  <si>
    <t>[2] PM2.5 = PM10</t>
  </si>
  <si>
    <t xml:space="preserve">[5] CE 002 Fabric Filter control efficiencies updated to CE Rule 7011.0070; Hood: Certified. </t>
  </si>
  <si>
    <t>Formerly EU002</t>
  </si>
  <si>
    <t>Formerly EU003</t>
  </si>
  <si>
    <t>Cut-off Band Saw 1</t>
  </si>
  <si>
    <t>Cut-off Band Saw 2</t>
  </si>
  <si>
    <t>Cut-off Band Saw 3</t>
  </si>
  <si>
    <t xml:space="preserve">Cut-off Circular Saw 1 </t>
  </si>
  <si>
    <t>Cut-off Circular Saw 2</t>
  </si>
  <si>
    <t>↓↓↓</t>
  </si>
  <si>
    <t>Belt Grinder Station 1 (2 grinders per station)</t>
  </si>
  <si>
    <t>Belt Grinder Station 2 (2 grinders per station)</t>
  </si>
  <si>
    <t>Belt Grinder Station 3 (2 grinders per station)</t>
  </si>
  <si>
    <t>Belt Grinder Station 1</t>
  </si>
  <si>
    <t>Belt Grinder Station 2</t>
  </si>
  <si>
    <t>Belt Grinder Station 3</t>
  </si>
  <si>
    <t>Vented to CE001/TREA1</t>
  </si>
  <si>
    <t>(Electric Induction)</t>
  </si>
  <si>
    <t>Limited
Emissions
(includes captured/
controlled and uncaptured)</t>
  </si>
  <si>
    <t>Ladle Preheaters</t>
  </si>
  <si>
    <t>Pouring/Casting</t>
  </si>
  <si>
    <t>Total PM to SV012/STRU12</t>
  </si>
  <si>
    <t xml:space="preserve">Stack PTE </t>
  </si>
  <si>
    <t>Controlled Emission Rate
(includes captured/
controlled and uncaptured)</t>
  </si>
  <si>
    <t>TEMPO</t>
  </si>
  <si>
    <t xml:space="preserve">[2] Permit 123000010-001 TFAC Permit Limit. </t>
  </si>
  <si>
    <t>Worst-case scenario assumes all castings processed at each station for purposes of demonstrating insignificant activities emissions thresholds not exceeded. No control claimed. No Limited Annual Production used.</t>
  </si>
  <si>
    <t>Shakeout, Green Sand</t>
  </si>
  <si>
    <t>Shakeout, Silica Sand</t>
  </si>
  <si>
    <t xml:space="preserve"> </t>
  </si>
  <si>
    <t>from EU012, EU013, EU029, and EU030</t>
  </si>
  <si>
    <t>from EQUI18, EQUI19, EQUI20, EQUI21</t>
  </si>
  <si>
    <t>[2] Control is based on the Fabric Filter, Hood Not Certified.</t>
  </si>
  <si>
    <t>PM10/2.5 Overall Control Efficiency [2]</t>
  </si>
  <si>
    <t>SV012/STRU12</t>
  </si>
  <si>
    <t>SV013/STRU13</t>
  </si>
  <si>
    <t>SV002/STRU2</t>
  </si>
  <si>
    <t>SV004/STRU4</t>
  </si>
  <si>
    <t>EU006, 007 &amp; 008 (EQUI 15, 16, 17)</t>
  </si>
  <si>
    <t>Combined Shotblast Emissions</t>
  </si>
  <si>
    <t>IA - Finishing Activities</t>
  </si>
  <si>
    <t>Combined Process and Natural Gas Combustion Emissions from Core Oven</t>
  </si>
  <si>
    <t>Limited Production [1]</t>
  </si>
  <si>
    <t>Core Wash
Refcohol 4555</t>
  </si>
  <si>
    <t>DELTA</t>
  </si>
  <si>
    <t>DELTA: EU0005 (Oven) &amp; EU0035 (Core Wash) -&gt; SV003</t>
  </si>
  <si>
    <t>TEMPO: EQUI14 (Oven) &amp; EQUI1 (Core Wash) -&gt; STRU3</t>
  </si>
  <si>
    <t>Core Oven - Core Wash Emissions</t>
  </si>
  <si>
    <t>Wash Density (14.9 lb/gal) * Total VOC in Wash (36.5%) * Factor of Safety</t>
  </si>
  <si>
    <t>Controlled/ Limited Annual Emissions
(ton/yr)</t>
  </si>
  <si>
    <t>gallons</t>
  </si>
  <si>
    <t>EU035</t>
  </si>
  <si>
    <t>Core Oven (Natural Gas-Fired)</t>
  </si>
  <si>
    <t>Wash Usage</t>
  </si>
  <si>
    <t>Total Pouring</t>
  </si>
  <si>
    <t>Brass Pouring</t>
  </si>
  <si>
    <t>Aluminum Pouring</t>
  </si>
  <si>
    <t>2023 Actual</t>
  </si>
  <si>
    <t>2024 Actual</t>
  </si>
  <si>
    <t xml:space="preserve">[3] Core wash usage based on actual gallons per ton metal poured, with a factor of safety of 200% (i.e. actual doubled). </t>
  </si>
  <si>
    <t>gallons wash</t>
  </si>
  <si>
    <t>tons metal poured</t>
  </si>
  <si>
    <t>total tons metal poured</t>
  </si>
  <si>
    <t>tons wash</t>
  </si>
  <si>
    <t>Actual gallons core wash used with 200% factor of safety</t>
  </si>
  <si>
    <t>Actual tons core wash used with 200% factor of safety</t>
  </si>
  <si>
    <t>Ratio of gallons of core wash to tons metal poured with factor of safety</t>
  </si>
  <si>
    <t>Using 2023 Data:</t>
  </si>
  <si>
    <t>gal wash/ton metal poured, rounded up to thousandth</t>
  </si>
  <si>
    <t>ton wash/ton metal poured, rounded up to thousandth</t>
  </si>
  <si>
    <t>[2] EU005 Core Oven is used to cure cores that have been dip coated with the core wash, Mold Lite 4428. The dipping activity is identified as EU0035 Core Wash. It is assumed that 100% of the VOC content from the Mold Lite 4428 evaporates in EU005 core oven. A factor of safety of 25% has been applied to the calculated emission factor calculations, and the calculated values were then rounded up to the nearest tenth.</t>
  </si>
  <si>
    <t>*0.0019 ton wash / ton metal used in previous permit potential to emit.</t>
  </si>
  <si>
    <t>The recalculation is consistent with historical calculations.</t>
  </si>
  <si>
    <t>[2], [3], [4]</t>
  </si>
  <si>
    <t>VOC Hourly Emissions Calculation (lb/hr) =</t>
  </si>
  <si>
    <t>VOC Emission Factor Calculation (lb/gal) =</t>
  </si>
  <si>
    <t>6.8 lb/gal * 0.384 gal wash/ton metal poured * 3.8 ton metal charged/hr</t>
  </si>
  <si>
    <t>Upstream melt/charge capacity</t>
  </si>
  <si>
    <t>Maximum Annual Melt/Charge Capacity</t>
  </si>
  <si>
    <t>VOC EF (lb/gal) * Ratio of Core Wash to Metal (gal wash/ton metal poured) * 
Upstream Melt/Charge Capacity (ton metal/hr)</t>
  </si>
  <si>
    <t>Additive</t>
  </si>
  <si>
    <t>Additive Part 1</t>
  </si>
  <si>
    <t>Additive Part 2</t>
  </si>
  <si>
    <t>Additive Part 3</t>
  </si>
  <si>
    <t>Wash</t>
  </si>
  <si>
    <t>Ethanol</t>
  </si>
  <si>
    <t>Dimethyl glutarate</t>
  </si>
  <si>
    <t>1119-40-0</t>
  </si>
  <si>
    <t>2022 Actual</t>
  </si>
  <si>
    <t>2023 Core Wash/Metal Poured Ratio for Potential to Emit:</t>
  </si>
  <si>
    <t>[3] MPCA default speciation profile in AEIR uses 0.8913 lb/lb PM10 from “S/L/T Speciate Profile”. For the purpose of estimating maximum emissions for permitting purposes, it is assumed PM2.5 = PM10.</t>
  </si>
  <si>
    <t>(sum of Receiving Station/Mold Machine 1 thru 4 maximum throughput)</t>
  </si>
  <si>
    <t>(maximum metal charged at 3.8 ton/hr * 8760 hr/yr)</t>
  </si>
  <si>
    <t>Core Making</t>
  </si>
  <si>
    <t>Annual Facility-wide GP 004 Sand Limit (Implied)</t>
  </si>
  <si>
    <t>GP 003</t>
  </si>
  <si>
    <t>Core Oven</t>
  </si>
  <si>
    <t>Transfer Ladle Activities (Material Transfer)</t>
  </si>
  <si>
    <t>DELTA: EU034-&gt;SV012</t>
  </si>
  <si>
    <t>TEMPO: EQUI13-&gt;STRU12</t>
  </si>
  <si>
    <t>Sand Hunter (Receiving Station/Mold Machine 1)</t>
  </si>
  <si>
    <t>Sand International (Receiving Station/Mold Machine 2)</t>
  </si>
  <si>
    <t>Sand Squeezer (Receiving Station/Mold Machine 3)</t>
  </si>
  <si>
    <t>Sand Rotolift (Receiving Station/Mold Machine 4)</t>
  </si>
  <si>
    <t>DELTA: EU023-&gt;CE004-&gt;SV Null</t>
  </si>
  <si>
    <t>TEMPO: EQUI7-&gt;TREA2-&gt;STRU15</t>
  </si>
  <si>
    <t>Shakeout, Green Sand [3]</t>
  </si>
  <si>
    <t>PM Capture Efficiency [2]</t>
  </si>
  <si>
    <t>PM Control Efficiency [2]</t>
  </si>
  <si>
    <t>CE004</t>
  </si>
  <si>
    <t>TREA 2</t>
  </si>
  <si>
    <t>Medium Efficiency Centrifugal Collector (cyclone)</t>
  </si>
  <si>
    <t>Max Throughput</t>
  </si>
  <si>
    <t>SV008</t>
  </si>
  <si>
    <t>SV009</t>
  </si>
  <si>
    <t>SV010</t>
  </si>
  <si>
    <t>SV011</t>
  </si>
  <si>
    <t>Receiving Station/Mold Machine 1 - Green Sand</t>
  </si>
  <si>
    <t>Receiving Station/Mold Machine 2 - Green Sand</t>
  </si>
  <si>
    <t>Receiving Station/Mold Machine 3 - Green Sand</t>
  </si>
  <si>
    <t>Receiving Station/Mold Machine 4 - Green Sand</t>
  </si>
  <si>
    <t>Air Set Sand Mixing and Molding - Silica Sand</t>
  </si>
  <si>
    <t>Isocure core machine - Silica Sand</t>
  </si>
  <si>
    <t>Oil core molding operation - Silica Sand</t>
  </si>
  <si>
    <t>Notes:</t>
  </si>
  <si>
    <t>IA - Sand Silos</t>
  </si>
  <si>
    <t>Shell Core Super Sacks (includes additives)</t>
  </si>
  <si>
    <t>SV014</t>
  </si>
  <si>
    <t>SV005</t>
  </si>
  <si>
    <t>Internal/SV007</t>
  </si>
  <si>
    <t>Unrestricted 
Emission Rate 
(lb/hr)</t>
  </si>
  <si>
    <t>Oil Core Super Sacks (includes additives)</t>
  </si>
  <si>
    <t>Unrestricted Emission Rate (lb/hr)</t>
  </si>
  <si>
    <t xml:space="preserve">[1] Control is based on the Fabric Filters, CE003 and CE005 in parallel, further controlled by TREA HEAP [NEW]. This control equipment controls the brass melt furnaces and the ladle preheater (EQUI22/EU014). </t>
  </si>
  <si>
    <t>[1] Original Permit 123000010-001 in 2007 assumed all charge poured in Green Sand molds. Implied sand handling limit revised to include sand handling from Green Sand units: EU012, EU013, EU029, EU030; as well as Silica Sand units: EU028, EU031, and EU033.</t>
  </si>
  <si>
    <t>Notes</t>
  </si>
  <si>
    <t>2007 Revised</t>
  </si>
  <si>
    <t>[2] Original Permit 123000010-001  COMG 4 / GP 004 Implied Sand Limit Basis in 2007:</t>
  </si>
  <si>
    <t>Note: Variables in actual ton sand/ton metal charged are observed over time. See actual calculations above. Variation due to maximum sand throughput not to scale with maximum charge.</t>
  </si>
  <si>
    <t>Implied Limit [1]</t>
  </si>
  <si>
    <t>Process Emissions from Transfer Ladle Activities</t>
  </si>
  <si>
    <t>[1] In the absence of "transfer ladle" emission factors in EPA AP-42 and WebFIRE sources for aluminum or brass, EPA WebFIRE SCC 30400317 Secondary Metal Production; Grey Iron Foundries; Pouring Ladle emission factors were used. Web Fire factors are from EPA Emission Factor Documentation for AP-42, Section 12.5.1, April 2009. Ladle Preheaters are calculated separately and are also insignificant.</t>
  </si>
  <si>
    <t>PM: US EPA AP-42 Ch. 12 Section 12.10 Grey Iron Foundries, Table 12.10-7 Sand Handling, January 1995 (consistent with US EPA Web fire SCC 30400350)</t>
  </si>
  <si>
    <t>Note: Previous PM10 emission factor relied on: US EPA Web fire SCC 30400350 - Industrial Processes; Secondary Metal Production; Grey Iron Foundries; Sand Grinding/Handling, as obtained from AIRS Facility Subsystem Source Classification Codes and Emission Factor Listing for Criteria Air Pollutants, March 1990, EPA 450/4-90-003. This reference is not appropriate because the PM emission factor is reported as 0.65 lb / ton sand. The ratio of PM10/PM is 0.83 based on the information provided for SCC 30400350 in EPA 450/4-90-003.</t>
  </si>
  <si>
    <t>[3] US EPA AP-42 Ch. 12 Section 12.8 Secondary Aluminum Operations, Table 12.8-2 (crucible furnace smelting) and EPA Web fire SCC 30400102 (Appendix C.2. of Compilation of Air Pollutant Emission Factors, Volume 1: Stationary Point and Area Sources, Fourth Edition)</t>
  </si>
  <si>
    <t>[2] US EPA Web fire SCC 30400340 Secondary Metal Production; Grey Iron Foundries, Grinding/Cleaning for PM10 and PM2.5 emission factor.</t>
  </si>
  <si>
    <t xml:space="preserve">The Finishing Activities are Insignificant Activities Required to be Listed Per Minn. R. 7007.1300, subp. 3(F)(2): Individual emissions units at a stationary source, each of which have a potential to emit less than 2,000 pounds per year each of particulate matter and particulate matter less than ten microns. Although all of these units except for Cut-off Circular Saw 3 are controlled, no control is claimed. CE001 / TREA1 control in TEMPO should be updated to be consistent with CE Rule 7011.0070; Hood: Not Certified. </t>
  </si>
  <si>
    <t>[1] The particulate matter emission factors historically used in the Annual Emissions Inventory Report (AEIR) were obtained from the EPA WebFIRE SCC 30400351 Secondary Metal Production; Grey Iron Foundries; Core Ovens. The Web Fire emission factors in lb/ton sand handled are not included in AP-42, Section 12.10. The Web Fire factors are reported to be from "other EPA documents, State data, or other miscellaneous sources", and no other information is provided to establish the emission factors presented are similar to the facility's operations. Further, the AP-42, Section 12.10 emission factor for "core making, baking" is reported as SCC 30400319. The footnote associated with the AP-42 emission factor is based on the reference: Written communication from Dean Packard, Department Of Natural Resources, Madison, WI, to Douglas Seeley, Alliance Technology, Bedford, MA, April 15, 1982. This April 15, 1982 written communication was not available and it is unclear what percentage of emissions should be associated with either core making or core baking. The facility has estimated particulate matter emissions from core and mold making at the various stations, and therefore, it is assumed all particulate matter emissions are assumed to already be accounted for and applying the Web Fire emission factor for EU005 or EU035 would effectively double count emissions. Therefore, no particulate matter emissions are calculated for these sources except for those emissions associated with natural gas combustion.</t>
  </si>
  <si>
    <t>[3] EU028, EU031, and EU033 are part of GP 005 in Permit 123000010-001. GP 005 does not appear in Permit 123000010-001 as a group of units with common requirements. It is used only for purposes of reporting HAP emissions from sand molding. It is allowable to report HAP emissions as a group because the facility is not a major source of HAPs. The facility proposes to continue the same permit organization. For purposes of estimating limited sand handling emissions, an implied limit based on reduced operating hours is proposed. Actual throughput is well below the proposed implied limit. See Limited Emission Calculation Basis below.</t>
  </si>
  <si>
    <t>metal poured</t>
  </si>
  <si>
    <t>EQUI24 (NEW)</t>
  </si>
  <si>
    <t>COMG 1</t>
  </si>
  <si>
    <t>COMG 5</t>
  </si>
  <si>
    <t>COMG 6</t>
  </si>
  <si>
    <t>COMG 4</t>
  </si>
  <si>
    <t>[4] EU028, EU031, and EU033 are sand handling units that are proposed to be included in GP004/COMG4, Sand Handling.</t>
  </si>
  <si>
    <t>Isocure Core Machine</t>
  </si>
  <si>
    <t>Oil Core Molding Operation</t>
  </si>
  <si>
    <t>COMG 2</t>
  </si>
  <si>
    <t>See EQUI7</t>
  </si>
  <si>
    <t>EQUI 14</t>
  </si>
  <si>
    <t>EQUI 22</t>
  </si>
  <si>
    <t>EQUI 7</t>
  </si>
  <si>
    <t>EQUI 24</t>
  </si>
  <si>
    <t>EQUI 13</t>
  </si>
  <si>
    <t>EQUI 1</t>
  </si>
  <si>
    <t>DELTA: EU Null -&gt; SV007</t>
  </si>
  <si>
    <t>Oil Core Oven - Natural Gas</t>
  </si>
  <si>
    <t xml:space="preserve">[3] Shakeout, Green Sand recovers sand processed at: EU012, EU013, EU029, and EU030 (EQUI18, EQUI19, EQUI20, and EQUI21, respectively). </t>
  </si>
  <si>
    <t>DELTA: EU Null-&gt;CE Null-&gt;SV007</t>
  </si>
  <si>
    <t xml:space="preserve">IA - Space Heater - Natural Gas </t>
  </si>
  <si>
    <t>Note 1: Unit formerly EU017.  Insignificant Activities Required to be Listed Per Minn. R. 7007.1300, subp. 3(A): Fuel use: space heaters fueled by kerosene, natural gas, or propane, but only if the combined total heat input capacity of all space heaters at the stationary source is less than or equal to 420,000 Btu per hour.</t>
  </si>
  <si>
    <t>IA - Space Heater</t>
  </si>
  <si>
    <t>Captured Emissions:</t>
  </si>
  <si>
    <t>Uncaptured Emissions:</t>
  </si>
  <si>
    <t>DELTA: EU023-&gt;SV002</t>
  </si>
  <si>
    <t>TEMPO: EQUI7-&gt;STRU2</t>
  </si>
  <si>
    <t>Uncaptured and Captured Emissions:</t>
  </si>
  <si>
    <t>Limited* Emission Rate</t>
  </si>
  <si>
    <t>Limited*
Emissions</t>
  </si>
  <si>
    <t>There is a pickup hood for Molding Machine 1 turn-table pouring station that vents to brass melting control system, also uncontrolled two pallet car-line pouring stations, plus a slag station. The previous permit did not discuss the slag cooling station. Impurities from the melting process are drawn off as slag. The slag tapping and cooling activities are a part of the Pouring/Casting/Cooling (EU034) total potential to emit calculations. No control is claimed for pouring/casting/cooling activities.</t>
  </si>
  <si>
    <t>Note: No add-on control for these emission units, only operational limitation.</t>
  </si>
  <si>
    <t>Transfer Ladles</t>
  </si>
  <si>
    <t>The previous permit included Ladle Preheater (EQUI22/EU014) with limits and other requirements, and did not discuss ladle transfer activities. The Ladle Transfer Activities are Insignificant Activities Required to be Listed Per Minn. R. 7007.1300, subp. 3(F)(2): Individual emissions units at a stationary source, each of which have a potential to emit less than 2,000 pounds per year each of particulate matter and particulate matter less than ten microns. No control is claimed for Ladle Preheater emissions in the Annual Emissions Inventory Report (AEIR); therefore, the facility requests the Ladle Preheater permit requirements be removed.</t>
  </si>
  <si>
    <t>Note: Multiple units exhaust through the General Building Vent SV012/STRU12. The units included in the summary emission rates are listed independently and then summed for comparison to the IPER Rule. No control or limited operations are applied to the insignificant activity: transfer ladles. Previous permit did not include Pouring/Casting in IPER calculations for SV012/STRU12.</t>
  </si>
  <si>
    <t>Null/STRU15</t>
  </si>
  <si>
    <t>General Building Vent for Uncaptured Shakeout, Green Sand</t>
  </si>
  <si>
    <t>Limited
Emissions
(includes uncaptured only)</t>
  </si>
  <si>
    <t>Limited
Emissions
(includes captured/ controlled only)</t>
  </si>
  <si>
    <t>Emission Rate (includes uncaptured only)</t>
  </si>
  <si>
    <t>General Building Ventilation near Airset (Overhead Door Opening)</t>
  </si>
  <si>
    <t>SV007/STRU7</t>
  </si>
  <si>
    <t>Sand Handling (DELTA IDs)</t>
  </si>
  <si>
    <t>IPER Compliance (Minn. R. 7011.0735 TABLE 2)</t>
  </si>
  <si>
    <t>lb/hr based on IPER Minn. R. 7011.0735 Limit</t>
  </si>
  <si>
    <t>IPER Compliance (Minn. R. 7011.0730 TABLE 1)</t>
  </si>
  <si>
    <t>GP004/COMG4</t>
  </si>
  <si>
    <t>EU012/EQUI18-&gt;SV008/STRU8</t>
  </si>
  <si>
    <t>EU013/EQUI19-&gt;SV009/STRU9</t>
  </si>
  <si>
    <t>EU029/EQUI20-&gt;SV010/STRU10</t>
  </si>
  <si>
    <t>EU030/EQUI21-&gt;SV011/STRU11</t>
  </si>
  <si>
    <t>EU028/EQUI9-&gt;Internal/SV007/STRU7</t>
  </si>
  <si>
    <t>EU031/EQUI10-&gt;SV014/STRU14</t>
  </si>
  <si>
    <t>EU033/EQUI11-&gt;SV005/STRU5</t>
  </si>
  <si>
    <t>Controlled 
Emission Rate</t>
  </si>
  <si>
    <t>Process Weight Rate</t>
  </si>
  <si>
    <t>IPER Limit - Process Weight Emission Rate</t>
  </si>
  <si>
    <t>Unrestricted Emission Rate
(max single unit)</t>
  </si>
  <si>
    <t>Unrestricted Emissions
(max single unit)</t>
  </si>
  <si>
    <t>Single Unit</t>
  </si>
  <si>
    <t>SV008 thru SV011
STRU8 thru STRU11</t>
  </si>
  <si>
    <t>Internal/SV007/STRU7</t>
  </si>
  <si>
    <t>Limited
Emissions
(uncontrolled, unrestricted max single unit 
scaled by ratio of 
limited ton/yr / unrestricted ton/yr)</t>
  </si>
  <si>
    <t>Limited 
Emission Rate
(uncontrolled, unrestricted max single unit 
scaled by ratio of 
limited ton/yr / unrestricted ton/yr</t>
  </si>
  <si>
    <t>SV014/STRU14 or 
SV005/STRU5</t>
  </si>
  <si>
    <t>General Notes:</t>
  </si>
  <si>
    <t>SV003/STRU3</t>
  </si>
  <si>
    <t>Core Oven (Includes Core Wash)</t>
  </si>
  <si>
    <t>1. SV001/STRU1 is the ducted exhaust for Insignificant Activity - Finishing Activities, which includes cutoff and grinding.</t>
  </si>
  <si>
    <t xml:space="preserve">2. SV006/STRU6 no longer exists. </t>
  </si>
  <si>
    <t>3. All Sand Handling related exhaust points evaluated for IPER Compliance  under Minn. R. 7011.0730 TABLE 1.</t>
  </si>
  <si>
    <t>Total PM to SV07/STRU7</t>
  </si>
  <si>
    <t>EU028/EQUI9-&gt;SV007/STRU7</t>
  </si>
  <si>
    <t>Shakeout Wet Collector (CE004/TREA2) for Shakeout, Green Sand</t>
  </si>
  <si>
    <t>[5] Total PM-FIL &lt;=0.3 gr/dscf. This limit applies to each unit listed in COMG1 / GP003, which at the stack based on maximum airflow capacity is approximately 1.7 lb/hr. Combined PTE of the 3 units is approximately 0.646 lb/hr.</t>
  </si>
  <si>
    <t>Green Sand Muller (not counted explicitly, included in receiving station/mold machines)</t>
  </si>
  <si>
    <t>Core Muller (not counted explicitly, included in core molding machine emissions)</t>
  </si>
  <si>
    <t>[2] Green Sand mixing has capture points that hook up to  Rotoclone "Wet" Dust Collector (CE004/TREA2) including some in shakeout, after shakeout (slot exhaust), and during sand preparation (green sand Muller, transporters). Rotoclone "Wet" Dust Collector control is only claimed for Shakeout, Green Sand (EU023/EQUI7).</t>
  </si>
  <si>
    <t>Tinker Omega Model LL12 and Rotary Drum near Airset EU10/28</t>
  </si>
  <si>
    <t>lb/ton metal charged</t>
  </si>
  <si>
    <t>EQUI27</t>
  </si>
  <si>
    <t>Note 1: Represents shell core machine's natural gas burners.</t>
  </si>
  <si>
    <t>Note 2: Shell Core machine process emissions insignificant activity as discussed with sand handling emission calculations.</t>
  </si>
  <si>
    <t>EQUI26</t>
  </si>
  <si>
    <t>EQUI25</t>
  </si>
  <si>
    <t>DELTA: EU019, 020, 021, 022 &amp; 027-&gt;SV013</t>
  </si>
  <si>
    <t>GP004 [1], [2]</t>
  </si>
  <si>
    <t>GP005 [3], [4]</t>
  </si>
  <si>
    <t>GP004</t>
  </si>
  <si>
    <t>DELTA: EU015, 016 &amp; 032-&gt;CE003 &amp; CE005-&gt;TREA HEPA [NEW]-&gt;SV012</t>
  </si>
  <si>
    <t>Per Ladle Uncontrolled Hourly Emissions (lb/hr)</t>
  </si>
  <si>
    <t>Per Ladle Uncontrolled Annual Emissions (ton/yr)</t>
  </si>
  <si>
    <t>TREA6</t>
  </si>
  <si>
    <t>TEMPO: EQUI24-&gt;TREA6-&gt;STRU7</t>
  </si>
  <si>
    <t>Knockout, Silica Sand</t>
  </si>
  <si>
    <t>Knockout, Silica Sand [4]</t>
  </si>
  <si>
    <t>[4] Knockout, Silica Sand recovers sand processed at: EU028, EU031, and EU033 (EQUI9, EQUI10 and EQUI11, respectively).</t>
  </si>
  <si>
    <t>[1] For permitting purposes, implied limit of 9,474 tons sand from Permit 123000010-001 has been revised. See Limited Emission Calculation Basis below. GP004 should include both Green Sand and Silica Sand handling units.</t>
  </si>
  <si>
    <t>DELTA: EU005 (Oven) &amp; EU035 (Core Wash) -&gt; SV003</t>
  </si>
  <si>
    <t>EQUI14</t>
  </si>
  <si>
    <t>EQUI1</t>
  </si>
  <si>
    <t>% wt</t>
  </si>
  <si>
    <t>Maximum % HAPs in binder system (see SDS Summary)</t>
  </si>
  <si>
    <t>Binder System</t>
  </si>
  <si>
    <t>PEP SET MAGNA I
1215HR BINDER
Part 1</t>
  </si>
  <si>
    <t>PEP SET MAGNA II
2205C BINDER
Part 2</t>
  </si>
  <si>
    <t>9003-35-4</t>
  </si>
  <si>
    <t>Phenol Formaldehyde Resin</t>
  </si>
  <si>
    <t>% Free Formaldehyde</t>
  </si>
  <si>
    <t>% Free Phenol</t>
  </si>
  <si>
    <t>50-00-0</t>
  </si>
  <si>
    <t>SDS or Technical Data Sheet (TDS) maximum concentration in %weight:</t>
  </si>
  <si>
    <t xml:space="preserve">See TDS </t>
  </si>
  <si>
    <t>627-93-0</t>
  </si>
  <si>
    <t>106-65-0</t>
  </si>
  <si>
    <t>Dimethyl adipate</t>
  </si>
  <si>
    <t>Dimethyl succinate</t>
  </si>
  <si>
    <t>Not a VOC</t>
  </si>
  <si>
    <t>2057-49-0</t>
  </si>
  <si>
    <t>Phenyl-4 propyl pyridine</t>
  </si>
  <si>
    <t>4,4'-Methylenediphenyl diisocyanate</t>
  </si>
  <si>
    <t>2025 Actual</t>
  </si>
  <si>
    <t>HAPs in Binder System</t>
  </si>
  <si>
    <t>ton/yr unknown</t>
  </si>
  <si>
    <t>ton/yr metal</t>
  </si>
  <si>
    <t>ton/hr metal</t>
  </si>
  <si>
    <t>Reclaim Silica Sand Silo for Overflow</t>
  </si>
  <si>
    <t>Reclaim Silica Sand Silo (cannot exceed new silica sand in EU025)</t>
  </si>
  <si>
    <t>Silica sand silo (Air Set)</t>
  </si>
  <si>
    <t>Air Set Super Sacks (Alternate to sand from Air Aet silo, includes additives)</t>
  </si>
  <si>
    <t>Isocure Specialty Sand Sacks (Alternate to sand from Air Set silo, includes additives)</t>
  </si>
  <si>
    <t>Olivine sand silo (on roof)</t>
  </si>
  <si>
    <t>TEMPO: IA - Null -&gt; STRU7</t>
  </si>
  <si>
    <t>IA - Shell Core Machine w/Heater, Large</t>
  </si>
  <si>
    <t>IA - Shell Core Machine w/Heater, Small 1</t>
  </si>
  <si>
    <t>IA - Shell Core Machine w/Heater, Small 2</t>
  </si>
  <si>
    <t>Sand Handling (Including Mold &amp; Core Making Particulate Emissions)</t>
  </si>
  <si>
    <t>DELTA: EU028-&gt;SV007</t>
  </si>
  <si>
    <t>TEMPO: EQUI9-&gt;STRU7</t>
  </si>
  <si>
    <t>DELTA: EU031-&gt;SV014</t>
  </si>
  <si>
    <t>TEMPO: EQUI10-&gt;STRU14</t>
  </si>
  <si>
    <t>DELTA: EU033-&gt;SV005</t>
  </si>
  <si>
    <t>TEMPO: EQUI11-&gt;STRU5</t>
  </si>
  <si>
    <t>GP 005 / COMG 2 Silica Sand Core Making</t>
  </si>
  <si>
    <t>Techniset F6000 UNB Part 1</t>
  </si>
  <si>
    <t>Techniset 6478 UNB Part 2</t>
  </si>
  <si>
    <t>4206 Techniset Activator 6750</t>
  </si>
  <si>
    <t>Total % VOC (100% - %Nonvolatile):</t>
  </si>
  <si>
    <t>PEP SET 
3503 CATALYST
Part 3</t>
  </si>
  <si>
    <t>VOC as Reported in HA Group Technical Report for PUNB F6000/6478/6750, November 17, 2025</t>
  </si>
  <si>
    <t>1.19 lb VOC/ton No Bake Sand</t>
  </si>
  <si>
    <r>
      <t>Density (g/cm</t>
    </r>
    <r>
      <rPr>
        <vertAlign val="superscript"/>
        <sz val="10"/>
        <color theme="1"/>
        <rFont val="Aptos Narrow"/>
        <family val="2"/>
      </rPr>
      <t>3</t>
    </r>
    <r>
      <rPr>
        <sz val="10"/>
        <color theme="1"/>
        <rFont val="Aptos Narrow"/>
        <family val="2"/>
      </rPr>
      <t>):</t>
    </r>
  </si>
  <si>
    <t>Density (lb/gal):</t>
  </si>
  <si>
    <t>Shell Sand</t>
  </si>
  <si>
    <t>Ammonia, Total Shell Sand</t>
  </si>
  <si>
    <t>7664-41-7</t>
  </si>
  <si>
    <t>75-07-0</t>
  </si>
  <si>
    <t>71-43-2</t>
  </si>
  <si>
    <t>Cresols, Mixed</t>
  </si>
  <si>
    <t>1319-77-3</t>
  </si>
  <si>
    <t>Xylenes, Mixed</t>
  </si>
  <si>
    <t>1330-20-7</t>
  </si>
  <si>
    <t>Polymethylene polyphenyl polyisocyanate, polymeric MDI; MPCA MN Toxics</t>
  </si>
  <si>
    <t>% weight</t>
  </si>
  <si>
    <t>Core Wash 
Mold Lite 4428 
AP-80</t>
  </si>
  <si>
    <t>ton/hr sand</t>
  </si>
  <si>
    <t>ton/yr sand</t>
  </si>
  <si>
    <t>IA - Shell core machines</t>
  </si>
  <si>
    <t>Descritpion</t>
  </si>
  <si>
    <t xml:space="preserve">The facility currently uses a three-component binder system and the main binder system. This binder system is an ASK Chemical’s phenolic urethane no-bake binder. Based on the technical discussion in Permit #123000010-001, "GP005 does not appear in the permit as a group of units with common requirements. It is used only for purposes of reporting HAP emissions from sand molding. It is allowable to report HAP emissions as a group because the facility is not a major source of HAPs." </t>
  </si>
  <si>
    <t>lb/ton sand</t>
  </si>
  <si>
    <t>EQUI9</t>
  </si>
  <si>
    <t>EQUI10</t>
  </si>
  <si>
    <t>EQUI11</t>
  </si>
  <si>
    <t>EU001 Boiler out of service, removed from service 2020.</t>
  </si>
  <si>
    <t xml:space="preserve">EU029 Sand Squeezer (Receiver Station/Mold Machine 3) onsite but not used. </t>
  </si>
  <si>
    <t xml:space="preserve">EU033 Oil Core Molding onsite but not used. </t>
  </si>
  <si>
    <t>Fluorides</t>
  </si>
  <si>
    <t>Sulfuric acid Mist</t>
  </si>
  <si>
    <t>H2S</t>
  </si>
  <si>
    <t>Total reduced sulfur including H2S</t>
  </si>
  <si>
    <t>Total reduced sulfur compounds including H2S</t>
  </si>
  <si>
    <t>MWC organics</t>
  </si>
  <si>
    <t>MWC acid gas</t>
  </si>
  <si>
    <t>MSW landfill gas</t>
  </si>
  <si>
    <t>TOTAL</t>
  </si>
  <si>
    <t>EQUI 24 [3]</t>
  </si>
  <si>
    <t xml:space="preserve">[1] Permit 123000010-001 TFAC Permit Limit 1 effectively limits all subsequent process equipment after melting. </t>
  </si>
  <si>
    <t>Table 1a [1]</t>
  </si>
  <si>
    <t>Uncontrolled
Annual
Emissions
(tpy)</t>
  </si>
  <si>
    <t>[3] Permit 123000010-001 TFAC Permit Limit results in implied limit for Shakeout. Because the facility does not currently track Green Sand and Silica Sand Shakeout/Knockout throughputs, it is assumed shakeout/knockout can be operated at TFAC limit, at either shakeout/knockout station. To prevent double counting of emissions, the calculations presented for Shakeout, Green Sand emissions are used as a maximum for both Green Sand and Silica Sand Shakeout/Knockout in the applications potential to emit calculations. EQUI 24 Knockout, Silica Sand is shown above.</t>
  </si>
  <si>
    <t>[1] Permit 123000010-001 TFAC Permit Limit results in implied limit for Shakeout. Because the facility does not currently track Green Sand and Silica Sand shakeout/knockout throughputs, it is assumed shakeout/knockout can be operated at full limit, at either shakeout/knockout station. To prevent double counting of emissions, the calculations presented for EQUI 7 Shakeout, Green Sand emissions are used as a maximum for both Green Sand and Silica Sand shakeout/knockout.</t>
  </si>
  <si>
    <t>[2] Uncontrolled annual emissions from Brass Melting do not change from the existing permit as these are permitted, existing sources. Controlled and limited emissions from Brass Melting based on Permit 123000010-001 TFAC Permit Limit. Total combined emissions / 3 units limited by TFAC melt limit.</t>
  </si>
  <si>
    <t>PHYSICAL CHANGE</t>
  </si>
  <si>
    <t>EQUI 7 [2]</t>
  </si>
  <si>
    <t>EQUI 16 [3]</t>
  </si>
  <si>
    <t>EQUI 22 [3]</t>
  </si>
  <si>
    <t>EQUI 15 [3]</t>
  </si>
  <si>
    <t>NO CHANGE IN Uncontrolled
Annual
Emissions
(tpy)</t>
  </si>
  <si>
    <t>CE RULE 7011.0070 UPDATE</t>
  </si>
  <si>
    <t>Table 1a - Continued</t>
  </si>
  <si>
    <t>EQUI 23 [2]</t>
  </si>
  <si>
    <t>EQUI 2 [2]</t>
  </si>
  <si>
    <t>EQUI 12 [2]</t>
  </si>
  <si>
    <t>EQUI 17 [3]</t>
  </si>
  <si>
    <t>[2] Permit application proposes to update PM, PM10, and PM2.5 from overall control efficiency from 48% to 51% based on the 057-Wet Cyclone Separator. CE Rule 7011.0070; Hood: Not Certified</t>
  </si>
  <si>
    <t>[3] EQUI 22 is the Ladle Preheater activity. Permit application proposes to remove control claim due to activity consisting of only natural gas combustion emissions. Uncontrolled IA-Transfer Ladle activities emissions are not included due to insignificant activities designation.</t>
  </si>
  <si>
    <r>
      <t>Note: Assumes minimum ventilation rate based on equation: Q</t>
    </r>
    <r>
      <rPr>
        <vertAlign val="subscript"/>
        <sz val="10"/>
        <color theme="1"/>
        <rFont val="Aptos Narrow"/>
        <family val="2"/>
      </rPr>
      <t>cfm</t>
    </r>
    <r>
      <rPr>
        <sz val="10"/>
        <color theme="1"/>
        <rFont val="Aptos Narrow"/>
        <family val="2"/>
      </rPr>
      <t xml:space="preserve"> = V x A x 60, where velocity is 1 ft/s and area is the door opening in sq. ft. </t>
    </r>
  </si>
  <si>
    <t>DELTA: EU 015, 016 &amp; 032-&gt;CE003 &amp; CE005-&gt;TREA 7 HEPA-&gt;SV012</t>
  </si>
  <si>
    <t>TEMPO: EQUI23, 12, &amp; 2-&gt;TREA 5 &amp; 3-&gt;TREA 7 HEPA-&gt;STRU12</t>
  </si>
  <si>
    <t>Brass Melting, Pouring/Cooling</t>
  </si>
  <si>
    <t>SV012 also includes EU014 and EU034</t>
  </si>
  <si>
    <t>STRU12 also includes EQUI22 and EQUI13</t>
  </si>
  <si>
    <t>Shell Core Machines</t>
  </si>
  <si>
    <t>Controlled Emission Rate for Knockout
(includes captured/
controlled and uncaptured); Uncontrolled Emission Rates for Others</t>
  </si>
  <si>
    <t>Limited
Emissions (for Knockout includes captured/
controlled and uncaptured; for Others includes uncontrolled)</t>
  </si>
  <si>
    <t>Null/EQUI24-&gt;Null/TREA6-&gt;SV007/STRU7</t>
  </si>
  <si>
    <t>IA-Shell Core Machines-&gt;SV007/STRU7</t>
  </si>
  <si>
    <t>Shell Core Machines w/Heaters</t>
  </si>
  <si>
    <t>Note: Permit 12300001-001 included the following statement, "Given available emission factors and what is known about the process, it cannot be readily shown whether the expected emissions will be in compliance with the applicable limit. However, the units do not exhaust directly to the atmosphere. Emissions are released directly to the indoor air of the facility." Although this statement is partially correct, as not all sand handling emissions are exhausted through corresponding equipment stacks, the sand receiving stations/mold machines do have designated exterior vents. The sand handling emissions are released throughout the interior of the facility, including through passive building vents and sand receiving stations/mold machines vents. Following the MPCA IPER Fact Sheet aq4-06, Industrial Process Equipment Rule (Minn. R. 7011.0700 - 7011.0735), the facility proposes to use the Process Weight Rate in lieu of Process Source Gas Airflow emission limits since the Fact Sheet indicates the "less stringent limit is the limit with which you must comply".</t>
  </si>
  <si>
    <t>[4] Permit application proposes to update control based on CE Rule 7011.0070; Hood: Certified</t>
  </si>
  <si>
    <t>[2] Permit application proposes to update control efficiency to 51%. Control is based on the Rotoclone "Wet" Dust Collector, assumed 057-Wet Cyclone Separator. CE Rule 7011.0070; Hood: Not Certified.</t>
  </si>
  <si>
    <t>GI-07 Spreadsheet</t>
  </si>
  <si>
    <t>Facility Emissions Summary</t>
  </si>
  <si>
    <t>Doc Type:  Permit Application</t>
  </si>
  <si>
    <t>1a) AQ Facility ID number:</t>
  </si>
  <si>
    <t>1b)  Agency Interest ID number:</t>
  </si>
  <si>
    <t>2) Facility name:</t>
  </si>
  <si>
    <t xml:space="preserve">Follow the instructions to complete this spreadsheet. This spreadsheet can be copied into a tab for your emissions spreadsheet and must be submitted on a CD with your application. If you need to provide emissions information for more emissions units, add more sets of columns (3a through 3f) to the right as needed in the Emissions by Source table. If you need to provide information for more pollutants, add rows as needed. </t>
  </si>
  <si>
    <t>Emissions by Source Table</t>
  </si>
  <si>
    <t>Note 1: tons per year facility-wide limited sum includes unrestricted tons for those sources with no limit.</t>
  </si>
  <si>
    <r>
      <rPr>
        <b/>
        <sz val="9"/>
        <rFont val="Arial"/>
        <family val="2"/>
      </rPr>
      <t>3a)</t>
    </r>
    <r>
      <rPr>
        <sz val="9"/>
        <rFont val="Arial"/>
        <family val="2"/>
      </rPr>
      <t xml:space="preserve"> Tempo SI ID number:</t>
    </r>
  </si>
  <si>
    <r>
      <rPr>
        <b/>
        <sz val="9"/>
        <rFont val="Arial"/>
        <family val="2"/>
      </rPr>
      <t>3b)</t>
    </r>
    <r>
      <rPr>
        <sz val="9"/>
        <rFont val="Arial"/>
        <family val="2"/>
      </rPr>
      <t xml:space="preserve"> Delta ID No.:</t>
    </r>
  </si>
  <si>
    <t>3c)</t>
  </si>
  <si>
    <t>3d)</t>
  </si>
  <si>
    <r>
      <rPr>
        <b/>
        <sz val="9"/>
        <rFont val="Arial"/>
        <family val="2"/>
      </rPr>
      <t>3e)</t>
    </r>
    <r>
      <rPr>
        <sz val="9"/>
        <rFont val="Arial"/>
        <family val="2"/>
      </rPr>
      <t xml:space="preserve"> Potential</t>
    </r>
  </si>
  <si>
    <t>3f)</t>
  </si>
  <si>
    <t>Pollutant Name</t>
  </si>
  <si>
    <t>CAS #</t>
  </si>
  <si>
    <t>Pounds (lbs) per 
hour</t>
  </si>
  <si>
    <t>tons per year un-restricted</t>
  </si>
  <si>
    <t xml:space="preserve">tons per year 
limited </t>
  </si>
  <si>
    <t>Actual tons per year</t>
  </si>
  <si>
    <t>tons per year
limited*</t>
  </si>
  <si>
    <t>630-08-0</t>
  </si>
  <si>
    <t>SO2</t>
  </si>
  <si>
    <t>7446-09-5</t>
  </si>
  <si>
    <t xml:space="preserve">LEAD </t>
  </si>
  <si>
    <t>CO2</t>
  </si>
  <si>
    <t>124-38-9</t>
  </si>
  <si>
    <t>CH4</t>
  </si>
  <si>
    <t>74-82-8</t>
  </si>
  <si>
    <t>N2O</t>
  </si>
  <si>
    <t>10024-97-2</t>
  </si>
  <si>
    <t>7440-38-2</t>
  </si>
  <si>
    <t xml:space="preserve">Benzene </t>
  </si>
  <si>
    <t xml:space="preserve">Beryllium </t>
  </si>
  <si>
    <t>7440-41-7</t>
  </si>
  <si>
    <t>7440-47-3</t>
  </si>
  <si>
    <t>7440-48-4</t>
  </si>
  <si>
    <t>Dichlorobenzene</t>
  </si>
  <si>
    <t>106-46-7</t>
  </si>
  <si>
    <t xml:space="preserve">Formaldehyde </t>
  </si>
  <si>
    <t>110-54-3</t>
  </si>
  <si>
    <t>7439-96-5</t>
  </si>
  <si>
    <t xml:space="preserve">Naphthalene </t>
  </si>
  <si>
    <t>Selenium</t>
  </si>
  <si>
    <t>7782-49-2</t>
  </si>
  <si>
    <t xml:space="preserve">Toluene </t>
  </si>
  <si>
    <t>Total POMs</t>
  </si>
  <si>
    <t>St. Paul Brass &amp; Aluminum Foundry</t>
  </si>
  <si>
    <t>EQUI 13 Pouring/casting/cooling</t>
  </si>
  <si>
    <t>EU 034 Pouring/casting/cooling</t>
  </si>
  <si>
    <t xml:space="preserve">Arsenic </t>
  </si>
  <si>
    <t xml:space="preserve">Cadmium </t>
  </si>
  <si>
    <t xml:space="preserve">Cobalt </t>
  </si>
  <si>
    <t>COMG 6 Brass Melting (EQUI 2, 12, &amp; 23)</t>
  </si>
  <si>
    <t>COMG 2 Core Making (EQUI 9, 10, &amp; 11)</t>
  </si>
  <si>
    <t>GP 002 Brass Melting (EU 015, 016, &amp; 032)</t>
  </si>
  <si>
    <t>GP 005 Core Making (EU 028, 031, &amp; 033)</t>
  </si>
  <si>
    <t>EQUI 1 Core Wash</t>
  </si>
  <si>
    <t>EU 035 Core Wash</t>
  </si>
  <si>
    <t>EU 014 Ladle Preheater</t>
  </si>
  <si>
    <t>EQUI 22 Ladle Preheater (Requesting IA designation)</t>
  </si>
  <si>
    <t>IA - Transfer Ladle (Includes all 4 ladles)</t>
  </si>
  <si>
    <t>Note 1: Represents oil core machine's natural gas oven.</t>
  </si>
  <si>
    <t>COMG 4 Sand Handling (EQUI 9, 10, 11, 18, 19, 20, &amp; 21)</t>
  </si>
  <si>
    <t>GP 004 Sand Handling (EU 012, 013, 028, 029, 030, 031, &amp; 033</t>
  </si>
  <si>
    <t>EQUI 7 Shakeout, Green Sand</t>
  </si>
  <si>
    <t>EU 023 Shakeout</t>
  </si>
  <si>
    <t>see EQUI</t>
  </si>
  <si>
    <t>see COMG 6</t>
  </si>
  <si>
    <t>EQUI 2 (COMG 6 Brass Melting)</t>
  </si>
  <si>
    <t>EQUI 12 (COMG 6 Brass Melting)</t>
  </si>
  <si>
    <t>EQUI 23 (COMG 6 Brass Melting)</t>
  </si>
  <si>
    <t>EU 015 (GP 032 Brass Melting)</t>
  </si>
  <si>
    <t>EU 016 (GP 016 Brass Melting)</t>
  </si>
  <si>
    <t>EU 016 (GP 015 Brass Melting)</t>
  </si>
  <si>
    <t>SOURCES WITH CHANGES PRESENTED IN THE MAJOR PERMIT APPLICATION</t>
  </si>
  <si>
    <t>EU 028 / EQUI 9 Phenolic Urethane No-bake Binder</t>
  </si>
  <si>
    <t>Isocure 706 Catalyst CY540</t>
  </si>
  <si>
    <t>Isocure Binder</t>
  </si>
  <si>
    <t>Current Airset Binder System</t>
  </si>
  <si>
    <t>1-isocyanato-2-[(4-isocyanatophenyl)methyl]benzene</t>
  </si>
  <si>
    <t>5873-54-1</t>
  </si>
  <si>
    <t>1,2,4-Trimethylbenzene</t>
  </si>
  <si>
    <t>95-63-6</t>
  </si>
  <si>
    <t>EU 031 / EQUI 10 Isocure Binder</t>
  </si>
  <si>
    <t>Material Usage and SDS Records:</t>
  </si>
  <si>
    <t>binder/ton sand ratio (lb/ton):</t>
  </si>
  <si>
    <t>VOC emissions (lbs/ton sand):</t>
  </si>
  <si>
    <t>4,4'-methylenediphenyl diisocyanate emissions (lbs/ton sand):</t>
  </si>
  <si>
    <t>1,2,4-Trimethylbenzene emissions (lbs/ton sand):</t>
  </si>
  <si>
    <t>Naphthalene emissions (lbs/ton sand):</t>
  </si>
  <si>
    <t>Methanol emissions (lbs/ton sand):</t>
  </si>
  <si>
    <t>Phenol emissions (lbs/ton sand):</t>
  </si>
  <si>
    <t>TOTAL GP 005 / COMG 2 Silica Sand Core Making</t>
  </si>
  <si>
    <t>[1] Materials used for cores vary based on type of core made. The facility has estimated uncontrolled limited emissions based on the TFAC limited throughput.</t>
  </si>
  <si>
    <t>EU019 Aluminum Melt Furnace 1 (GP 001)</t>
  </si>
  <si>
    <t>EQUI 6 Aluminum Melt Furnace 4 (COMG 5)</t>
  </si>
  <si>
    <t>EQUI 5 Aluminum Melt Furnace 3 (COMG 5)</t>
  </si>
  <si>
    <t>EQUI 4 Aluminum Melt Furnace 2 (COMG 5)</t>
  </si>
  <si>
    <t>EQUI 3 Aluminum Melt Furnace 1 (COMG 5)</t>
  </si>
  <si>
    <t>see COMG 5</t>
  </si>
  <si>
    <t>CHANGES PRESENTED IN THE MAJOR PERMIT APPLICATION</t>
  </si>
  <si>
    <t>NO CHANGE IN MAJOR PERMIT APPLICATION</t>
  </si>
  <si>
    <t>EQUI 8 Aluminum Melt Furnace 5 (COMG 5)</t>
  </si>
  <si>
    <t>COMG 5 Aluminum Melting (EQUI 3, 4, 5, 6, &amp; 8)</t>
  </si>
  <si>
    <t>GP 001 Aluminum Melting (EU 019, 020, 021, 022, 027)</t>
  </si>
  <si>
    <t>EU 020 Aluminum Melt Furnace 2 (GP 001)</t>
  </si>
  <si>
    <t>EU 021 Aluminum Melt Furnace 3 (GP 001)</t>
  </si>
  <si>
    <t>EU 022 Aluminum Melt Furnace 4 (GP 001)</t>
  </si>
  <si>
    <t>EU 027 Aluminum Melt Furnace 5 (GP 001)</t>
  </si>
  <si>
    <t>see COMG 2</t>
  </si>
  <si>
    <t>Hexamethylenetetramine</t>
  </si>
  <si>
    <t>100-97-0</t>
  </si>
  <si>
    <t>IA - Shell Core Sand</t>
  </si>
  <si>
    <t>EU 033 / EQUI 11 Oil Core Mold</t>
  </si>
  <si>
    <t>IA - Shell Core Machines (Sand and Natural Gas Combustion</t>
  </si>
  <si>
    <t>N/A</t>
  </si>
  <si>
    <t>Combined Shell Core Process and Natural Gas Combustion Emissions</t>
  </si>
  <si>
    <t>Total Shell Core Activities Emissions</t>
  </si>
  <si>
    <t>Uncontrolled Annual 
(ton/yr)</t>
  </si>
  <si>
    <t>see COMG 4</t>
  </si>
  <si>
    <t>EQUI 18 Receiver Station/Mold Machine 1 (COMG 4 Sand Handling)</t>
  </si>
  <si>
    <t>EQUI 9 Air Set Sand Mixing and Molding
(COMG 2 Core Making &amp; COMG 4 Sand Handling)</t>
  </si>
  <si>
    <t>EQUI 10 Isocure Core Machine
(COMG 2 Core Making &amp; COMG 4 Sand Handling)</t>
  </si>
  <si>
    <t>EQUI 11 Oil Core Molding Operation
(COMG 2 Core Making &amp; COMG 4 Sand Handling)</t>
  </si>
  <si>
    <t>EU 028 Air Set Sand Mixing and Molding
(GP 005 Core Making &amp; GP 004 Sand Handling)</t>
  </si>
  <si>
    <t>EU 031 Isocure Core Machine
(GP 005 Core Making &amp; GP 004 Sand Handling)</t>
  </si>
  <si>
    <t>EU 033 Oil Core Molding Operation
(GP 005 Core Making &amp; GP 004 Sand Handling)</t>
  </si>
  <si>
    <t>EU 012 Receiver Station/Mold Machine 1
(GP 004 Sand Handling)</t>
  </si>
  <si>
    <t>EQUI 19 Receiver Station/Mold Machine 2 (COMG 4 Sand Handling)</t>
  </si>
  <si>
    <t>EU 013 Receiver Station/Mold Machine 2
(GP 004 Sand Handling)</t>
  </si>
  <si>
    <t>EQUI 20 Receiver Station/Mold Machine 3 (COMG 4 Sand Handling)</t>
  </si>
  <si>
    <t>EU 029 Receiver Station/Mold Machine 3
(GP 004 Sand Handling)</t>
  </si>
  <si>
    <t>EQUI 21 Receiver Station/Mold Machine 4 (COMG 4 Sand Handling)</t>
  </si>
  <si>
    <t>EU 030 Receiver Station/Mold Machine 4
(GP 004 Sand Handling)</t>
  </si>
  <si>
    <t>EQUI 15 Wheelabrator Table Blast (COMG 1)</t>
  </si>
  <si>
    <t>see COMG 1</t>
  </si>
  <si>
    <t>EU 006 Wheelabrator Table Blast (GP 003)</t>
  </si>
  <si>
    <t>EQUI 16 Wheelabrator Tumble Blast 
(COMG 1)</t>
  </si>
  <si>
    <t>EU 007 Wheelabrator Tumble Blast (GP 003)</t>
  </si>
  <si>
    <t>EQUI 17 Goff Tumble Blast 
(COMG 1)</t>
  </si>
  <si>
    <t>EU 008 Goff Tumble Blast (GP 003)</t>
  </si>
  <si>
    <t>COMG 1 Shotblast (EQUI 15, 16, &amp; 17)</t>
  </si>
  <si>
    <t>GP 003 Shotblast (EU 006, 007, &amp; 008)</t>
  </si>
  <si>
    <t xml:space="preserve">EQUI 14 Core Oven </t>
  </si>
  <si>
    <t>EU 005 Core Oven</t>
  </si>
  <si>
    <t>Total Facility Sum</t>
  </si>
  <si>
    <t>EQUI 24 Knockout, Silica Sand
**Emissions excluded from limited ton/yr total to avoid double counting of shakeout/knockout emissions.</t>
  </si>
  <si>
    <t>SOURCES WITH CHANGES</t>
  </si>
  <si>
    <t>Shell Core Machine</t>
  </si>
  <si>
    <t>Transfer Ladle</t>
  </si>
  <si>
    <t>Core Machine</t>
  </si>
  <si>
    <t>IA - Core Bake from AEIR</t>
  </si>
  <si>
    <t>[1] EPA WebFIRE SCC 30400351 Secondary Metal Production; Grey Iron Foundries; Core Ovens.</t>
  </si>
  <si>
    <r>
      <t xml:space="preserve">The particulate matter emission factors historically used in the Annual Emissions Inventory Report (AEIR) were obtained from the EPA WebFIRE SCC 30400351 Secondary Metal Production; Grey Iron Foundries; Core Ovens. The WebFire emission factors in lb/ton sand are not included in AP-42, Section 12.10. The WebFire factors are reported to be from "other EPA documents, State data, or other miscellaneous sources", and no other information is provided to establish the emission factors presented are similar to the facility's operations. Further, the AP-42, Section 12.10 emission factor for "core making, baking" is reported as SCC 30400319. The footnote associated with the AP-42 emission factor is based on the reference: Written communication from Dean Packard, Department Of Natural Resources, Madison, WI, to Douglas Seeley, Alliance Technology, Bedford, MA, April 15, 1982. This April 15, 1982 written communication was not available and it is unclear what percentage of emissions should be associated with either core making or core baking. The facility has estimated particulate matter emissions from core making with sand handling, combustion emissions with core oven, and VOCs from core wash separately. </t>
    </r>
    <r>
      <rPr>
        <b/>
        <u/>
        <sz val="10"/>
        <color theme="1"/>
        <rFont val="Aptos Narrow"/>
        <family val="2"/>
      </rPr>
      <t xml:space="preserve">This activity is accounted for and is requested to be removed from the AEIR to avoid double counting. </t>
    </r>
  </si>
  <si>
    <t>Similar Binder System with OCMA Testing</t>
  </si>
  <si>
    <t>plastic resin coated sand, CC E-Series Carpbros 60-2.0</t>
  </si>
  <si>
    <t>phenolic urethane no-bake, PEP SET MAGNA HR 1215/2205C/3503</t>
  </si>
  <si>
    <t>Isocure Focus
LR 10 Binder</t>
  </si>
  <si>
    <t xml:space="preserve">Polycyclic Organic Matter </t>
  </si>
  <si>
    <t>Methylnapthalene, 1-</t>
  </si>
  <si>
    <t>90-12-0</t>
  </si>
  <si>
    <t>91-57-6</t>
  </si>
  <si>
    <t>Isocure Focus
LR 20 Binder</t>
  </si>
  <si>
    <t>cold box core, phenolic urethane binder LR10/LR20/Catlyst 706</t>
  </si>
  <si>
    <t>baked core, coroil 483 and Iron oxide (red cast)</t>
  </si>
  <si>
    <t>[1] VOC as Reported in HA Group Technical Report for PUNB F6000/6478/6750, November 17, 2025.</t>
  </si>
  <si>
    <t>Unrestricted Annual
Capacity</t>
  </si>
  <si>
    <t>Methylnapthalene, 2-</t>
  </si>
  <si>
    <t>Polycyclic Organic Matter, Total emissions (lbs/ton sand):</t>
  </si>
  <si>
    <t>Methylnapthalene, 1- emissions (lbs/ton sand):</t>
  </si>
  <si>
    <t>Methylnapthalene, 2- emissions (lbs/ton sand):</t>
  </si>
  <si>
    <t>Polymethylene polyphenylene isocyanate (PPI) MN Toxic emissions (lbs/ton sand):</t>
  </si>
  <si>
    <t xml:space="preserve">[2] VOC and organic HAPs in the core/mold make operations are emitted from different binder systems during mixing, core making, and storage. The largest overall of VOC and organic HAPs are those associated with the phenolic urethane no-bake binder system. The VOC emission factor was taken from a similar three-part phenolic urethane no-bake binder system (see note 1). The two binder systems are compared on the SDS summary. The maximum percentage of HAPs from all the binder parts were used to determine individual HAP emission rates as a percentage of VOC emissions. No factor of safety applied due to use of the SDS's maximum concentration range of HAPs. </t>
  </si>
  <si>
    <t xml:space="preserve">[1] In the absence of test data, SDS maximum compenent concentrations used to establish emission factors. No factor of safety applied due to use of the SDS's maximum concentration range of HAPs. </t>
  </si>
  <si>
    <t>Combined Maximum Throughput</t>
  </si>
  <si>
    <t>Implied Limit / Combined Maximum Ratio</t>
  </si>
  <si>
    <t>The implied limit sand handling limit for GP 004 is 15,500 tons/yr for all Green Sand and Silica Sand handling units. This throughput limit affects all core making activities. The following potential to emit calculations represent uncontrolled, unrestricted emissions, and limited emissions based on Sand handling's Implied Limit / Combined Maximum Ratio.</t>
  </si>
  <si>
    <t>Oil Core</t>
  </si>
  <si>
    <t>Coroil 483</t>
  </si>
  <si>
    <t>8052-41-3</t>
  </si>
  <si>
    <t>Mineral Spirits</t>
  </si>
  <si>
    <t>CC-E Series 
HAI 60-2.0</t>
  </si>
  <si>
    <t>Red Cast 
(Iron Oxide)</t>
  </si>
  <si>
    <t>Aluminum Oxide</t>
  </si>
  <si>
    <t>Aluminum Oxide MN Toxic emissions (lbs/ton sand):</t>
  </si>
  <si>
    <t>Sand Handling Implied 
Limit Ratio</t>
  </si>
  <si>
    <t>Aluminum Compounds</t>
  </si>
  <si>
    <t>Distillates</t>
  </si>
  <si>
    <t>64742-54-7</t>
  </si>
  <si>
    <t>1344-28-1
7429-90-5
1302-93-8</t>
  </si>
  <si>
    <t>TBD</t>
  </si>
  <si>
    <t>Phosphoric Acid</t>
  </si>
  <si>
    <t>Other HAP</t>
  </si>
  <si>
    <t>7664-38-2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</si>
</sst>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0.0000"/>
    <numFmt numFmtId="165" formatCode="0.000"/>
    <numFmt numFmtId="166" formatCode="0.0"/>
    <numFmt numFmtId="167" formatCode="0.00000"/>
    <numFmt numFmtId="168" formatCode="#,##0.0"/>
    <numFmt numFmtId="169" formatCode="0.0000%"/>
    <numFmt numFmtId="170" formatCode="_(* #,##0_);_(* \(#,##0\);_(* &quot;-&quot;??_);_(@_)"/>
    <numFmt numFmtId="171" formatCode="0.000000"/>
    <numFmt numFmtId="172" formatCode="[$-409]mmmm\ d\,\ yyyy;@"/>
    <numFmt numFmtId="173" formatCode="#,##0;\-#,##0;\-"/>
    <numFmt numFmtId="174" formatCode="#,##0.0;\-#,##0.0;\-"/>
    <numFmt numFmtId="175" formatCode="#,##0.000"/>
    <numFmt numFmtId="176" formatCode="#,##0.00;\-#,##0.00;\-"/>
    <numFmt numFmtId="177" formatCode="000"/>
    <numFmt numFmtId="178" formatCode="[&lt;0.09]0.0E+00;0.0"/>
    <numFmt numFmtId="179" formatCode="0.0E+00"/>
  </numFmts>
  <fonts count="8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b/>
      <sz val="14"/>
      <color theme="1"/>
      <name val="Calibri"/>
      <family val="2"/>
      <scheme val="minor"/>
    </font>
    <font>
      <sz val="9"/>
      <color theme="1"/>
      <name val="Arial"/>
      <family val="2"/>
    </font>
    <font>
      <sz val="8"/>
      <name val="Arial"/>
      <family val="2"/>
    </font>
    <font>
      <sz val="12"/>
      <name val="Arial MT"/>
    </font>
    <font>
      <sz val="9"/>
      <color rgb="FF000000"/>
      <name val="Arial"/>
      <family val="2"/>
    </font>
    <font>
      <b/>
      <sz val="10"/>
      <color theme="1"/>
      <name val="Arial"/>
      <family val="2"/>
    </font>
    <font>
      <sz val="10"/>
      <color theme="1"/>
      <name val="Calibri"/>
      <family val="2"/>
      <scheme val="minor"/>
    </font>
    <font>
      <vertAlign val="superscript"/>
      <sz val="9"/>
      <color theme="1"/>
      <name val="Arial"/>
      <family val="2"/>
    </font>
    <font>
      <b/>
      <sz val="10"/>
      <color rgb="FF000000"/>
      <name val="Arial"/>
      <family val="2"/>
    </font>
    <font>
      <sz val="9"/>
      <name val="Arial"/>
      <family val="2"/>
    </font>
    <font>
      <b/>
      <vertAlign val="superscript"/>
      <sz val="11"/>
      <color theme="1"/>
      <name val="Calibri"/>
      <family val="2"/>
      <scheme val="minor"/>
    </font>
    <font>
      <sz val="10"/>
      <name val="Arial"/>
      <family val="2"/>
    </font>
    <font>
      <u/>
      <sz val="10"/>
      <color theme="10"/>
      <name val="MS Sans Serif"/>
    </font>
    <font>
      <sz val="10"/>
      <color theme="1"/>
      <name val="Arial"/>
      <family val="2"/>
    </font>
    <font>
      <b/>
      <sz val="10"/>
      <name val="Arial"/>
      <family val="2"/>
    </font>
    <font>
      <sz val="10"/>
      <name val="MS Sans Serif"/>
    </font>
    <font>
      <b/>
      <sz val="14"/>
      <color theme="1"/>
      <name val="Aptos Narrow"/>
      <family val="2"/>
    </font>
    <font>
      <sz val="11"/>
      <color theme="1"/>
      <name val="Aptos Narrow"/>
      <family val="2"/>
    </font>
    <font>
      <b/>
      <sz val="11"/>
      <color theme="1"/>
      <name val="Aptos Narrow"/>
      <family val="2"/>
    </font>
    <font>
      <sz val="10"/>
      <name val="Aptos Narrow"/>
      <family val="2"/>
    </font>
    <font>
      <b/>
      <sz val="14"/>
      <name val="Aptos Narrow"/>
      <family val="2"/>
    </font>
    <font>
      <b/>
      <sz val="10"/>
      <name val="Aptos Narrow"/>
      <family val="2"/>
    </font>
    <font>
      <b/>
      <sz val="10"/>
      <color rgb="FFFF0000"/>
      <name val="Aptos Narrow"/>
      <family val="2"/>
    </font>
    <font>
      <sz val="10"/>
      <color rgb="FFFF0000"/>
      <name val="Aptos Narrow"/>
      <family val="2"/>
    </font>
    <font>
      <b/>
      <sz val="10"/>
      <color theme="1"/>
      <name val="Aptos Narrow"/>
      <family val="2"/>
    </font>
    <font>
      <sz val="10"/>
      <color rgb="FF000000"/>
      <name val="Aptos Narrow"/>
      <family val="2"/>
    </font>
    <font>
      <sz val="12"/>
      <name val="Times New Roman"/>
      <family val="1"/>
    </font>
    <font>
      <sz val="10"/>
      <color theme="1"/>
      <name val="Aptos Narrow"/>
      <family val="2"/>
    </font>
    <font>
      <sz val="10"/>
      <color indexed="8"/>
      <name val="Aptos Narrow"/>
      <family val="2"/>
    </font>
    <font>
      <sz val="11"/>
      <name val="Aptos Narrow"/>
      <family val="2"/>
    </font>
    <font>
      <sz val="11"/>
      <color rgb="FFFF0000"/>
      <name val="Aptos Narrow"/>
      <family val="2"/>
    </font>
    <font>
      <i/>
      <sz val="11"/>
      <color rgb="FFFF0000"/>
      <name val="Aptos Narrow"/>
      <family val="2"/>
    </font>
    <font>
      <b/>
      <sz val="11"/>
      <color rgb="FFFF0000"/>
      <name val="Aptos Narrow"/>
      <family val="2"/>
    </font>
    <font>
      <b/>
      <sz val="10"/>
      <color rgb="FF000000"/>
      <name val="Aptos Narrow"/>
      <family val="2"/>
    </font>
    <font>
      <b/>
      <sz val="10"/>
      <color rgb="FF1B1B1B"/>
      <name val="Aptos Narrow"/>
      <family val="2"/>
    </font>
    <font>
      <i/>
      <sz val="10"/>
      <name val="Aptos Narrow"/>
      <family val="2"/>
    </font>
    <font>
      <b/>
      <sz val="11"/>
      <name val="Aptos Narrow"/>
      <family val="2"/>
    </font>
    <font>
      <sz val="14"/>
      <name val="Aptos Narrow"/>
      <family val="2"/>
    </font>
    <font>
      <sz val="14"/>
      <color rgb="FF000000"/>
      <name val="Aptos Narrow"/>
      <family val="2"/>
    </font>
    <font>
      <i/>
      <sz val="10"/>
      <color rgb="FF000000"/>
      <name val="Aptos Narrow"/>
      <family val="2"/>
    </font>
    <font>
      <sz val="11"/>
      <color rgb="FF000000"/>
      <name val="Aptos Narrow"/>
      <family val="2"/>
    </font>
    <font>
      <i/>
      <sz val="8"/>
      <color rgb="FF000000"/>
      <name val="Aptos Narrow"/>
      <family val="2"/>
    </font>
    <font>
      <b/>
      <vertAlign val="subscript"/>
      <sz val="10"/>
      <name val="Aptos Narrow"/>
      <family val="2"/>
    </font>
    <font>
      <vertAlign val="superscript"/>
      <sz val="10"/>
      <color theme="1"/>
      <name val="Aptos Narrow"/>
      <family val="2"/>
    </font>
    <font>
      <u/>
      <sz val="10"/>
      <color theme="10"/>
      <name val="Aptos Narrow"/>
      <family val="2"/>
    </font>
    <font>
      <u/>
      <sz val="10"/>
      <name val="Aptos Narrow"/>
      <family val="2"/>
    </font>
    <font>
      <sz val="20"/>
      <name val="Aptos Narrow"/>
      <family val="2"/>
    </font>
    <font>
      <b/>
      <i/>
      <sz val="10"/>
      <name val="Aptos Narrow"/>
      <family val="2"/>
    </font>
    <font>
      <i/>
      <sz val="10"/>
      <color rgb="FFFF0000"/>
      <name val="Aptos Narrow"/>
      <family val="2"/>
    </font>
    <font>
      <b/>
      <sz val="14"/>
      <color rgb="FFFF0000"/>
      <name val="Aptos Narrow"/>
      <family val="2"/>
    </font>
    <font>
      <sz val="10"/>
      <color indexed="8"/>
      <name val="Calibri"/>
      <family val="2"/>
      <scheme val="minor"/>
    </font>
    <font>
      <sz val="10"/>
      <name val="Calibri"/>
      <family val="2"/>
      <scheme val="minor"/>
    </font>
    <font>
      <b/>
      <sz val="10"/>
      <color theme="1"/>
      <name val="Calibri"/>
      <family val="2"/>
      <scheme val="minor"/>
    </font>
    <font>
      <sz val="8"/>
      <color indexed="8"/>
      <name val="Arial"/>
      <family val="2"/>
    </font>
    <font>
      <b/>
      <sz val="10"/>
      <name val="Calibri"/>
      <family val="2"/>
      <scheme val="minor"/>
    </font>
    <font>
      <vertAlign val="subscript"/>
      <sz val="10"/>
      <color theme="1"/>
      <name val="Aptos Narrow"/>
      <family val="2"/>
    </font>
    <font>
      <sz val="22"/>
      <name val="Arial"/>
      <family val="2"/>
    </font>
    <font>
      <sz val="12"/>
      <color rgb="FF0000FF"/>
      <name val="Arial"/>
      <family val="2"/>
    </font>
    <font>
      <sz val="11"/>
      <name val="Arial"/>
      <family val="2"/>
    </font>
    <font>
      <sz val="30"/>
      <name val="Arial"/>
      <family val="2"/>
    </font>
    <font>
      <sz val="11"/>
      <name val="Times New Roman"/>
      <family val="1"/>
    </font>
    <font>
      <sz val="20"/>
      <name val="Calibri"/>
      <family val="2"/>
    </font>
    <font>
      <sz val="11"/>
      <name val="Arial Black"/>
      <family val="2"/>
    </font>
    <font>
      <sz val="10"/>
      <color indexed="8"/>
      <name val="Arial"/>
      <family val="2"/>
    </font>
    <font>
      <i/>
      <sz val="8"/>
      <color indexed="8"/>
      <name val="Arial"/>
      <family val="2"/>
    </font>
    <font>
      <sz val="11"/>
      <color indexed="8"/>
      <name val="Calibri"/>
      <family val="2"/>
      <scheme val="minor"/>
    </font>
    <font>
      <sz val="9"/>
      <color indexed="8"/>
      <name val="Arial"/>
      <family val="2"/>
    </font>
    <font>
      <b/>
      <sz val="11"/>
      <name val="Arial"/>
      <family val="2"/>
    </font>
    <font>
      <sz val="12"/>
      <name val="Arial"/>
      <family val="2"/>
    </font>
    <font>
      <b/>
      <sz val="9"/>
      <name val="Arial"/>
      <family val="2"/>
    </font>
    <font>
      <b/>
      <sz val="8"/>
      <color indexed="8"/>
      <name val="Arial"/>
      <family val="2"/>
    </font>
    <font>
      <sz val="8"/>
      <color rgb="FF007635"/>
      <name val="Arial"/>
      <family val="2"/>
    </font>
    <font>
      <b/>
      <sz val="9"/>
      <color indexed="8"/>
      <name val="Arial"/>
      <family val="2"/>
    </font>
    <font>
      <b/>
      <sz val="8"/>
      <name val="Arial"/>
      <family val="2"/>
    </font>
    <font>
      <sz val="11"/>
      <color rgb="FF007635"/>
      <name val="Arial"/>
      <family val="2"/>
    </font>
    <font>
      <sz val="10"/>
      <color rgb="FF007635"/>
      <name val="Arial"/>
      <family val="2"/>
    </font>
    <font>
      <sz val="7"/>
      <name val="Arial"/>
      <family val="2"/>
    </font>
    <font>
      <sz val="8"/>
      <name val="Aptos Narrow"/>
      <family val="2"/>
    </font>
    <font>
      <sz val="8"/>
      <color rgb="FF000000"/>
      <name val="Aptos Narrow"/>
      <family val="2"/>
    </font>
    <font>
      <b/>
      <u/>
      <sz val="10"/>
      <color theme="1"/>
      <name val="Aptos Narrow"/>
      <family val="2"/>
    </font>
  </fonts>
  <fills count="1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D1EAFF"/>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1"/>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s>
  <borders count="122">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thick">
        <color indexed="64"/>
      </right>
      <top/>
      <bottom style="medium">
        <color indexed="64"/>
      </bottom>
      <diagonal/>
    </border>
    <border>
      <left/>
      <right style="thick">
        <color indexed="64"/>
      </right>
      <top/>
      <bottom/>
      <diagonal/>
    </border>
    <border>
      <left/>
      <right style="thick">
        <color indexed="64"/>
      </right>
      <top style="medium">
        <color indexed="64"/>
      </top>
      <bottom/>
      <diagonal/>
    </border>
    <border>
      <left style="thin">
        <color indexed="64"/>
      </left>
      <right style="thick">
        <color indexed="64"/>
      </right>
      <top style="thin">
        <color indexed="64"/>
      </top>
      <bottom/>
      <diagonal/>
    </border>
    <border>
      <left style="thin">
        <color theme="4" tint="0.39997558519241921"/>
      </left>
      <right style="medium">
        <color indexed="64"/>
      </right>
      <top style="medium">
        <color indexed="64"/>
      </top>
      <bottom style="medium">
        <color indexed="64"/>
      </bottom>
      <diagonal/>
    </border>
    <border>
      <left style="thin">
        <color theme="4" tint="0.39997558519241921"/>
      </left>
      <right style="thin">
        <color theme="4" tint="0.39997558519241921"/>
      </right>
      <top style="medium">
        <color indexed="64"/>
      </top>
      <bottom style="medium">
        <color indexed="64"/>
      </bottom>
      <diagonal/>
    </border>
    <border>
      <left style="medium">
        <color indexed="64"/>
      </left>
      <right style="thin">
        <color theme="4" tint="0.39997558519241921"/>
      </right>
      <top style="medium">
        <color indexed="64"/>
      </top>
      <bottom style="medium">
        <color indexed="64"/>
      </bottom>
      <diagonal/>
    </border>
    <border>
      <left style="thin">
        <color theme="4" tint="0.39997558519241921"/>
      </left>
      <right style="medium">
        <color indexed="64"/>
      </right>
      <top style="medium">
        <color indexed="64"/>
      </top>
      <bottom/>
      <diagonal/>
    </border>
    <border>
      <left style="thin">
        <color theme="4" tint="0.39997558519241921"/>
      </left>
      <right style="thin">
        <color theme="4" tint="0.39997558519241921"/>
      </right>
      <top style="medium">
        <color indexed="64"/>
      </top>
      <bottom/>
      <diagonal/>
    </border>
    <border>
      <left/>
      <right style="thin">
        <color theme="4" tint="0.39997558519241921"/>
      </right>
      <top style="medium">
        <color indexed="64"/>
      </top>
      <bottom/>
      <diagonal/>
    </border>
    <border>
      <left/>
      <right style="thin">
        <color theme="4" tint="0.39997558519241921"/>
      </right>
      <top style="medium">
        <color indexed="64"/>
      </top>
      <bottom style="medium">
        <color indexed="64"/>
      </bottom>
      <diagonal/>
    </border>
    <border>
      <left style="thin">
        <color theme="4" tint="0.39997558519241921"/>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right style="thin">
        <color indexed="64"/>
      </right>
      <top/>
      <bottom/>
      <diagonal/>
    </border>
    <border diagonalDown="1">
      <left style="thin">
        <color indexed="64"/>
      </left>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diagonalDown="1">
      <left style="thin">
        <color indexed="64"/>
      </left>
      <right/>
      <top style="thin">
        <color indexed="64"/>
      </top>
      <bottom/>
      <diagonal style="thin">
        <color indexed="64"/>
      </diagonal>
    </border>
    <border>
      <left style="medium">
        <color indexed="64"/>
      </left>
      <right style="medium">
        <color indexed="64"/>
      </right>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style="thin">
        <color indexed="64"/>
      </bottom>
      <diagonal style="thin">
        <color indexed="64"/>
      </diagonal>
    </border>
    <border>
      <left style="medium">
        <color rgb="FFBDC4C2"/>
      </left>
      <right style="medium">
        <color rgb="FFBDC4C2"/>
      </right>
      <top style="medium">
        <color rgb="FFBDC4C2"/>
      </top>
      <bottom style="medium">
        <color rgb="FFBDC4C2"/>
      </bottom>
      <diagonal/>
    </border>
    <border diagonalDown="1">
      <left/>
      <right style="medium">
        <color indexed="64"/>
      </right>
      <top style="thin">
        <color indexed="64"/>
      </top>
      <bottom/>
      <diagonal style="thin">
        <color indexed="64"/>
      </diagonal>
    </border>
    <border diagonalDown="1">
      <left style="thin">
        <color indexed="64"/>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style="medium">
        <color indexed="64"/>
      </right>
      <top style="thin">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auto="1"/>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8"/>
      </right>
      <top style="thin">
        <color indexed="64"/>
      </top>
      <bottom/>
      <diagonal/>
    </border>
  </borders>
  <cellStyleXfs count="25">
    <xf numFmtId="0" fontId="0" fillId="0" borderId="0"/>
    <xf numFmtId="0" fontId="5" fillId="0" borderId="0"/>
    <xf numFmtId="0" fontId="9" fillId="0" borderId="0"/>
    <xf numFmtId="0" fontId="10" fillId="0" borderId="0"/>
    <xf numFmtId="0" fontId="4" fillId="0" borderId="0"/>
    <xf numFmtId="43" fontId="4" fillId="0" borderId="0" applyFont="0" applyFill="0" applyBorder="0" applyAlignment="0" applyProtection="0"/>
    <xf numFmtId="9" fontId="18" fillId="0" borderId="0" applyFont="0" applyFill="0" applyBorder="0" applyAlignment="0" applyProtection="0"/>
    <xf numFmtId="0" fontId="10" fillId="0" borderId="0"/>
    <xf numFmtId="0" fontId="19" fillId="0" borderId="0" applyNumberFormat="0" applyFill="0" applyBorder="0" applyAlignment="0" applyProtection="0"/>
    <xf numFmtId="0" fontId="3" fillId="0" borderId="0"/>
    <xf numFmtId="43" fontId="3" fillId="0" borderId="0" applyFont="0" applyFill="0" applyBorder="0" applyAlignment="0" applyProtection="0"/>
    <xf numFmtId="0" fontId="22" fillId="0" borderId="0"/>
    <xf numFmtId="43" fontId="22" fillId="0" borderId="0" applyFont="0" applyFill="0" applyBorder="0" applyAlignment="0" applyProtection="0"/>
    <xf numFmtId="0" fontId="5" fillId="0" borderId="0"/>
    <xf numFmtId="0" fontId="2" fillId="0" borderId="0"/>
    <xf numFmtId="0" fontId="1" fillId="0" borderId="0"/>
    <xf numFmtId="9" fontId="22" fillId="0" borderId="0" applyFont="0" applyFill="0" applyBorder="0" applyAlignment="0" applyProtection="0"/>
    <xf numFmtId="0" fontId="33" fillId="0" borderId="0"/>
    <xf numFmtId="0" fontId="57" fillId="0" borderId="104"/>
    <xf numFmtId="0" fontId="65" fillId="0" borderId="0"/>
    <xf numFmtId="0" fontId="67" fillId="0" borderId="0"/>
    <xf numFmtId="0" fontId="10" fillId="0" borderId="0"/>
    <xf numFmtId="0" fontId="10" fillId="0" borderId="0"/>
    <xf numFmtId="0" fontId="9" fillId="0" borderId="0"/>
    <xf numFmtId="0" fontId="75" fillId="0" borderId="0"/>
  </cellStyleXfs>
  <cellXfs count="1654">
    <xf numFmtId="0" fontId="0" fillId="0" borderId="0" xfId="0"/>
    <xf numFmtId="0" fontId="4" fillId="0" borderId="0" xfId="4"/>
    <xf numFmtId="0" fontId="8" fillId="0" borderId="0" xfId="4" applyFont="1"/>
    <xf numFmtId="0" fontId="8" fillId="0" borderId="0" xfId="4" applyFont="1" applyAlignment="1">
      <alignment horizontal="left"/>
    </xf>
    <xf numFmtId="11" fontId="8" fillId="0" borderId="57" xfId="4" applyNumberFormat="1" applyFont="1" applyBorder="1" applyAlignment="1">
      <alignment horizontal="center"/>
    </xf>
    <xf numFmtId="11" fontId="8" fillId="0" borderId="3" xfId="4" applyNumberFormat="1" applyFont="1" applyBorder="1" applyAlignment="1">
      <alignment horizontal="center"/>
    </xf>
    <xf numFmtId="11" fontId="8" fillId="0" borderId="2" xfId="4" applyNumberFormat="1" applyFont="1" applyBorder="1" applyAlignment="1">
      <alignment horizontal="center"/>
    </xf>
    <xf numFmtId="11" fontId="8" fillId="0" borderId="8" xfId="4" applyNumberFormat="1" applyFont="1" applyBorder="1" applyAlignment="1">
      <alignment horizontal="center"/>
    </xf>
    <xf numFmtId="0" fontId="15" fillId="0" borderId="37" xfId="4" applyFont="1" applyBorder="1"/>
    <xf numFmtId="11" fontId="8" fillId="0" borderId="58" xfId="4" applyNumberFormat="1" applyFont="1" applyBorder="1" applyAlignment="1">
      <alignment horizontal="center"/>
    </xf>
    <xf numFmtId="11" fontId="8" fillId="0" borderId="0" xfId="4" applyNumberFormat="1" applyFont="1" applyAlignment="1">
      <alignment horizontal="center"/>
    </xf>
    <xf numFmtId="11" fontId="8" fillId="0" borderId="1" xfId="4" applyNumberFormat="1" applyFont="1" applyBorder="1" applyAlignment="1">
      <alignment horizontal="center"/>
    </xf>
    <xf numFmtId="11" fontId="8" fillId="0" borderId="7" xfId="4" applyNumberFormat="1" applyFont="1" applyBorder="1" applyAlignment="1">
      <alignment horizontal="center"/>
    </xf>
    <xf numFmtId="0" fontId="11" fillId="0" borderId="34" xfId="4" applyFont="1" applyBorder="1"/>
    <xf numFmtId="0" fontId="4" fillId="3" borderId="0" xfId="4" applyFill="1"/>
    <xf numFmtId="0" fontId="8" fillId="0" borderId="0" xfId="4" applyFont="1" applyAlignment="1">
      <alignment horizontal="center"/>
    </xf>
    <xf numFmtId="0" fontId="16" fillId="0" borderId="34" xfId="4" applyFont="1" applyBorder="1"/>
    <xf numFmtId="11" fontId="16" fillId="0" borderId="0" xfId="4" applyNumberFormat="1" applyFont="1" applyAlignment="1">
      <alignment horizontal="center"/>
    </xf>
    <xf numFmtId="11" fontId="16" fillId="0" borderId="7" xfId="4" applyNumberFormat="1" applyFont="1" applyBorder="1" applyAlignment="1">
      <alignment horizontal="center"/>
    </xf>
    <xf numFmtId="0" fontId="8" fillId="0" borderId="58" xfId="4" applyFont="1" applyBorder="1" applyAlignment="1">
      <alignment horizontal="center"/>
    </xf>
    <xf numFmtId="0" fontId="8" fillId="0" borderId="7" xfId="4" applyFont="1" applyBorder="1" applyAlignment="1">
      <alignment horizontal="center"/>
    </xf>
    <xf numFmtId="0" fontId="12" fillId="0" borderId="34" xfId="4" applyFont="1" applyBorder="1"/>
    <xf numFmtId="0" fontId="4" fillId="0" borderId="0" xfId="4" applyAlignment="1">
      <alignment horizontal="left"/>
    </xf>
    <xf numFmtId="0" fontId="8" fillId="0" borderId="1" xfId="4" applyFont="1" applyBorder="1" applyAlignment="1">
      <alignment horizontal="center"/>
    </xf>
    <xf numFmtId="0" fontId="15" fillId="0" borderId="34" xfId="4" applyFont="1" applyBorder="1" applyAlignment="1">
      <alignment horizontal="left"/>
    </xf>
    <xf numFmtId="2" fontId="8" fillId="0" borderId="58" xfId="4" applyNumberFormat="1" applyFont="1" applyBorder="1" applyAlignment="1">
      <alignment horizontal="center"/>
    </xf>
    <xf numFmtId="2" fontId="8" fillId="0" borderId="0" xfId="4" applyNumberFormat="1" applyFont="1" applyAlignment="1">
      <alignment horizontal="center"/>
    </xf>
    <xf numFmtId="2" fontId="8" fillId="0" borderId="1" xfId="4" applyNumberFormat="1" applyFont="1" applyBorder="1" applyAlignment="1">
      <alignment horizontal="center"/>
    </xf>
    <xf numFmtId="2" fontId="8" fillId="0" borderId="7" xfId="4" applyNumberFormat="1" applyFont="1" applyBorder="1" applyAlignment="1">
      <alignment horizontal="center"/>
    </xf>
    <xf numFmtId="166" fontId="8" fillId="0" borderId="0" xfId="4" applyNumberFormat="1" applyFont="1" applyAlignment="1">
      <alignment horizontal="center"/>
    </xf>
    <xf numFmtId="0" fontId="15" fillId="0" borderId="34" xfId="4" applyFont="1" applyBorder="1"/>
    <xf numFmtId="0" fontId="4" fillId="0" borderId="0" xfId="4" applyAlignment="1">
      <alignment horizontal="right"/>
    </xf>
    <xf numFmtId="2" fontId="8" fillId="0" borderId="0" xfId="4" quotePrefix="1" applyNumberFormat="1" applyFont="1" applyAlignment="1">
      <alignment horizontal="center"/>
    </xf>
    <xf numFmtId="0" fontId="8" fillId="0" borderId="0" xfId="4" quotePrefix="1" applyFont="1" applyAlignment="1">
      <alignment horizontal="center"/>
    </xf>
    <xf numFmtId="0" fontId="8" fillId="0" borderId="1" xfId="4" quotePrefix="1" applyFont="1" applyBorder="1" applyAlignment="1">
      <alignment horizontal="center"/>
    </xf>
    <xf numFmtId="0" fontId="11" fillId="0" borderId="34" xfId="4" applyFont="1" applyBorder="1" applyAlignment="1">
      <alignment horizontal="left"/>
    </xf>
    <xf numFmtId="166" fontId="8" fillId="0" borderId="0" xfId="5" applyNumberFormat="1" applyFont="1" applyFill="1" applyBorder="1" applyAlignment="1">
      <alignment horizontal="center"/>
    </xf>
    <xf numFmtId="1" fontId="8" fillId="0" borderId="0" xfId="4" applyNumberFormat="1" applyFont="1" applyAlignment="1">
      <alignment horizontal="center"/>
    </xf>
    <xf numFmtId="0" fontId="8" fillId="0" borderId="59" xfId="4" applyFont="1" applyBorder="1" applyAlignment="1">
      <alignment horizontal="center"/>
    </xf>
    <xf numFmtId="0" fontId="8" fillId="0" borderId="5" xfId="4" applyFont="1" applyBorder="1" applyAlignment="1">
      <alignment horizontal="center"/>
    </xf>
    <xf numFmtId="0" fontId="8" fillId="0" borderId="4" xfId="4" applyFont="1" applyBorder="1" applyAlignment="1">
      <alignment horizontal="center"/>
    </xf>
    <xf numFmtId="0" fontId="8" fillId="0" borderId="6" xfId="4" applyFont="1" applyBorder="1" applyAlignment="1">
      <alignment horizontal="center"/>
    </xf>
    <xf numFmtId="0" fontId="4" fillId="0" borderId="0" xfId="4" applyAlignment="1">
      <alignment horizontal="center" wrapText="1"/>
    </xf>
    <xf numFmtId="0" fontId="8" fillId="0" borderId="60" xfId="4" applyFont="1" applyBorder="1" applyAlignment="1">
      <alignment horizontal="center" wrapText="1"/>
    </xf>
    <xf numFmtId="0" fontId="8" fillId="0" borderId="44" xfId="4" applyFont="1" applyBorder="1" applyAlignment="1">
      <alignment horizontal="center" wrapText="1"/>
    </xf>
    <xf numFmtId="0" fontId="8" fillId="0" borderId="61" xfId="4" applyFont="1" applyBorder="1" applyAlignment="1">
      <alignment horizontal="center" wrapText="1"/>
    </xf>
    <xf numFmtId="0" fontId="8" fillId="0" borderId="62" xfId="4" applyFont="1" applyBorder="1" applyAlignment="1">
      <alignment horizontal="center" wrapText="1"/>
    </xf>
    <xf numFmtId="0" fontId="8" fillId="0" borderId="63" xfId="4" applyFont="1" applyBorder="1" applyAlignment="1">
      <alignment horizontal="center" wrapText="1"/>
    </xf>
    <xf numFmtId="0" fontId="8" fillId="0" borderId="64" xfId="4" applyFont="1" applyBorder="1" applyAlignment="1">
      <alignment horizontal="center" wrapText="1"/>
    </xf>
    <xf numFmtId="0" fontId="8" fillId="0" borderId="65" xfId="4" applyFont="1" applyBorder="1" applyAlignment="1">
      <alignment horizontal="center" wrapText="1"/>
    </xf>
    <xf numFmtId="0" fontId="8" fillId="0" borderId="66" xfId="4" applyFont="1" applyBorder="1" applyAlignment="1">
      <alignment horizontal="center" wrapText="1"/>
    </xf>
    <xf numFmtId="0" fontId="8" fillId="0" borderId="67" xfId="4" applyFont="1" applyBorder="1" applyAlignment="1">
      <alignment horizontal="center" wrapText="1"/>
    </xf>
    <xf numFmtId="0" fontId="8" fillId="0" borderId="11" xfId="4" applyFont="1" applyBorder="1" applyAlignment="1">
      <alignment horizontal="center" wrapText="1"/>
    </xf>
    <xf numFmtId="0" fontId="8" fillId="0" borderId="10" xfId="4" applyFont="1" applyBorder="1" applyAlignment="1">
      <alignment horizontal="center"/>
    </xf>
    <xf numFmtId="0" fontId="16" fillId="0" borderId="61" xfId="4" applyFont="1" applyBorder="1" applyAlignment="1">
      <alignment horizontal="center" wrapText="1"/>
    </xf>
    <xf numFmtId="0" fontId="16" fillId="0" borderId="68" xfId="4" applyFont="1" applyBorder="1" applyAlignment="1">
      <alignment horizontal="center" wrapText="1"/>
    </xf>
    <xf numFmtId="0" fontId="16" fillId="0" borderId="62" xfId="4" applyFont="1" applyBorder="1" applyAlignment="1">
      <alignment horizontal="center" wrapText="1"/>
    </xf>
    <xf numFmtId="0" fontId="8" fillId="0" borderId="36" xfId="4" applyFont="1" applyBorder="1" applyAlignment="1">
      <alignment horizontal="center" wrapText="1"/>
    </xf>
    <xf numFmtId="0" fontId="6" fillId="0" borderId="0" xfId="4" applyFont="1"/>
    <xf numFmtId="0" fontId="7" fillId="0" borderId="0" xfId="4" applyFont="1"/>
    <xf numFmtId="0" fontId="7" fillId="0" borderId="0" xfId="9" applyFont="1"/>
    <xf numFmtId="0" fontId="3" fillId="0" borderId="0" xfId="9"/>
    <xf numFmtId="0" fontId="8" fillId="0" borderId="0" xfId="9" applyFont="1"/>
    <xf numFmtId="0" fontId="8" fillId="0" borderId="19" xfId="9" applyFont="1" applyBorder="1"/>
    <xf numFmtId="0" fontId="8" fillId="4" borderId="20" xfId="9" applyFont="1" applyFill="1" applyBorder="1" applyProtection="1">
      <protection locked="0"/>
    </xf>
    <xf numFmtId="0" fontId="8" fillId="0" borderId="5" xfId="9" applyFont="1" applyBorder="1"/>
    <xf numFmtId="0" fontId="8" fillId="0" borderId="6" xfId="9" applyFont="1" applyBorder="1"/>
    <xf numFmtId="0" fontId="8" fillId="0" borderId="21" xfId="9" applyFont="1" applyBorder="1"/>
    <xf numFmtId="0" fontId="8" fillId="4" borderId="22" xfId="9" applyFont="1" applyFill="1" applyBorder="1" applyProtection="1">
      <protection locked="0"/>
    </xf>
    <xf numFmtId="0" fontId="8" fillId="0" borderId="7" xfId="9" applyFont="1" applyBorder="1"/>
    <xf numFmtId="0" fontId="8" fillId="0" borderId="43" xfId="9" applyFont="1" applyBorder="1"/>
    <xf numFmtId="0" fontId="8" fillId="4" borderId="44" xfId="9" applyFont="1" applyFill="1" applyBorder="1" applyProtection="1">
      <protection locked="0"/>
    </xf>
    <xf numFmtId="0" fontId="8" fillId="0" borderId="24" xfId="9" applyFont="1" applyBorder="1"/>
    <xf numFmtId="0" fontId="8" fillId="5" borderId="17" xfId="9" applyFont="1" applyFill="1" applyBorder="1" applyProtection="1">
      <protection locked="0"/>
    </xf>
    <xf numFmtId="0" fontId="8" fillId="0" borderId="3" xfId="9" applyFont="1" applyBorder="1"/>
    <xf numFmtId="0" fontId="8" fillId="0" borderId="8" xfId="9" applyFont="1" applyBorder="1"/>
    <xf numFmtId="0" fontId="21" fillId="0" borderId="13" xfId="2" applyFont="1" applyBorder="1" applyAlignment="1">
      <alignment horizontal="left" wrapText="1"/>
    </xf>
    <xf numFmtId="0" fontId="21" fillId="0" borderId="51" xfId="2" applyFont="1" applyBorder="1" applyAlignment="1">
      <alignment horizontal="center" wrapText="1"/>
    </xf>
    <xf numFmtId="0" fontId="21" fillId="0" borderId="49" xfId="2" applyFont="1" applyBorder="1" applyAlignment="1">
      <alignment horizontal="center" wrapText="1"/>
    </xf>
    <xf numFmtId="0" fontId="21" fillId="0" borderId="52" xfId="3" applyFont="1" applyBorder="1" applyAlignment="1">
      <alignment horizontal="center" wrapText="1"/>
    </xf>
    <xf numFmtId="0" fontId="13" fillId="0" borderId="0" xfId="9" applyFont="1" applyAlignment="1">
      <alignment horizontal="center"/>
    </xf>
    <xf numFmtId="0" fontId="11" fillId="0" borderId="53" xfId="9" applyFont="1" applyBorder="1"/>
    <xf numFmtId="11" fontId="8" fillId="0" borderId="19" xfId="9" applyNumberFormat="1" applyFont="1" applyBorder="1" applyAlignment="1">
      <alignment horizontal="center"/>
    </xf>
    <xf numFmtId="11" fontId="8" fillId="4" borderId="20" xfId="9" applyNumberFormat="1" applyFont="1" applyFill="1" applyBorder="1" applyAlignment="1" applyProtection="1">
      <alignment horizontal="center"/>
      <protection locked="0"/>
    </xf>
    <xf numFmtId="10" fontId="8" fillId="4" borderId="20" xfId="9" applyNumberFormat="1" applyFont="1" applyFill="1" applyBorder="1" applyAlignment="1" applyProtection="1">
      <alignment horizontal="center"/>
      <protection locked="0"/>
    </xf>
    <xf numFmtId="11" fontId="8" fillId="0" borderId="20" xfId="9" applyNumberFormat="1" applyFont="1" applyBorder="1" applyAlignment="1">
      <alignment horizontal="center"/>
    </xf>
    <xf numFmtId="11" fontId="8" fillId="0" borderId="42" xfId="9" applyNumberFormat="1" applyFont="1" applyBorder="1" applyAlignment="1">
      <alignment horizontal="center"/>
    </xf>
    <xf numFmtId="11" fontId="8" fillId="0" borderId="28" xfId="9" applyNumberFormat="1" applyFont="1" applyBorder="1" applyAlignment="1">
      <alignment horizontal="center"/>
    </xf>
    <xf numFmtId="0" fontId="11" fillId="0" borderId="54" xfId="9" applyFont="1" applyBorder="1"/>
    <xf numFmtId="11" fontId="8" fillId="0" borderId="21" xfId="9" applyNumberFormat="1" applyFont="1" applyBorder="1" applyAlignment="1">
      <alignment horizontal="center"/>
    </xf>
    <xf numFmtId="11" fontId="8" fillId="4" borderId="22" xfId="9" applyNumberFormat="1" applyFont="1" applyFill="1" applyBorder="1" applyAlignment="1" applyProtection="1">
      <alignment horizontal="center"/>
      <protection locked="0"/>
    </xf>
    <xf numFmtId="10" fontId="8" fillId="4" borderId="22" xfId="9" applyNumberFormat="1" applyFont="1" applyFill="1" applyBorder="1" applyAlignment="1" applyProtection="1">
      <alignment horizontal="center"/>
      <protection locked="0"/>
    </xf>
    <xf numFmtId="11" fontId="8" fillId="0" borderId="22" xfId="9" applyNumberFormat="1" applyFont="1" applyBorder="1" applyAlignment="1">
      <alignment horizontal="center"/>
    </xf>
    <xf numFmtId="11" fontId="8" fillId="0" borderId="37" xfId="9" applyNumberFormat="1" applyFont="1" applyBorder="1" applyAlignment="1">
      <alignment horizontal="center"/>
    </xf>
    <xf numFmtId="11" fontId="8" fillId="0" borderId="23" xfId="9" applyNumberFormat="1" applyFont="1" applyBorder="1" applyAlignment="1">
      <alignment horizontal="center"/>
    </xf>
    <xf numFmtId="0" fontId="11" fillId="0" borderId="55" xfId="9" applyFont="1" applyBorder="1"/>
    <xf numFmtId="11" fontId="8" fillId="0" borderId="43" xfId="9" applyNumberFormat="1" applyFont="1" applyBorder="1" applyAlignment="1">
      <alignment horizontal="center"/>
    </xf>
    <xf numFmtId="11" fontId="8" fillId="4" borderId="44" xfId="9" applyNumberFormat="1" applyFont="1" applyFill="1" applyBorder="1" applyAlignment="1" applyProtection="1">
      <alignment horizontal="center"/>
      <protection locked="0"/>
    </xf>
    <xf numFmtId="10" fontId="8" fillId="4" borderId="44" xfId="9" applyNumberFormat="1" applyFont="1" applyFill="1" applyBorder="1" applyAlignment="1" applyProtection="1">
      <alignment horizontal="center"/>
      <protection locked="0"/>
    </xf>
    <xf numFmtId="11" fontId="8" fillId="0" borderId="44" xfId="9" applyNumberFormat="1" applyFont="1" applyBorder="1" applyAlignment="1">
      <alignment horizontal="center"/>
    </xf>
    <xf numFmtId="11" fontId="8" fillId="0" borderId="45" xfId="9" applyNumberFormat="1" applyFont="1" applyBorder="1" applyAlignment="1">
      <alignment horizontal="center"/>
    </xf>
    <xf numFmtId="11" fontId="8" fillId="0" borderId="46" xfId="9" applyNumberFormat="1" applyFont="1" applyBorder="1" applyAlignment="1">
      <alignment horizontal="center"/>
    </xf>
    <xf numFmtId="11" fontId="8" fillId="0" borderId="24" xfId="9" applyNumberFormat="1" applyFont="1" applyBorder="1" applyAlignment="1">
      <alignment horizontal="center"/>
    </xf>
    <xf numFmtId="11" fontId="8" fillId="4" borderId="17" xfId="9" applyNumberFormat="1" applyFont="1" applyFill="1" applyBorder="1" applyAlignment="1" applyProtection="1">
      <alignment horizontal="center"/>
      <protection locked="0"/>
    </xf>
    <xf numFmtId="10" fontId="8" fillId="4" borderId="17" xfId="9" applyNumberFormat="1" applyFont="1" applyFill="1" applyBorder="1" applyAlignment="1" applyProtection="1">
      <alignment horizontal="center"/>
      <protection locked="0"/>
    </xf>
    <xf numFmtId="11" fontId="8" fillId="0" borderId="17" xfId="9" applyNumberFormat="1" applyFont="1" applyBorder="1" applyAlignment="1">
      <alignment horizontal="center"/>
    </xf>
    <xf numFmtId="11" fontId="8" fillId="0" borderId="18" xfId="9" applyNumberFormat="1" applyFont="1" applyBorder="1" applyAlignment="1">
      <alignment horizontal="center"/>
    </xf>
    <xf numFmtId="0" fontId="8" fillId="4" borderId="17" xfId="9" applyFont="1" applyFill="1" applyBorder="1" applyProtection="1">
      <protection locked="0"/>
    </xf>
    <xf numFmtId="11" fontId="8" fillId="0" borderId="25" xfId="9" applyNumberFormat="1" applyFont="1" applyBorder="1" applyAlignment="1">
      <alignment horizontal="center"/>
    </xf>
    <xf numFmtId="11" fontId="8" fillId="0" borderId="29" xfId="9" applyNumberFormat="1" applyFont="1" applyBorder="1" applyAlignment="1">
      <alignment horizontal="center"/>
    </xf>
    <xf numFmtId="11" fontId="8" fillId="0" borderId="26" xfId="9" applyNumberFormat="1" applyFont="1" applyBorder="1" applyAlignment="1">
      <alignment horizontal="center"/>
    </xf>
    <xf numFmtId="11" fontId="8" fillId="0" borderId="30" xfId="9" applyNumberFormat="1" applyFont="1" applyBorder="1" applyAlignment="1">
      <alignment horizontal="center"/>
    </xf>
    <xf numFmtId="11" fontId="8" fillId="0" borderId="27" xfId="9" applyNumberFormat="1" applyFont="1" applyBorder="1" applyAlignment="1">
      <alignment horizontal="center"/>
    </xf>
    <xf numFmtId="0" fontId="11" fillId="0" borderId="56" xfId="9" applyFont="1" applyBorder="1"/>
    <xf numFmtId="11" fontId="8" fillId="4" borderId="26" xfId="9" applyNumberFormat="1" applyFont="1" applyFill="1" applyBorder="1" applyAlignment="1" applyProtection="1">
      <alignment horizontal="center"/>
      <protection locked="0"/>
    </xf>
    <xf numFmtId="10" fontId="8" fillId="4" borderId="26" xfId="9" applyNumberFormat="1" applyFont="1" applyFill="1" applyBorder="1" applyAlignment="1" applyProtection="1">
      <alignment horizontal="center"/>
      <protection locked="0"/>
    </xf>
    <xf numFmtId="0" fontId="8" fillId="4" borderId="26" xfId="9" applyFont="1" applyFill="1" applyBorder="1" applyProtection="1">
      <protection locked="0"/>
    </xf>
    <xf numFmtId="0" fontId="20" fillId="0" borderId="0" xfId="9" applyFont="1"/>
    <xf numFmtId="0" fontId="12" fillId="0" borderId="0" xfId="9" applyFont="1" applyAlignment="1">
      <alignment vertical="top"/>
    </xf>
    <xf numFmtId="0" fontId="8" fillId="0" borderId="0" xfId="9" applyFont="1" applyProtection="1">
      <protection locked="0"/>
    </xf>
    <xf numFmtId="11" fontId="8" fillId="0" borderId="0" xfId="9" applyNumberFormat="1" applyFont="1" applyAlignment="1">
      <alignment horizontal="center"/>
    </xf>
    <xf numFmtId="0" fontId="13" fillId="0" borderId="0" xfId="9" applyFont="1"/>
    <xf numFmtId="11" fontId="8" fillId="4" borderId="22" xfId="9" applyNumberFormat="1" applyFont="1" applyFill="1" applyBorder="1" applyAlignment="1" applyProtection="1">
      <alignment horizontal="left"/>
      <protection locked="0"/>
    </xf>
    <xf numFmtId="0" fontId="8" fillId="0" borderId="0" xfId="9" applyFont="1" applyAlignment="1" applyProtection="1">
      <alignment horizontal="left"/>
      <protection locked="0"/>
    </xf>
    <xf numFmtId="0" fontId="11" fillId="0" borderId="0" xfId="9" applyFont="1"/>
    <xf numFmtId="0" fontId="12" fillId="0" borderId="0" xfId="9" applyFont="1"/>
    <xf numFmtId="0" fontId="8" fillId="0" borderId="0" xfId="9" applyFont="1" applyAlignment="1">
      <alignment vertical="top"/>
    </xf>
    <xf numFmtId="0" fontId="12" fillId="0" borderId="0" xfId="9" applyFont="1" applyAlignment="1">
      <alignment wrapText="1"/>
    </xf>
    <xf numFmtId="0" fontId="8" fillId="0" borderId="0" xfId="9" applyFont="1" applyAlignment="1">
      <alignment wrapText="1"/>
    </xf>
    <xf numFmtId="0" fontId="8" fillId="0" borderId="0" xfId="9" applyFont="1" applyAlignment="1">
      <alignment vertical="top" wrapText="1"/>
    </xf>
    <xf numFmtId="0" fontId="6" fillId="0" borderId="0" xfId="9" applyFont="1"/>
    <xf numFmtId="0" fontId="8" fillId="0" borderId="36" xfId="9" applyFont="1" applyBorder="1" applyAlignment="1">
      <alignment horizontal="center" wrapText="1"/>
    </xf>
    <xf numFmtId="0" fontId="8" fillId="0" borderId="67" xfId="9" applyFont="1" applyBorder="1" applyAlignment="1">
      <alignment horizontal="center" wrapText="1"/>
    </xf>
    <xf numFmtId="0" fontId="8" fillId="0" borderId="62" xfId="9" applyFont="1" applyBorder="1" applyAlignment="1">
      <alignment horizontal="center" wrapText="1"/>
    </xf>
    <xf numFmtId="0" fontId="16" fillId="0" borderId="62" xfId="9" applyFont="1" applyBorder="1" applyAlignment="1">
      <alignment horizontal="center" wrapText="1"/>
    </xf>
    <xf numFmtId="0" fontId="16" fillId="0" borderId="68" xfId="9" applyFont="1" applyBorder="1" applyAlignment="1">
      <alignment horizontal="center" wrapText="1"/>
    </xf>
    <xf numFmtId="0" fontId="16" fillId="0" borderId="61" xfId="9" applyFont="1" applyBorder="1" applyAlignment="1">
      <alignment horizontal="center" wrapText="1"/>
    </xf>
    <xf numFmtId="0" fontId="8" fillId="0" borderId="10" xfId="9" applyFont="1" applyBorder="1" applyAlignment="1">
      <alignment horizontal="center"/>
    </xf>
    <xf numFmtId="0" fontId="8" fillId="0" borderId="11" xfId="9" applyFont="1" applyBorder="1" applyAlignment="1">
      <alignment horizontal="center" wrapText="1"/>
    </xf>
    <xf numFmtId="0" fontId="8" fillId="0" borderId="61" xfId="9" applyFont="1" applyBorder="1" applyAlignment="1">
      <alignment horizontal="center" wrapText="1"/>
    </xf>
    <xf numFmtId="0" fontId="8" fillId="0" borderId="66" xfId="9" applyFont="1" applyBorder="1" applyAlignment="1">
      <alignment horizontal="center" wrapText="1"/>
    </xf>
    <xf numFmtId="0" fontId="8" fillId="0" borderId="65" xfId="9" applyFont="1" applyBorder="1" applyAlignment="1">
      <alignment horizontal="center" wrapText="1"/>
    </xf>
    <xf numFmtId="0" fontId="8" fillId="0" borderId="64" xfId="9" applyFont="1" applyBorder="1" applyAlignment="1">
      <alignment horizontal="center" wrapText="1"/>
    </xf>
    <xf numFmtId="0" fontId="8" fillId="0" borderId="63" xfId="9" applyFont="1" applyBorder="1" applyAlignment="1">
      <alignment horizontal="center" wrapText="1"/>
    </xf>
    <xf numFmtId="0" fontId="8" fillId="0" borderId="44" xfId="9" applyFont="1" applyBorder="1" applyAlignment="1">
      <alignment horizontal="center" wrapText="1"/>
    </xf>
    <xf numFmtId="0" fontId="8" fillId="0" borderId="60" xfId="9" applyFont="1" applyBorder="1" applyAlignment="1">
      <alignment horizontal="center" wrapText="1"/>
    </xf>
    <xf numFmtId="0" fontId="3" fillId="0" borderId="0" xfId="9" applyAlignment="1">
      <alignment horizontal="center" wrapText="1"/>
    </xf>
    <xf numFmtId="0" fontId="15" fillId="0" borderId="34" xfId="9" applyFont="1" applyBorder="1"/>
    <xf numFmtId="0" fontId="8" fillId="0" borderId="4" xfId="9" applyFont="1" applyBorder="1" applyAlignment="1">
      <alignment horizontal="center"/>
    </xf>
    <xf numFmtId="0" fontId="8" fillId="0" borderId="5" xfId="9" applyFont="1" applyBorder="1" applyAlignment="1">
      <alignment horizontal="center"/>
    </xf>
    <xf numFmtId="0" fontId="8" fillId="0" borderId="6" xfId="9" applyFont="1" applyBorder="1" applyAlignment="1">
      <alignment horizontal="center"/>
    </xf>
    <xf numFmtId="0" fontId="8" fillId="0" borderId="0" xfId="9" applyFont="1" applyAlignment="1">
      <alignment horizontal="center"/>
    </xf>
    <xf numFmtId="0" fontId="8" fillId="0" borderId="59" xfId="9" applyFont="1" applyBorder="1" applyAlignment="1">
      <alignment horizontal="center"/>
    </xf>
    <xf numFmtId="0" fontId="11" fillId="0" borderId="34" xfId="9" applyFont="1" applyBorder="1" applyAlignment="1">
      <alignment horizontal="left"/>
    </xf>
    <xf numFmtId="0" fontId="8" fillId="0" borderId="1" xfId="9" quotePrefix="1" applyFont="1" applyBorder="1" applyAlignment="1">
      <alignment horizontal="center"/>
    </xf>
    <xf numFmtId="0" fontId="8" fillId="0" borderId="0" xfId="9" quotePrefix="1" applyFont="1" applyAlignment="1">
      <alignment horizontal="center"/>
    </xf>
    <xf numFmtId="166" fontId="8" fillId="0" borderId="0" xfId="9" applyNumberFormat="1" applyFont="1" applyAlignment="1">
      <alignment horizontal="center"/>
    </xf>
    <xf numFmtId="1" fontId="8" fillId="0" borderId="0" xfId="9" applyNumberFormat="1" applyFont="1" applyAlignment="1">
      <alignment horizontal="center"/>
    </xf>
    <xf numFmtId="0" fontId="8" fillId="0" borderId="7" xfId="9" applyFont="1" applyBorder="1" applyAlignment="1">
      <alignment horizontal="center"/>
    </xf>
    <xf numFmtId="2" fontId="8" fillId="0" borderId="0" xfId="9" applyNumberFormat="1" applyFont="1" applyAlignment="1">
      <alignment horizontal="center"/>
    </xf>
    <xf numFmtId="0" fontId="8" fillId="0" borderId="1" xfId="9" applyFont="1" applyBorder="1" applyAlignment="1">
      <alignment horizontal="center"/>
    </xf>
    <xf numFmtId="0" fontId="8" fillId="0" borderId="58" xfId="9" applyFont="1" applyBorder="1" applyAlignment="1">
      <alignment horizontal="center"/>
    </xf>
    <xf numFmtId="0" fontId="3" fillId="0" borderId="0" xfId="9" applyAlignment="1">
      <alignment horizontal="right"/>
    </xf>
    <xf numFmtId="166" fontId="8" fillId="0" borderId="0" xfId="10" applyNumberFormat="1" applyFont="1" applyFill="1" applyBorder="1" applyAlignment="1">
      <alignment horizontal="center"/>
    </xf>
    <xf numFmtId="2" fontId="8" fillId="0" borderId="1" xfId="9" applyNumberFormat="1" applyFont="1" applyBorder="1" applyAlignment="1">
      <alignment horizontal="center"/>
    </xf>
    <xf numFmtId="2" fontId="8" fillId="0" borderId="0" xfId="9" quotePrefix="1" applyNumberFormat="1" applyFont="1" applyAlignment="1">
      <alignment horizontal="center"/>
    </xf>
    <xf numFmtId="0" fontId="11" fillId="0" borderId="34" xfId="9" applyFont="1" applyBorder="1"/>
    <xf numFmtId="11" fontId="8" fillId="0" borderId="1" xfId="9" applyNumberFormat="1" applyFont="1" applyBorder="1" applyAlignment="1">
      <alignment horizontal="center"/>
    </xf>
    <xf numFmtId="11" fontId="8" fillId="0" borderId="7" xfId="9" applyNumberFormat="1" applyFont="1" applyBorder="1" applyAlignment="1">
      <alignment horizontal="center"/>
    </xf>
    <xf numFmtId="11" fontId="8" fillId="0" borderId="58" xfId="9" applyNumberFormat="1" applyFont="1" applyBorder="1" applyAlignment="1">
      <alignment horizontal="center"/>
    </xf>
    <xf numFmtId="2" fontId="8" fillId="0" borderId="7" xfId="9" applyNumberFormat="1" applyFont="1" applyBorder="1" applyAlignment="1">
      <alignment horizontal="center"/>
    </xf>
    <xf numFmtId="2" fontId="8" fillId="0" borderId="58" xfId="9" applyNumberFormat="1" applyFont="1" applyBorder="1" applyAlignment="1">
      <alignment horizontal="center"/>
    </xf>
    <xf numFmtId="0" fontId="15" fillId="0" borderId="34" xfId="9" applyFont="1" applyBorder="1" applyAlignment="1">
      <alignment horizontal="left"/>
    </xf>
    <xf numFmtId="0" fontId="3" fillId="0" borderId="0" xfId="9" applyAlignment="1">
      <alignment horizontal="left"/>
    </xf>
    <xf numFmtId="0" fontId="12" fillId="0" borderId="34" xfId="9" applyFont="1" applyBorder="1"/>
    <xf numFmtId="11" fontId="16" fillId="0" borderId="0" xfId="9" applyNumberFormat="1" applyFont="1" applyAlignment="1">
      <alignment horizontal="center"/>
    </xf>
    <xf numFmtId="11" fontId="16" fillId="0" borderId="7" xfId="9" applyNumberFormat="1" applyFont="1" applyBorder="1" applyAlignment="1">
      <alignment horizontal="center"/>
    </xf>
    <xf numFmtId="0" fontId="16" fillId="0" borderId="34" xfId="9" applyFont="1" applyBorder="1"/>
    <xf numFmtId="0" fontId="3" fillId="3" borderId="0" xfId="9" applyFill="1"/>
    <xf numFmtId="0" fontId="15" fillId="0" borderId="37" xfId="9" applyFont="1" applyBorder="1"/>
    <xf numFmtId="11" fontId="8" fillId="0" borderId="2" xfId="9" applyNumberFormat="1" applyFont="1" applyBorder="1" applyAlignment="1">
      <alignment horizontal="center"/>
    </xf>
    <xf numFmtId="11" fontId="8" fillId="0" borderId="3" xfId="9" applyNumberFormat="1" applyFont="1" applyBorder="1" applyAlignment="1">
      <alignment horizontal="center"/>
    </xf>
    <xf numFmtId="11" fontId="8" fillId="0" borderId="8" xfId="9" applyNumberFormat="1" applyFont="1" applyBorder="1" applyAlignment="1">
      <alignment horizontal="center"/>
    </xf>
    <xf numFmtId="11" fontId="8" fillId="0" borderId="57" xfId="9" applyNumberFormat="1" applyFont="1" applyBorder="1" applyAlignment="1">
      <alignment horizontal="center"/>
    </xf>
    <xf numFmtId="0" fontId="8" fillId="0" borderId="0" xfId="9" applyFont="1" applyAlignment="1">
      <alignment horizontal="left"/>
    </xf>
    <xf numFmtId="0" fontId="23" fillId="0" borderId="0" xfId="15" applyFont="1"/>
    <xf numFmtId="0" fontId="24" fillId="0" borderId="0" xfId="15" applyFont="1"/>
    <xf numFmtId="0" fontId="24" fillId="0" borderId="0" xfId="15" applyFont="1" applyAlignment="1">
      <alignment horizontal="center"/>
    </xf>
    <xf numFmtId="0" fontId="25" fillId="0" borderId="0" xfId="15" applyFont="1"/>
    <xf numFmtId="172" fontId="25" fillId="0" borderId="0" xfId="15" applyNumberFormat="1" applyFont="1" applyAlignment="1">
      <alignment horizontal="left"/>
    </xf>
    <xf numFmtId="0" fontId="25" fillId="0" borderId="13" xfId="15" applyFont="1" applyBorder="1" applyAlignment="1">
      <alignment horizontal="center"/>
    </xf>
    <xf numFmtId="0" fontId="25" fillId="0" borderId="91" xfId="15" applyFont="1" applyBorder="1" applyAlignment="1">
      <alignment horizontal="center"/>
    </xf>
    <xf numFmtId="14" fontId="24" fillId="0" borderId="4" xfId="15" applyNumberFormat="1" applyFont="1" applyBorder="1"/>
    <xf numFmtId="0" fontId="24" fillId="0" borderId="6" xfId="15" applyFont="1" applyBorder="1"/>
    <xf numFmtId="0" fontId="24" fillId="0" borderId="14" xfId="15" applyFont="1" applyBorder="1" applyAlignment="1">
      <alignment horizontal="center"/>
    </xf>
    <xf numFmtId="0" fontId="24" fillId="0" borderId="15" xfId="15" applyFont="1" applyBorder="1" applyAlignment="1">
      <alignment horizontal="center"/>
    </xf>
    <xf numFmtId="0" fontId="24" fillId="0" borderId="32" xfId="15" applyFont="1" applyBorder="1" applyAlignment="1">
      <alignment horizontal="center"/>
    </xf>
    <xf numFmtId="0" fontId="24" fillId="0" borderId="8" xfId="15" applyFont="1" applyBorder="1" applyAlignment="1">
      <alignment horizontal="center"/>
    </xf>
    <xf numFmtId="0" fontId="24" fillId="0" borderId="53" xfId="15" applyFont="1" applyBorder="1"/>
    <xf numFmtId="0" fontId="24" fillId="0" borderId="71" xfId="15" applyFont="1" applyBorder="1"/>
    <xf numFmtId="0" fontId="24" fillId="0" borderId="29" xfId="15" applyFont="1" applyBorder="1" applyAlignment="1">
      <alignment horizontal="center"/>
    </xf>
    <xf numFmtId="0" fontId="24" fillId="0" borderId="26" xfId="15" applyFont="1" applyBorder="1" applyAlignment="1">
      <alignment horizontal="center"/>
    </xf>
    <xf numFmtId="0" fontId="24" fillId="0" borderId="30" xfId="15" applyFont="1" applyBorder="1" applyAlignment="1">
      <alignment horizontal="center"/>
    </xf>
    <xf numFmtId="0" fontId="24" fillId="0" borderId="94" xfId="15" applyFont="1" applyBorder="1" applyAlignment="1">
      <alignment horizontal="center"/>
    </xf>
    <xf numFmtId="0" fontId="24" fillId="0" borderId="54" xfId="15" applyFont="1" applyBorder="1"/>
    <xf numFmtId="0" fontId="24" fillId="0" borderId="69" xfId="15" applyFont="1" applyBorder="1"/>
    <xf numFmtId="0" fontId="24" fillId="0" borderId="21" xfId="15" applyFont="1" applyBorder="1" applyAlignment="1">
      <alignment horizontal="center"/>
    </xf>
    <xf numFmtId="0" fontId="24" fillId="0" borderId="22" xfId="15" applyFont="1" applyBorder="1" applyAlignment="1">
      <alignment horizontal="center"/>
    </xf>
    <xf numFmtId="0" fontId="24" fillId="0" borderId="37" xfId="15" applyFont="1" applyBorder="1" applyAlignment="1">
      <alignment horizontal="center"/>
    </xf>
    <xf numFmtId="0" fontId="24" fillId="0" borderId="34" xfId="15" applyFont="1" applyBorder="1" applyAlignment="1">
      <alignment horizontal="center"/>
    </xf>
    <xf numFmtId="0" fontId="25" fillId="12" borderId="34" xfId="15" applyFont="1" applyFill="1" applyBorder="1" applyAlignment="1">
      <alignment horizontal="center"/>
    </xf>
    <xf numFmtId="0" fontId="24" fillId="0" borderId="21" xfId="15" quotePrefix="1" applyFont="1" applyBorder="1" applyAlignment="1">
      <alignment horizontal="center"/>
    </xf>
    <xf numFmtId="0" fontId="24" fillId="0" borderId="22" xfId="15" quotePrefix="1" applyFont="1" applyBorder="1" applyAlignment="1">
      <alignment horizontal="center"/>
    </xf>
    <xf numFmtId="0" fontId="24" fillId="0" borderId="37" xfId="15" quotePrefix="1" applyFont="1" applyBorder="1" applyAlignment="1">
      <alignment horizontal="center"/>
    </xf>
    <xf numFmtId="0" fontId="24" fillId="0" borderId="55" xfId="15" applyFont="1" applyBorder="1"/>
    <xf numFmtId="0" fontId="24" fillId="0" borderId="70" xfId="15" applyFont="1" applyBorder="1"/>
    <xf numFmtId="0" fontId="24" fillId="0" borderId="24" xfId="15" applyFont="1" applyBorder="1" applyAlignment="1">
      <alignment horizontal="center"/>
    </xf>
    <xf numFmtId="0" fontId="24" fillId="0" borderId="17" xfId="15" applyFont="1" applyBorder="1" applyAlignment="1">
      <alignment horizontal="center"/>
    </xf>
    <xf numFmtId="0" fontId="24" fillId="0" borderId="18" xfId="15" applyFont="1" applyBorder="1" applyAlignment="1">
      <alignment horizontal="center"/>
    </xf>
    <xf numFmtId="0" fontId="24" fillId="0" borderId="92" xfId="15" applyFont="1" applyBorder="1" applyAlignment="1">
      <alignment horizontal="center"/>
    </xf>
    <xf numFmtId="0" fontId="26" fillId="0" borderId="0" xfId="0" applyFont="1"/>
    <xf numFmtId="0" fontId="27" fillId="0" borderId="0" xfId="0" applyFont="1"/>
    <xf numFmtId="0" fontId="28" fillId="0" borderId="14" xfId="0" applyFont="1" applyBorder="1"/>
    <xf numFmtId="0" fontId="28" fillId="0" borderId="40" xfId="0" applyFont="1" applyBorder="1"/>
    <xf numFmtId="0" fontId="28" fillId="0" borderId="10" xfId="0" applyFont="1" applyBorder="1"/>
    <xf numFmtId="0" fontId="26" fillId="0" borderId="40" xfId="0" applyFont="1" applyBorder="1"/>
    <xf numFmtId="0" fontId="28" fillId="0" borderId="11" xfId="0" applyFont="1" applyBorder="1"/>
    <xf numFmtId="0" fontId="26" fillId="0" borderId="19" xfId="0" applyFont="1" applyBorder="1"/>
    <xf numFmtId="0" fontId="26" fillId="0" borderId="41" xfId="0" applyFont="1" applyBorder="1"/>
    <xf numFmtId="0" fontId="26" fillId="0" borderId="76" xfId="0" applyFont="1" applyBorder="1"/>
    <xf numFmtId="0" fontId="26" fillId="0" borderId="42" xfId="0" applyFont="1" applyBorder="1"/>
    <xf numFmtId="0" fontId="26" fillId="0" borderId="76" xfId="0" applyFont="1" applyBorder="1" applyAlignment="1">
      <alignment horizontal="right"/>
    </xf>
    <xf numFmtId="0" fontId="26" fillId="0" borderId="71" xfId="0" applyFont="1" applyBorder="1"/>
    <xf numFmtId="0" fontId="26" fillId="0" borderId="21" xfId="0" applyFont="1" applyBorder="1"/>
    <xf numFmtId="0" fontId="26" fillId="0" borderId="38" xfId="0" applyFont="1" applyBorder="1"/>
    <xf numFmtId="0" fontId="26" fillId="0" borderId="50" xfId="0" applyFont="1" applyBorder="1"/>
    <xf numFmtId="0" fontId="26" fillId="0" borderId="37" xfId="0" applyFont="1" applyBorder="1"/>
    <xf numFmtId="0" fontId="26" fillId="0" borderId="50" xfId="0" applyFont="1" applyBorder="1" applyAlignment="1">
      <alignment horizontal="right"/>
    </xf>
    <xf numFmtId="0" fontId="26" fillId="0" borderId="69" xfId="0" applyFont="1" applyBorder="1"/>
    <xf numFmtId="0" fontId="26" fillId="0" borderId="24" xfId="0" applyFont="1" applyBorder="1"/>
    <xf numFmtId="0" fontId="26" fillId="0" borderId="39" xfId="0" applyFont="1" applyBorder="1"/>
    <xf numFmtId="0" fontId="26" fillId="0" borderId="77" xfId="0" applyFont="1" applyBorder="1"/>
    <xf numFmtId="0" fontId="26" fillId="0" borderId="18" xfId="0" applyFont="1" applyBorder="1"/>
    <xf numFmtId="0" fontId="26" fillId="0" borderId="77" xfId="0" applyFont="1" applyBorder="1" applyAlignment="1">
      <alignment horizontal="right"/>
    </xf>
    <xf numFmtId="0" fontId="26" fillId="0" borderId="70" xfId="0" applyFont="1" applyBorder="1"/>
    <xf numFmtId="0" fontId="26" fillId="0" borderId="56" xfId="0" applyFont="1" applyBorder="1"/>
    <xf numFmtId="0" fontId="26" fillId="0" borderId="35" xfId="0" applyFont="1" applyBorder="1"/>
    <xf numFmtId="0" fontId="26" fillId="0" borderId="53" xfId="0" applyFont="1" applyBorder="1" applyAlignment="1">
      <alignment horizontal="right"/>
    </xf>
    <xf numFmtId="0" fontId="26" fillId="0" borderId="54" xfId="0" applyFont="1" applyBorder="1"/>
    <xf numFmtId="0" fontId="26" fillId="0" borderId="54" xfId="0" applyFont="1" applyBorder="1" applyAlignment="1">
      <alignment horizontal="right"/>
    </xf>
    <xf numFmtId="3" fontId="26" fillId="0" borderId="50" xfId="0" applyNumberFormat="1" applyFont="1" applyBorder="1"/>
    <xf numFmtId="0" fontId="28" fillId="6" borderId="54" xfId="0" applyFont="1" applyFill="1" applyBorder="1"/>
    <xf numFmtId="0" fontId="28" fillId="6" borderId="50" xfId="0" applyFont="1" applyFill="1" applyBorder="1"/>
    <xf numFmtId="0" fontId="28" fillId="6" borderId="54" xfId="0" applyFont="1" applyFill="1" applyBorder="1" applyAlignment="1">
      <alignment horizontal="right"/>
    </xf>
    <xf numFmtId="0" fontId="28" fillId="6" borderId="69" xfId="0" applyFont="1" applyFill="1" applyBorder="1"/>
    <xf numFmtId="166" fontId="28" fillId="6" borderId="50" xfId="0" applyNumberFormat="1" applyFont="1" applyFill="1" applyBorder="1"/>
    <xf numFmtId="0" fontId="26" fillId="0" borderId="55" xfId="0" applyFont="1" applyBorder="1"/>
    <xf numFmtId="0" fontId="26" fillId="0" borderId="55" xfId="0" applyFont="1" applyBorder="1" applyAlignment="1">
      <alignment horizontal="right"/>
    </xf>
    <xf numFmtId="0" fontId="29" fillId="0" borderId="0" xfId="0" applyFont="1" applyAlignment="1">
      <alignment horizontal="center"/>
    </xf>
    <xf numFmtId="0" fontId="30" fillId="0" borderId="0" xfId="0" applyFont="1"/>
    <xf numFmtId="0" fontId="26" fillId="0" borderId="0" xfId="0" applyFont="1" applyAlignment="1">
      <alignment horizontal="center"/>
    </xf>
    <xf numFmtId="0" fontId="28" fillId="0" borderId="0" xfId="0" applyFont="1"/>
    <xf numFmtId="0" fontId="28" fillId="0" borderId="11" xfId="0" applyFont="1" applyBorder="1" applyAlignment="1">
      <alignment horizontal="center" wrapText="1"/>
    </xf>
    <xf numFmtId="0" fontId="28" fillId="0" borderId="12" xfId="0" applyFont="1" applyBorder="1" applyAlignment="1">
      <alignment horizontal="center" wrapText="1"/>
    </xf>
    <xf numFmtId="0" fontId="28" fillId="0" borderId="0" xfId="0" applyFont="1" applyAlignment="1">
      <alignment wrapText="1"/>
    </xf>
    <xf numFmtId="0" fontId="31" fillId="0" borderId="48" xfId="0" applyFont="1" applyBorder="1" applyAlignment="1">
      <alignment horizontal="left"/>
    </xf>
    <xf numFmtId="0" fontId="31" fillId="0" borderId="49" xfId="0" applyFont="1" applyBorder="1" applyAlignment="1">
      <alignment horizontal="right" wrapText="1"/>
    </xf>
    <xf numFmtId="0" fontId="31" fillId="0" borderId="49" xfId="0" applyFont="1" applyBorder="1" applyAlignment="1">
      <alignment horizontal="left" wrapText="1"/>
    </xf>
    <xf numFmtId="0" fontId="31" fillId="0" borderId="78" xfId="0" applyFont="1" applyBorder="1" applyAlignment="1">
      <alignment horizontal="center" wrapText="1"/>
    </xf>
    <xf numFmtId="0" fontId="28" fillId="0" borderId="14" xfId="0" applyFont="1" applyBorder="1" applyAlignment="1">
      <alignment horizontal="center" wrapText="1"/>
    </xf>
    <xf numFmtId="0" fontId="28" fillId="0" borderId="15" xfId="0" applyFont="1" applyBorder="1" applyAlignment="1">
      <alignment horizontal="center" wrapText="1"/>
    </xf>
    <xf numFmtId="0" fontId="28" fillId="0" borderId="16" xfId="0" applyFont="1" applyBorder="1" applyAlignment="1">
      <alignment horizontal="center" wrapText="1"/>
    </xf>
    <xf numFmtId="0" fontId="28" fillId="0" borderId="13" xfId="0" applyFont="1" applyBorder="1" applyAlignment="1">
      <alignment horizontal="center" wrapText="1"/>
    </xf>
    <xf numFmtId="0" fontId="28" fillId="0" borderId="19" xfId="0" applyFont="1" applyBorder="1" applyAlignment="1">
      <alignment horizontal="left"/>
    </xf>
    <xf numFmtId="0" fontId="26" fillId="0" borderId="20" xfId="0" applyFont="1" applyBorder="1" applyAlignment="1">
      <alignment horizontal="right"/>
    </xf>
    <xf numFmtId="0" fontId="26" fillId="0" borderId="20" xfId="0" applyFont="1" applyBorder="1" applyAlignment="1">
      <alignment horizontal="left"/>
    </xf>
    <xf numFmtId="0" fontId="26" fillId="0" borderId="42" xfId="0" applyFont="1" applyBorder="1" applyAlignment="1">
      <alignment horizontal="center"/>
    </xf>
    <xf numFmtId="2" fontId="26" fillId="0" borderId="29" xfId="0" applyNumberFormat="1" applyFont="1" applyBorder="1" applyAlignment="1">
      <alignment horizontal="center"/>
    </xf>
    <xf numFmtId="2" fontId="26" fillId="0" borderId="27" xfId="0" applyNumberFormat="1" applyFont="1" applyBorder="1" applyAlignment="1">
      <alignment horizontal="center"/>
    </xf>
    <xf numFmtId="2" fontId="26" fillId="0" borderId="72" xfId="0" applyNumberFormat="1" applyFont="1" applyBorder="1" applyAlignment="1">
      <alignment horizontal="center"/>
    </xf>
    <xf numFmtId="2" fontId="26" fillId="0" borderId="30" xfId="0" applyNumberFormat="1" applyFont="1" applyBorder="1" applyAlignment="1">
      <alignment horizontal="center"/>
    </xf>
    <xf numFmtId="0" fontId="28" fillId="0" borderId="36" xfId="0" applyFont="1" applyBorder="1" applyAlignment="1">
      <alignment horizontal="center"/>
    </xf>
    <xf numFmtId="166" fontId="26" fillId="0" borderId="0" xfId="0" applyNumberFormat="1" applyFont="1"/>
    <xf numFmtId="0" fontId="28" fillId="0" borderId="21" xfId="0" applyFont="1" applyBorder="1" applyAlignment="1">
      <alignment horizontal="left"/>
    </xf>
    <xf numFmtId="0" fontId="26" fillId="0" borderId="22" xfId="0" applyFont="1" applyBorder="1" applyAlignment="1">
      <alignment horizontal="right"/>
    </xf>
    <xf numFmtId="0" fontId="26" fillId="0" borderId="22" xfId="0" applyFont="1" applyBorder="1" applyAlignment="1">
      <alignment horizontal="left"/>
    </xf>
    <xf numFmtId="0" fontId="26" fillId="0" borderId="37" xfId="0" applyFont="1" applyBorder="1" applyAlignment="1">
      <alignment horizontal="center"/>
    </xf>
    <xf numFmtId="2" fontId="26" fillId="0" borderId="23" xfId="0" applyNumberFormat="1" applyFont="1" applyBorder="1" applyAlignment="1">
      <alignment horizontal="center"/>
    </xf>
    <xf numFmtId="2" fontId="26" fillId="0" borderId="38" xfId="0" applyNumberFormat="1" applyFont="1" applyBorder="1" applyAlignment="1">
      <alignment horizontal="center"/>
    </xf>
    <xf numFmtId="2" fontId="26" fillId="0" borderId="37" xfId="0" applyNumberFormat="1" applyFont="1" applyBorder="1" applyAlignment="1">
      <alignment horizontal="center"/>
    </xf>
    <xf numFmtId="0" fontId="28" fillId="0" borderId="34" xfId="0" applyFont="1" applyBorder="1" applyAlignment="1">
      <alignment horizontal="center"/>
    </xf>
    <xf numFmtId="0" fontId="26" fillId="0" borderId="22" xfId="0" quotePrefix="1" applyFont="1" applyBorder="1" applyAlignment="1">
      <alignment horizontal="right"/>
    </xf>
    <xf numFmtId="11" fontId="26" fillId="0" borderId="29" xfId="0" applyNumberFormat="1" applyFont="1" applyBorder="1" applyAlignment="1">
      <alignment horizontal="center"/>
    </xf>
    <xf numFmtId="11" fontId="26" fillId="0" borderId="23" xfId="0" applyNumberFormat="1" applyFont="1" applyBorder="1" applyAlignment="1">
      <alignment horizontal="center"/>
    </xf>
    <xf numFmtId="11" fontId="26" fillId="0" borderId="38" xfId="0" applyNumberFormat="1" applyFont="1" applyBorder="1" applyAlignment="1">
      <alignment horizontal="center"/>
    </xf>
    <xf numFmtId="11" fontId="26" fillId="0" borderId="37" xfId="0" applyNumberFormat="1" applyFont="1" applyBorder="1" applyAlignment="1">
      <alignment horizontal="center"/>
    </xf>
    <xf numFmtId="11" fontId="28" fillId="0" borderId="34" xfId="0" applyNumberFormat="1" applyFont="1" applyBorder="1" applyAlignment="1">
      <alignment horizontal="center"/>
    </xf>
    <xf numFmtId="11" fontId="26" fillId="0" borderId="21" xfId="0" applyNumberFormat="1" applyFont="1" applyBorder="1" applyAlignment="1">
      <alignment horizontal="center"/>
    </xf>
    <xf numFmtId="0" fontId="28" fillId="0" borderId="24" xfId="0" applyFont="1" applyBorder="1" applyAlignment="1">
      <alignment horizontal="left"/>
    </xf>
    <xf numFmtId="0" fontId="26" fillId="0" borderId="17" xfId="0" applyFont="1" applyBorder="1" applyAlignment="1">
      <alignment horizontal="right"/>
    </xf>
    <xf numFmtId="0" fontId="26" fillId="0" borderId="17" xfId="0" applyFont="1" applyBorder="1" applyAlignment="1">
      <alignment horizontal="left"/>
    </xf>
    <xf numFmtId="0" fontId="26" fillId="0" borderId="18" xfId="0" applyFont="1" applyBorder="1" applyAlignment="1">
      <alignment horizontal="center"/>
    </xf>
    <xf numFmtId="11" fontId="26" fillId="0" borderId="24" xfId="0" applyNumberFormat="1" applyFont="1" applyBorder="1" applyAlignment="1">
      <alignment horizontal="center"/>
    </xf>
    <xf numFmtId="11" fontId="26" fillId="0" borderId="25" xfId="0" applyNumberFormat="1" applyFont="1" applyBorder="1" applyAlignment="1">
      <alignment horizontal="center"/>
    </xf>
    <xf numFmtId="11" fontId="26" fillId="0" borderId="39" xfId="0" applyNumberFormat="1" applyFont="1" applyBorder="1" applyAlignment="1">
      <alignment horizontal="center"/>
    </xf>
    <xf numFmtId="11" fontId="26" fillId="0" borderId="18" xfId="0" applyNumberFormat="1" applyFont="1" applyBorder="1" applyAlignment="1">
      <alignment horizontal="center"/>
    </xf>
    <xf numFmtId="11" fontId="28" fillId="0" borderId="92" xfId="0" applyNumberFormat="1" applyFont="1" applyBorder="1" applyAlignment="1">
      <alignment horizontal="center"/>
    </xf>
    <xf numFmtId="0" fontId="26" fillId="0" borderId="0" xfId="0" applyFont="1" applyAlignment="1">
      <alignment horizontal="right"/>
    </xf>
    <xf numFmtId="0" fontId="28" fillId="0" borderId="9" xfId="0" applyFont="1" applyBorder="1" applyAlignment="1">
      <alignment wrapText="1"/>
    </xf>
    <xf numFmtId="0" fontId="28" fillId="0" borderId="4" xfId="2" applyFont="1" applyBorder="1" applyAlignment="1">
      <alignment horizontal="left" wrapText="1"/>
    </xf>
    <xf numFmtId="0" fontId="28" fillId="0" borderId="48" xfId="0" applyFont="1" applyBorder="1" applyAlignment="1">
      <alignment horizontal="center" wrapText="1"/>
    </xf>
    <xf numFmtId="0" fontId="28" fillId="0" borderId="52" xfId="0" applyFont="1" applyBorder="1" applyAlignment="1">
      <alignment horizontal="center" wrapText="1"/>
    </xf>
    <xf numFmtId="0" fontId="28" fillId="0" borderId="51" xfId="0" applyFont="1" applyBorder="1" applyAlignment="1">
      <alignment horizontal="center" wrapText="1"/>
    </xf>
    <xf numFmtId="0" fontId="28" fillId="0" borderId="6" xfId="0" applyFont="1" applyBorder="1" applyAlignment="1">
      <alignment horizontal="center" wrapText="1"/>
    </xf>
    <xf numFmtId="0" fontId="32" fillId="0" borderId="53" xfId="0" applyFont="1" applyBorder="1"/>
    <xf numFmtId="2" fontId="26" fillId="0" borderId="19" xfId="0" applyNumberFormat="1" applyFont="1" applyBorder="1" applyAlignment="1">
      <alignment horizontal="center"/>
    </xf>
    <xf numFmtId="2" fontId="26" fillId="0" borderId="28" xfId="0" applyNumberFormat="1" applyFont="1" applyBorder="1" applyAlignment="1">
      <alignment horizontal="center"/>
    </xf>
    <xf numFmtId="2" fontId="26" fillId="0" borderId="41" xfId="0" applyNumberFormat="1" applyFont="1" applyBorder="1" applyAlignment="1">
      <alignment horizontal="center"/>
    </xf>
    <xf numFmtId="2" fontId="28" fillId="0" borderId="71" xfId="0" applyNumberFormat="1" applyFont="1" applyBorder="1" applyAlignment="1">
      <alignment horizontal="center"/>
    </xf>
    <xf numFmtId="0" fontId="32" fillId="0" borderId="54" xfId="0" applyFont="1" applyBorder="1"/>
    <xf numFmtId="2" fontId="26" fillId="0" borderId="21" xfId="0" applyNumberFormat="1" applyFont="1" applyBorder="1" applyAlignment="1">
      <alignment horizontal="center"/>
    </xf>
    <xf numFmtId="2" fontId="28" fillId="0" borderId="69" xfId="0" applyNumberFormat="1" applyFont="1" applyBorder="1" applyAlignment="1">
      <alignment horizontal="center"/>
    </xf>
    <xf numFmtId="0" fontId="32" fillId="0" borderId="55" xfId="0" applyFont="1" applyBorder="1"/>
    <xf numFmtId="2" fontId="26" fillId="0" borderId="24" xfId="0" applyNumberFormat="1" applyFont="1" applyBorder="1" applyAlignment="1">
      <alignment horizontal="center"/>
    </xf>
    <xf numFmtId="2" fontId="26" fillId="0" borderId="25" xfId="0" applyNumberFormat="1" applyFont="1" applyBorder="1" applyAlignment="1">
      <alignment horizontal="center"/>
    </xf>
    <xf numFmtId="2" fontId="26" fillId="0" borderId="39" xfId="0" applyNumberFormat="1" applyFont="1" applyBorder="1" applyAlignment="1">
      <alignment horizontal="center"/>
    </xf>
    <xf numFmtId="2" fontId="28" fillId="0" borderId="70" xfId="0" applyNumberFormat="1" applyFont="1" applyBorder="1" applyAlignment="1">
      <alignment horizontal="center"/>
    </xf>
    <xf numFmtId="0" fontId="32" fillId="0" borderId="56" xfId="0" applyFont="1" applyBorder="1"/>
    <xf numFmtId="11" fontId="26" fillId="0" borderId="27" xfId="0" applyNumberFormat="1" applyFont="1" applyBorder="1" applyAlignment="1">
      <alignment horizontal="center"/>
    </xf>
    <xf numFmtId="11" fontId="26" fillId="0" borderId="72" xfId="0" applyNumberFormat="1" applyFont="1" applyBorder="1" applyAlignment="1">
      <alignment horizontal="center"/>
    </xf>
    <xf numFmtId="2" fontId="28" fillId="0" borderId="73" xfId="0" applyNumberFormat="1" applyFont="1" applyBorder="1" applyAlignment="1">
      <alignment horizontal="center"/>
    </xf>
    <xf numFmtId="11" fontId="28" fillId="0" borderId="73" xfId="0" applyNumberFormat="1" applyFont="1" applyBorder="1" applyAlignment="1">
      <alignment horizontal="center"/>
    </xf>
    <xf numFmtId="11" fontId="26" fillId="0" borderId="0" xfId="0" applyNumberFormat="1" applyFont="1"/>
    <xf numFmtId="11" fontId="28" fillId="0" borderId="8" xfId="0" applyNumberFormat="1" applyFont="1" applyBorder="1" applyAlignment="1">
      <alignment horizontal="center"/>
    </xf>
    <xf numFmtId="0" fontId="26" fillId="0" borderId="35" xfId="0" applyFont="1" applyBorder="1" applyAlignment="1">
      <alignment horizontal="right"/>
    </xf>
    <xf numFmtId="0" fontId="26" fillId="0" borderId="30" xfId="0" applyFont="1" applyBorder="1" applyAlignment="1">
      <alignment horizontal="right"/>
    </xf>
    <xf numFmtId="165" fontId="26" fillId="0" borderId="31" xfId="0" applyNumberFormat="1" applyFont="1" applyBorder="1"/>
    <xf numFmtId="167" fontId="26" fillId="0" borderId="31" xfId="0" applyNumberFormat="1" applyFont="1" applyBorder="1"/>
    <xf numFmtId="171" fontId="26" fillId="0" borderId="31" xfId="0" applyNumberFormat="1" applyFont="1" applyBorder="1"/>
    <xf numFmtId="0" fontId="25" fillId="0" borderId="0" xfId="15" applyFont="1" applyAlignment="1">
      <alignment horizontal="center"/>
    </xf>
    <xf numFmtId="0" fontId="24" fillId="0" borderId="19" xfId="15" applyFont="1" applyBorder="1"/>
    <xf numFmtId="0" fontId="24" fillId="0" borderId="20" xfId="15" applyFont="1" applyBorder="1" applyAlignment="1">
      <alignment horizontal="center"/>
    </xf>
    <xf numFmtId="0" fontId="24" fillId="0" borderId="28" xfId="15" applyFont="1" applyBorder="1" applyAlignment="1">
      <alignment horizontal="center"/>
    </xf>
    <xf numFmtId="0" fontId="24" fillId="0" borderId="21" xfId="15" applyFont="1" applyBorder="1"/>
    <xf numFmtId="0" fontId="24" fillId="0" borderId="23" xfId="15" applyFont="1" applyBorder="1" applyAlignment="1">
      <alignment horizontal="center"/>
    </xf>
    <xf numFmtId="0" fontId="24" fillId="0" borderId="43" xfId="15" applyFont="1" applyBorder="1"/>
    <xf numFmtId="0" fontId="24" fillId="0" borderId="44" xfId="15" applyFont="1" applyBorder="1" applyAlignment="1">
      <alignment horizontal="center"/>
    </xf>
    <xf numFmtId="0" fontId="24" fillId="0" borderId="46" xfId="15" applyFont="1" applyBorder="1" applyAlignment="1">
      <alignment horizontal="center"/>
    </xf>
    <xf numFmtId="0" fontId="25" fillId="0" borderId="15" xfId="15" applyFont="1" applyBorder="1" applyAlignment="1">
      <alignment horizontal="center"/>
    </xf>
    <xf numFmtId="0" fontId="25" fillId="0" borderId="48" xfId="15" applyFont="1" applyBorder="1"/>
    <xf numFmtId="0" fontId="25" fillId="0" borderId="49" xfId="15" applyFont="1" applyBorder="1" applyAlignment="1">
      <alignment horizontal="center"/>
    </xf>
    <xf numFmtId="0" fontId="25" fillId="0" borderId="52" xfId="15" applyFont="1" applyBorder="1" applyAlignment="1">
      <alignment horizontal="center"/>
    </xf>
    <xf numFmtId="0" fontId="26" fillId="0" borderId="0" xfId="0" applyFont="1" applyAlignment="1">
      <alignment horizontal="left" wrapText="1"/>
    </xf>
    <xf numFmtId="2" fontId="25" fillId="0" borderId="32" xfId="15" applyNumberFormat="1" applyFont="1" applyBorder="1" applyAlignment="1">
      <alignment horizontal="center"/>
    </xf>
    <xf numFmtId="2" fontId="34" fillId="0" borderId="0" xfId="11" applyNumberFormat="1" applyFont="1" applyAlignment="1">
      <alignment vertical="top" wrapText="1"/>
    </xf>
    <xf numFmtId="2" fontId="34" fillId="0" borderId="0" xfId="11" applyNumberFormat="1" applyFont="1" applyAlignment="1">
      <alignment horizontal="left" vertical="top"/>
    </xf>
    <xf numFmtId="0" fontId="26" fillId="0" borderId="0" xfId="11" applyFont="1" applyAlignment="1">
      <alignment vertical="top"/>
    </xf>
    <xf numFmtId="0" fontId="26" fillId="0" borderId="0" xfId="11" applyFont="1" applyAlignment="1">
      <alignment vertical="top" wrapText="1"/>
    </xf>
    <xf numFmtId="2" fontId="26" fillId="0" borderId="0" xfId="11" applyNumberFormat="1" applyFont="1" applyAlignment="1">
      <alignment horizontal="center" vertical="top" wrapText="1"/>
    </xf>
    <xf numFmtId="2" fontId="34" fillId="0" borderId="0" xfId="11" applyNumberFormat="1" applyFont="1" applyAlignment="1">
      <alignment horizontal="center" vertical="top" wrapText="1"/>
    </xf>
    <xf numFmtId="2" fontId="34" fillId="0" borderId="41" xfId="11" applyNumberFormat="1" applyFont="1" applyBorder="1" applyAlignment="1">
      <alignment horizontal="center" vertical="top"/>
    </xf>
    <xf numFmtId="2" fontId="34" fillId="0" borderId="71" xfId="11" applyNumberFormat="1" applyFont="1" applyBorder="1" applyAlignment="1">
      <alignment horizontal="center" vertical="top"/>
    </xf>
    <xf numFmtId="0" fontId="26" fillId="0" borderId="0" xfId="11" applyFont="1" applyAlignment="1">
      <alignment horizontal="center" vertical="top"/>
    </xf>
    <xf numFmtId="2" fontId="34" fillId="0" borderId="72" xfId="11" applyNumberFormat="1" applyFont="1" applyBorder="1" applyAlignment="1">
      <alignment horizontal="center" vertical="top"/>
    </xf>
    <xf numFmtId="2" fontId="34" fillId="0" borderId="73" xfId="11" applyNumberFormat="1" applyFont="1" applyBorder="1" applyAlignment="1">
      <alignment horizontal="center" vertical="top"/>
    </xf>
    <xf numFmtId="2" fontId="34" fillId="0" borderId="22" xfId="11" applyNumberFormat="1" applyFont="1" applyBorder="1" applyAlignment="1">
      <alignment horizontal="center" vertical="top"/>
    </xf>
    <xf numFmtId="2" fontId="34" fillId="0" borderId="17" xfId="11" applyNumberFormat="1" applyFont="1" applyBorder="1" applyAlignment="1">
      <alignment horizontal="center" vertical="top"/>
    </xf>
    <xf numFmtId="0" fontId="28" fillId="0" borderId="0" xfId="11" applyFont="1" applyAlignment="1">
      <alignment vertical="top"/>
    </xf>
    <xf numFmtId="0" fontId="26" fillId="0" borderId="37" xfId="11" applyFont="1" applyBorder="1" applyAlignment="1">
      <alignment vertical="top" wrapText="1"/>
    </xf>
    <xf numFmtId="2" fontId="34" fillId="0" borderId="37" xfId="11" applyNumberFormat="1" applyFont="1" applyBorder="1" applyAlignment="1">
      <alignment vertical="top" wrapText="1"/>
    </xf>
    <xf numFmtId="2" fontId="34" fillId="0" borderId="21" xfId="11" applyNumberFormat="1" applyFont="1" applyBorder="1" applyAlignment="1">
      <alignment horizontal="center" vertical="top"/>
    </xf>
    <xf numFmtId="3" fontId="34" fillId="0" borderId="37" xfId="11" applyNumberFormat="1" applyFont="1" applyBorder="1" applyAlignment="1">
      <alignment vertical="top" wrapText="1"/>
    </xf>
    <xf numFmtId="2" fontId="26" fillId="0" borderId="0" xfId="11" applyNumberFormat="1" applyFont="1" applyAlignment="1">
      <alignment vertical="top"/>
    </xf>
    <xf numFmtId="2" fontId="26" fillId="0" borderId="0" xfId="11" applyNumberFormat="1" applyFont="1" applyAlignment="1">
      <alignment vertical="top" wrapText="1"/>
    </xf>
    <xf numFmtId="0" fontId="26" fillId="0" borderId="45" xfId="11" applyFont="1" applyBorder="1" applyAlignment="1">
      <alignment vertical="top" wrapText="1"/>
    </xf>
    <xf numFmtId="2" fontId="34" fillId="0" borderId="0" xfId="11" applyNumberFormat="1" applyFont="1" applyAlignment="1">
      <alignment horizontal="right" vertical="top"/>
    </xf>
    <xf numFmtId="0" fontId="31" fillId="0" borderId="0" xfId="0" applyFont="1" applyAlignment="1">
      <alignment horizontal="left" vertical="top" wrapText="1"/>
    </xf>
    <xf numFmtId="0" fontId="31" fillId="0" borderId="0" xfId="0" applyFont="1" applyAlignment="1">
      <alignment vertical="top" wrapText="1"/>
    </xf>
    <xf numFmtId="2" fontId="31" fillId="0" borderId="53" xfId="11" applyNumberFormat="1" applyFont="1" applyBorder="1"/>
    <xf numFmtId="2" fontId="31" fillId="0" borderId="76" xfId="11" applyNumberFormat="1" applyFont="1" applyBorder="1"/>
    <xf numFmtId="2" fontId="31" fillId="0" borderId="42" xfId="11" applyNumberFormat="1" applyFont="1" applyBorder="1" applyAlignment="1">
      <alignment horizontal="right" wrapText="1"/>
    </xf>
    <xf numFmtId="2" fontId="31" fillId="0" borderId="71" xfId="11" applyNumberFormat="1" applyFont="1" applyBorder="1"/>
    <xf numFmtId="165" fontId="36" fillId="0" borderId="0" xfId="0" applyNumberFormat="1" applyFont="1"/>
    <xf numFmtId="0" fontId="36" fillId="0" borderId="0" xfId="0" applyFont="1"/>
    <xf numFmtId="2" fontId="34" fillId="0" borderId="54" xfId="11" applyNumberFormat="1" applyFont="1" applyBorder="1"/>
    <xf numFmtId="2" fontId="34" fillId="0" borderId="50" xfId="11" applyNumberFormat="1" applyFont="1" applyBorder="1"/>
    <xf numFmtId="2" fontId="34" fillId="0" borderId="54" xfId="11" applyNumberFormat="1" applyFont="1" applyBorder="1" applyAlignment="1">
      <alignment horizontal="left"/>
    </xf>
    <xf numFmtId="2" fontId="34" fillId="0" borderId="50" xfId="11" applyNumberFormat="1" applyFont="1" applyBorder="1" applyAlignment="1">
      <alignment horizontal="left"/>
    </xf>
    <xf numFmtId="2" fontId="34" fillId="0" borderId="55" xfId="11" applyNumberFormat="1" applyFont="1" applyBorder="1"/>
    <xf numFmtId="2" fontId="34" fillId="0" borderId="77" xfId="11" applyNumberFormat="1" applyFont="1" applyBorder="1"/>
    <xf numFmtId="3" fontId="34" fillId="0" borderId="18" xfId="11" applyNumberFormat="1" applyFont="1" applyBorder="1" applyAlignment="1">
      <alignment horizontal="right"/>
    </xf>
    <xf numFmtId="4" fontId="34" fillId="0" borderId="39" xfId="11" applyNumberFormat="1" applyFont="1" applyBorder="1" applyAlignment="1">
      <alignment horizontal="left"/>
    </xf>
    <xf numFmtId="0" fontId="26" fillId="0" borderId="18" xfId="11" applyFont="1" applyBorder="1"/>
    <xf numFmtId="0" fontId="26" fillId="0" borderId="39" xfId="11" applyFont="1" applyBorder="1"/>
    <xf numFmtId="0" fontId="26" fillId="0" borderId="70" xfId="11" applyFont="1" applyBorder="1"/>
    <xf numFmtId="0" fontId="37" fillId="0" borderId="0" xfId="0" applyFont="1"/>
    <xf numFmtId="0" fontId="26" fillId="0" borderId="0" xfId="11" applyFont="1"/>
    <xf numFmtId="3" fontId="34" fillId="0" borderId="0" xfId="11" applyNumberFormat="1" applyFont="1" applyAlignment="1">
      <alignment horizontal="right"/>
    </xf>
    <xf numFmtId="4" fontId="34" fillId="0" borderId="0" xfId="11" applyNumberFormat="1" applyFont="1" applyAlignment="1">
      <alignment horizontal="left"/>
    </xf>
    <xf numFmtId="3" fontId="34" fillId="0" borderId="3" xfId="11" applyNumberFormat="1" applyFont="1" applyBorder="1" applyAlignment="1">
      <alignment horizontal="right"/>
    </xf>
    <xf numFmtId="4" fontId="34" fillId="0" borderId="3" xfId="11" applyNumberFormat="1" applyFont="1" applyBorder="1" applyAlignment="1">
      <alignment horizontal="left"/>
    </xf>
    <xf numFmtId="0" fontId="31" fillId="0" borderId="14" xfId="0" applyFont="1" applyBorder="1" applyAlignment="1">
      <alignment horizontal="center"/>
    </xf>
    <xf numFmtId="0" fontId="31" fillId="0" borderId="15" xfId="0" applyFont="1" applyBorder="1" applyAlignment="1">
      <alignment horizontal="center" wrapText="1"/>
    </xf>
    <xf numFmtId="0" fontId="31" fillId="0" borderId="16" xfId="0" applyFont="1" applyBorder="1" applyAlignment="1">
      <alignment horizontal="center" wrapText="1"/>
    </xf>
    <xf numFmtId="0" fontId="31" fillId="0" borderId="14" xfId="0" applyFont="1" applyBorder="1" applyAlignment="1">
      <alignment horizontal="center" wrapText="1"/>
    </xf>
    <xf numFmtId="0" fontId="38" fillId="0" borderId="0" xfId="0" applyFont="1"/>
    <xf numFmtId="0" fontId="39" fillId="0" borderId="0" xfId="0" applyFont="1" applyAlignment="1">
      <alignment horizontal="center"/>
    </xf>
    <xf numFmtId="165" fontId="37" fillId="0" borderId="0" xfId="0" applyNumberFormat="1" applyFont="1"/>
    <xf numFmtId="0" fontId="40" fillId="0" borderId="29" xfId="0" applyFont="1" applyBorder="1"/>
    <xf numFmtId="0" fontId="26" fillId="0" borderId="26" xfId="0" applyFont="1" applyBorder="1" applyAlignment="1">
      <alignment horizontal="center"/>
    </xf>
    <xf numFmtId="0" fontId="34" fillId="0" borderId="30" xfId="0" applyFont="1" applyBorder="1" applyAlignment="1">
      <alignment horizontal="center" wrapText="1"/>
    </xf>
    <xf numFmtId="167" fontId="36" fillId="0" borderId="0" xfId="0" applyNumberFormat="1" applyFont="1"/>
    <xf numFmtId="165" fontId="39" fillId="0" borderId="0" xfId="0" applyNumberFormat="1" applyFont="1"/>
    <xf numFmtId="0" fontId="40" fillId="0" borderId="21" xfId="0" applyFont="1" applyBorder="1"/>
    <xf numFmtId="2" fontId="26" fillId="0" borderId="22" xfId="0" applyNumberFormat="1" applyFont="1" applyBorder="1" applyAlignment="1">
      <alignment horizontal="center"/>
    </xf>
    <xf numFmtId="0" fontId="26" fillId="0" borderId="22" xfId="0" applyFont="1" applyBorder="1" applyAlignment="1">
      <alignment horizontal="center"/>
    </xf>
    <xf numFmtId="165" fontId="26" fillId="0" borderId="34" xfId="0" applyNumberFormat="1" applyFont="1" applyBorder="1" applyAlignment="1">
      <alignment horizontal="center"/>
    </xf>
    <xf numFmtId="0" fontId="34" fillId="0" borderId="22" xfId="0" applyFont="1" applyBorder="1" applyAlignment="1">
      <alignment horizontal="center" wrapText="1"/>
    </xf>
    <xf numFmtId="0" fontId="34" fillId="0" borderId="37" xfId="0" applyFont="1" applyBorder="1" applyAlignment="1">
      <alignment horizontal="center" wrapText="1"/>
    </xf>
    <xf numFmtId="11" fontId="26" fillId="0" borderId="34" xfId="0" applyNumberFormat="1" applyFont="1" applyBorder="1" applyAlignment="1">
      <alignment horizontal="center"/>
    </xf>
    <xf numFmtId="11" fontId="26" fillId="0" borderId="22" xfId="0" applyNumberFormat="1" applyFont="1" applyBorder="1" applyAlignment="1">
      <alignment horizontal="center"/>
    </xf>
    <xf numFmtId="165" fontId="26" fillId="0" borderId="22" xfId="0" applyNumberFormat="1" applyFont="1" applyBorder="1" applyAlignment="1">
      <alignment horizontal="center"/>
    </xf>
    <xf numFmtId="0" fontId="26" fillId="0" borderId="81" xfId="0" applyFont="1" applyBorder="1" applyAlignment="1">
      <alignment horizontal="center"/>
    </xf>
    <xf numFmtId="165" fontId="26" fillId="0" borderId="0" xfId="0" applyNumberFormat="1" applyFont="1"/>
    <xf numFmtId="0" fontId="26" fillId="0" borderId="0" xfId="0" applyFont="1" applyAlignment="1">
      <alignment horizontal="left"/>
    </xf>
    <xf numFmtId="2" fontId="26" fillId="0" borderId="0" xfId="0" applyNumberFormat="1" applyFont="1"/>
    <xf numFmtId="0" fontId="26" fillId="0" borderId="0" xfId="0" applyFont="1" applyAlignment="1">
      <alignment wrapText="1"/>
    </xf>
    <xf numFmtId="0" fontId="26" fillId="0" borderId="0" xfId="0" applyFont="1" applyAlignment="1">
      <alignment horizontal="left" indent="2"/>
    </xf>
    <xf numFmtId="3" fontId="26" fillId="0" borderId="0" xfId="0" applyNumberFormat="1" applyFont="1"/>
    <xf numFmtId="165" fontId="30" fillId="0" borderId="0" xfId="0" applyNumberFormat="1" applyFont="1"/>
    <xf numFmtId="0" fontId="31" fillId="4" borderId="7" xfId="11" applyFont="1" applyFill="1" applyBorder="1" applyAlignment="1" applyProtection="1">
      <alignment vertical="center" wrapText="1"/>
      <protection locked="0"/>
    </xf>
    <xf numFmtId="0" fontId="26" fillId="0" borderId="0" xfId="11" applyFont="1" applyAlignment="1">
      <alignment horizontal="center"/>
    </xf>
    <xf numFmtId="0" fontId="34" fillId="0" borderId="21" xfId="11" applyFont="1" applyBorder="1" applyAlignment="1">
      <alignment vertical="center"/>
    </xf>
    <xf numFmtId="0" fontId="34" fillId="0" borderId="23" xfId="11" applyFont="1" applyBorder="1" applyAlignment="1">
      <alignment horizontal="left" vertical="center"/>
    </xf>
    <xf numFmtId="0" fontId="34" fillId="0" borderId="21" xfId="11" applyFont="1" applyBorder="1" applyAlignment="1">
      <alignment horizontal="center" vertical="center"/>
    </xf>
    <xf numFmtId="0" fontId="34" fillId="0" borderId="22" xfId="11" applyFont="1" applyBorder="1" applyAlignment="1">
      <alignment horizontal="center" vertical="center"/>
    </xf>
    <xf numFmtId="0" fontId="34" fillId="0" borderId="23" xfId="11" applyFont="1" applyBorder="1" applyAlignment="1">
      <alignment horizontal="center" vertical="center"/>
    </xf>
    <xf numFmtId="2" fontId="26" fillId="0" borderId="0" xfId="11" applyNumberFormat="1" applyFont="1"/>
    <xf numFmtId="2" fontId="34" fillId="0" borderId="24" xfId="11" applyNumberFormat="1" applyFont="1" applyBorder="1" applyAlignment="1">
      <alignment horizontal="center" vertical="center"/>
    </xf>
    <xf numFmtId="2" fontId="34" fillId="0" borderId="17" xfId="11" applyNumberFormat="1" applyFont="1" applyBorder="1" applyAlignment="1">
      <alignment horizontal="center" vertical="center"/>
    </xf>
    <xf numFmtId="2" fontId="34" fillId="0" borderId="25" xfId="11" applyNumberFormat="1" applyFont="1" applyBorder="1" applyAlignment="1">
      <alignment horizontal="center" vertical="center"/>
    </xf>
    <xf numFmtId="165" fontId="34" fillId="0" borderId="22" xfId="11" applyNumberFormat="1" applyFont="1" applyBorder="1" applyAlignment="1">
      <alignment horizontal="center" vertical="center"/>
    </xf>
    <xf numFmtId="0" fontId="34" fillId="0" borderId="23" xfId="11" applyFont="1" applyBorder="1" applyAlignment="1">
      <alignment horizontal="center" vertical="center" wrapText="1"/>
    </xf>
    <xf numFmtId="0" fontId="31" fillId="0" borderId="0" xfId="11" applyFont="1" applyAlignment="1">
      <alignment horizontal="center" vertical="center"/>
    </xf>
    <xf numFmtId="2" fontId="26" fillId="0" borderId="19" xfId="11" applyNumberFormat="1" applyFont="1" applyBorder="1" applyAlignment="1">
      <alignment horizontal="right"/>
    </xf>
    <xf numFmtId="166" fontId="26" fillId="0" borderId="20" xfId="11" applyNumberFormat="1" applyFont="1" applyBorder="1"/>
    <xf numFmtId="2" fontId="26" fillId="0" borderId="20" xfId="11" applyNumberFormat="1" applyFont="1" applyBorder="1"/>
    <xf numFmtId="0" fontId="26" fillId="0" borderId="28" xfId="11" applyFont="1" applyBorder="1" applyAlignment="1">
      <alignment horizontal="left" vertical="center"/>
    </xf>
    <xf numFmtId="0" fontId="26" fillId="0" borderId="0" xfId="11" applyFont="1" applyAlignment="1">
      <alignment horizontal="left" vertical="center"/>
    </xf>
    <xf numFmtId="0" fontId="26" fillId="0" borderId="0" xfId="11" applyFont="1" applyAlignment="1">
      <alignment vertical="center"/>
    </xf>
    <xf numFmtId="0" fontId="26" fillId="0" borderId="24" xfId="11" applyFont="1" applyBorder="1" applyAlignment="1">
      <alignment horizontal="right"/>
    </xf>
    <xf numFmtId="166" fontId="26" fillId="0" borderId="17" xfId="11" applyNumberFormat="1" applyFont="1" applyBorder="1"/>
    <xf numFmtId="0" fontId="31" fillId="4" borderId="35" xfId="11" applyFont="1" applyFill="1" applyBorder="1" applyAlignment="1" applyProtection="1">
      <alignment vertical="center" wrapText="1"/>
      <protection locked="0"/>
    </xf>
    <xf numFmtId="0" fontId="31" fillId="4" borderId="73" xfId="11" applyFont="1" applyFill="1" applyBorder="1" applyAlignment="1" applyProtection="1">
      <alignment vertical="center" wrapText="1"/>
      <protection locked="0"/>
    </xf>
    <xf numFmtId="166" fontId="26" fillId="0" borderId="0" xfId="11" applyNumberFormat="1" applyFont="1"/>
    <xf numFmtId="0" fontId="34" fillId="0" borderId="0" xfId="11" applyFont="1" applyAlignment="1">
      <alignment horizontal="center" vertical="center"/>
    </xf>
    <xf numFmtId="2" fontId="34" fillId="0" borderId="21" xfId="11" applyNumberFormat="1" applyFont="1" applyBorder="1" applyAlignment="1">
      <alignment horizontal="center" vertical="center"/>
    </xf>
    <xf numFmtId="2" fontId="34" fillId="0" borderId="22" xfId="11" applyNumberFormat="1" applyFont="1" applyBorder="1" applyAlignment="1">
      <alignment horizontal="center" vertical="center"/>
    </xf>
    <xf numFmtId="0" fontId="23" fillId="0" borderId="0" xfId="0" applyFont="1"/>
    <xf numFmtId="0" fontId="44" fillId="0" borderId="0" xfId="0" applyFont="1"/>
    <xf numFmtId="0" fontId="45" fillId="0" borderId="0" xfId="0" applyFont="1" applyAlignment="1">
      <alignment wrapText="1"/>
    </xf>
    <xf numFmtId="0" fontId="46" fillId="0" borderId="0" xfId="0" applyFont="1" applyAlignment="1">
      <alignment vertical="center"/>
    </xf>
    <xf numFmtId="0" fontId="47" fillId="0" borderId="0" xfId="0" applyFont="1" applyAlignment="1">
      <alignment wrapText="1"/>
    </xf>
    <xf numFmtId="0" fontId="48" fillId="0" borderId="0" xfId="0" applyFont="1" applyAlignment="1">
      <alignment wrapText="1"/>
    </xf>
    <xf numFmtId="0" fontId="46" fillId="0" borderId="0" xfId="0" applyFont="1" applyAlignment="1">
      <alignment horizontal="right" vertical="center"/>
    </xf>
    <xf numFmtId="0" fontId="34" fillId="0" borderId="0" xfId="0" applyFont="1"/>
    <xf numFmtId="0" fontId="34" fillId="0" borderId="19" xfId="0" applyFont="1" applyBorder="1"/>
    <xf numFmtId="0" fontId="34" fillId="4" borderId="20" xfId="0" applyFont="1" applyFill="1" applyBorder="1" applyProtection="1">
      <protection locked="0"/>
    </xf>
    <xf numFmtId="0" fontId="34" fillId="0" borderId="5" xfId="0" applyFont="1" applyBorder="1"/>
    <xf numFmtId="0" fontId="34" fillId="0" borderId="6" xfId="0" applyFont="1" applyBorder="1"/>
    <xf numFmtId="0" fontId="34" fillId="0" borderId="21" xfId="0" applyFont="1" applyBorder="1"/>
    <xf numFmtId="0" fontId="34" fillId="4" borderId="22" xfId="0" applyFont="1" applyFill="1" applyBorder="1" applyProtection="1">
      <protection locked="0"/>
    </xf>
    <xf numFmtId="0" fontId="34" fillId="0" borderId="7" xfId="0" applyFont="1" applyBorder="1"/>
    <xf numFmtId="0" fontId="34" fillId="0" borderId="43" xfId="0" applyFont="1" applyBorder="1"/>
    <xf numFmtId="0" fontId="34" fillId="4" borderId="44" xfId="0" applyFont="1" applyFill="1" applyBorder="1" applyProtection="1">
      <protection locked="0"/>
    </xf>
    <xf numFmtId="0" fontId="34" fillId="0" borderId="24" xfId="0" applyFont="1" applyBorder="1"/>
    <xf numFmtId="0" fontId="34" fillId="5" borderId="17" xfId="0" applyFont="1" applyFill="1" applyBorder="1" applyProtection="1">
      <protection locked="0"/>
    </xf>
    <xf numFmtId="0" fontId="34" fillId="0" borderId="3" xfId="0" applyFont="1" applyBorder="1"/>
    <xf numFmtId="0" fontId="34" fillId="0" borderId="8" xfId="0" applyFont="1" applyBorder="1"/>
    <xf numFmtId="0" fontId="28" fillId="0" borderId="13" xfId="2" applyFont="1" applyBorder="1" applyAlignment="1">
      <alignment horizontal="left" wrapText="1"/>
    </xf>
    <xf numFmtId="0" fontId="28" fillId="0" borderId="48" xfId="2" applyFont="1" applyBorder="1" applyAlignment="1">
      <alignment horizontal="center" wrapText="1"/>
    </xf>
    <xf numFmtId="0" fontId="28" fillId="0" borderId="51" xfId="2" applyFont="1" applyBorder="1" applyAlignment="1">
      <alignment horizontal="center" wrapText="1"/>
    </xf>
    <xf numFmtId="0" fontId="28" fillId="0" borderId="49" xfId="2" applyFont="1" applyBorder="1" applyAlignment="1">
      <alignment horizontal="center" wrapText="1"/>
    </xf>
    <xf numFmtId="0" fontId="28" fillId="0" borderId="52" xfId="3" applyFont="1" applyBorder="1" applyAlignment="1">
      <alignment horizontal="center" wrapText="1"/>
    </xf>
    <xf numFmtId="11" fontId="34" fillId="0" borderId="19" xfId="0" applyNumberFormat="1" applyFont="1" applyBorder="1" applyAlignment="1">
      <alignment horizontal="center"/>
    </xf>
    <xf numFmtId="11" fontId="34" fillId="4" borderId="20" xfId="0" applyNumberFormat="1" applyFont="1" applyFill="1" applyBorder="1" applyAlignment="1" applyProtection="1">
      <alignment horizontal="center"/>
      <protection locked="0"/>
    </xf>
    <xf numFmtId="10" fontId="34" fillId="4" borderId="20" xfId="0" applyNumberFormat="1" applyFont="1" applyFill="1" applyBorder="1" applyAlignment="1" applyProtection="1">
      <alignment horizontal="center"/>
      <protection locked="0"/>
    </xf>
    <xf numFmtId="11" fontId="34" fillId="0" borderId="20" xfId="0" applyNumberFormat="1" applyFont="1" applyBorder="1" applyAlignment="1">
      <alignment horizontal="center"/>
    </xf>
    <xf numFmtId="11" fontId="34" fillId="0" borderId="28" xfId="0" applyNumberFormat="1" applyFont="1" applyBorder="1" applyAlignment="1">
      <alignment horizontal="center"/>
    </xf>
    <xf numFmtId="11" fontId="34" fillId="0" borderId="21" xfId="0" applyNumberFormat="1" applyFont="1" applyBorder="1" applyAlignment="1">
      <alignment horizontal="center"/>
    </xf>
    <xf numFmtId="11" fontId="34" fillId="4" borderId="22" xfId="0" applyNumberFormat="1" applyFont="1" applyFill="1" applyBorder="1" applyAlignment="1" applyProtection="1">
      <alignment horizontal="center"/>
      <protection locked="0"/>
    </xf>
    <xf numFmtId="10" fontId="34" fillId="4" borderId="22" xfId="0" applyNumberFormat="1" applyFont="1" applyFill="1" applyBorder="1" applyAlignment="1" applyProtection="1">
      <alignment horizontal="center"/>
      <protection locked="0"/>
    </xf>
    <xf numFmtId="11" fontId="34" fillId="0" borderId="22" xfId="0" applyNumberFormat="1" applyFont="1" applyBorder="1" applyAlignment="1">
      <alignment horizontal="center"/>
    </xf>
    <xf numFmtId="11" fontId="34" fillId="0" borderId="23" xfId="0" applyNumberFormat="1" applyFont="1" applyBorder="1" applyAlignment="1">
      <alignment horizontal="center"/>
    </xf>
    <xf numFmtId="11" fontId="34" fillId="0" borderId="43" xfId="0" applyNumberFormat="1" applyFont="1" applyBorder="1" applyAlignment="1">
      <alignment horizontal="center"/>
    </xf>
    <xf numFmtId="11" fontId="34" fillId="4" borderId="44" xfId="0" applyNumberFormat="1" applyFont="1" applyFill="1" applyBorder="1" applyAlignment="1" applyProtection="1">
      <alignment horizontal="center"/>
      <protection locked="0"/>
    </xf>
    <xf numFmtId="10" fontId="34" fillId="4" borderId="44" xfId="0" applyNumberFormat="1" applyFont="1" applyFill="1" applyBorder="1" applyAlignment="1" applyProtection="1">
      <alignment horizontal="center"/>
      <protection locked="0"/>
    </xf>
    <xf numFmtId="11" fontId="34" fillId="0" borderId="44" xfId="0" applyNumberFormat="1" applyFont="1" applyBorder="1" applyAlignment="1">
      <alignment horizontal="center"/>
    </xf>
    <xf numFmtId="11" fontId="34" fillId="0" borderId="46" xfId="0" applyNumberFormat="1" applyFont="1" applyBorder="1" applyAlignment="1">
      <alignment horizontal="center"/>
    </xf>
    <xf numFmtId="11" fontId="34" fillId="0" borderId="24" xfId="0" applyNumberFormat="1" applyFont="1" applyBorder="1" applyAlignment="1">
      <alignment horizontal="center"/>
    </xf>
    <xf numFmtId="11" fontId="34" fillId="4" borderId="17" xfId="0" applyNumberFormat="1" applyFont="1" applyFill="1" applyBorder="1" applyAlignment="1" applyProtection="1">
      <alignment horizontal="center"/>
      <protection locked="0"/>
    </xf>
    <xf numFmtId="10" fontId="34" fillId="4" borderId="17" xfId="0" applyNumberFormat="1" applyFont="1" applyFill="1" applyBorder="1" applyAlignment="1" applyProtection="1">
      <alignment horizontal="center"/>
      <protection locked="0"/>
    </xf>
    <xf numFmtId="11" fontId="34" fillId="0" borderId="17" xfId="0" applyNumberFormat="1" applyFont="1" applyBorder="1" applyAlignment="1">
      <alignment horizontal="center"/>
    </xf>
    <xf numFmtId="11" fontId="34" fillId="0" borderId="25" xfId="0" applyNumberFormat="1" applyFont="1" applyBorder="1" applyAlignment="1">
      <alignment horizontal="center"/>
    </xf>
    <xf numFmtId="11" fontId="34" fillId="0" borderId="29" xfId="0" applyNumberFormat="1" applyFont="1" applyBorder="1" applyAlignment="1">
      <alignment horizontal="center"/>
    </xf>
    <xf numFmtId="11" fontId="34" fillId="0" borderId="26" xfId="0" applyNumberFormat="1" applyFont="1" applyBorder="1" applyAlignment="1">
      <alignment horizontal="center"/>
    </xf>
    <xf numFmtId="11" fontId="34" fillId="0" borderId="27" xfId="0" applyNumberFormat="1" applyFont="1" applyBorder="1" applyAlignment="1">
      <alignment horizontal="center"/>
    </xf>
    <xf numFmtId="11" fontId="34" fillId="4" borderId="26" xfId="0" applyNumberFormat="1" applyFont="1" applyFill="1" applyBorder="1" applyAlignment="1" applyProtection="1">
      <alignment horizontal="center"/>
      <protection locked="0"/>
    </xf>
    <xf numFmtId="10" fontId="34" fillId="4" borderId="26" xfId="0" applyNumberFormat="1" applyFont="1" applyFill="1" applyBorder="1" applyAlignment="1" applyProtection="1">
      <alignment horizontal="center"/>
      <protection locked="0"/>
    </xf>
    <xf numFmtId="0" fontId="31" fillId="0" borderId="0" xfId="0" applyFont="1" applyAlignment="1">
      <alignment vertical="top"/>
    </xf>
    <xf numFmtId="0" fontId="34" fillId="0" borderId="0" xfId="0" applyFont="1" applyProtection="1">
      <protection locked="0"/>
    </xf>
    <xf numFmtId="11" fontId="34" fillId="4" borderId="37" xfId="0" applyNumberFormat="1" applyFont="1" applyFill="1" applyBorder="1" applyAlignment="1" applyProtection="1">
      <alignment horizontal="left"/>
      <protection locked="0"/>
    </xf>
    <xf numFmtId="11" fontId="34" fillId="4" borderId="50" xfId="0" applyNumberFormat="1" applyFont="1" applyFill="1" applyBorder="1" applyAlignment="1" applyProtection="1">
      <alignment horizontal="left"/>
      <protection locked="0"/>
    </xf>
    <xf numFmtId="11" fontId="34" fillId="4" borderId="38" xfId="0" applyNumberFormat="1" applyFont="1" applyFill="1" applyBorder="1" applyAlignment="1" applyProtection="1">
      <alignment horizontal="left"/>
      <protection locked="0"/>
    </xf>
    <xf numFmtId="0" fontId="34" fillId="0" borderId="0" xfId="0" applyFont="1" applyAlignment="1" applyProtection="1">
      <alignment horizontal="left"/>
      <protection locked="0"/>
    </xf>
    <xf numFmtId="0" fontId="32" fillId="0" borderId="0" xfId="0" applyFont="1"/>
    <xf numFmtId="0" fontId="31" fillId="0" borderId="0" xfId="0" applyFont="1"/>
    <xf numFmtId="11" fontId="34" fillId="0" borderId="0" xfId="0" applyNumberFormat="1" applyFont="1" applyAlignment="1">
      <alignment horizontal="center"/>
    </xf>
    <xf numFmtId="0" fontId="34" fillId="0" borderId="0" xfId="0" applyFont="1" applyAlignment="1">
      <alignment vertical="top"/>
    </xf>
    <xf numFmtId="0" fontId="28" fillId="0" borderId="21" xfId="0" applyFont="1" applyBorder="1"/>
    <xf numFmtId="0" fontId="28" fillId="0" borderId="24" xfId="2" applyFont="1" applyBorder="1" applyAlignment="1">
      <alignment horizontal="center" wrapText="1"/>
    </xf>
    <xf numFmtId="0" fontId="28" fillId="0" borderId="17" xfId="2" applyFont="1" applyBorder="1" applyAlignment="1">
      <alignment horizontal="center" wrapText="1"/>
    </xf>
    <xf numFmtId="0" fontId="28" fillId="0" borderId="25" xfId="3" applyFont="1" applyBorder="1" applyAlignment="1">
      <alignment horizontal="center" wrapText="1"/>
    </xf>
    <xf numFmtId="0" fontId="26" fillId="0" borderId="22" xfId="0" applyFont="1" applyBorder="1"/>
    <xf numFmtId="0" fontId="26" fillId="0" borderId="79" xfId="0" applyFont="1" applyBorder="1"/>
    <xf numFmtId="0" fontId="26" fillId="0" borderId="23" xfId="0" applyFont="1" applyBorder="1"/>
    <xf numFmtId="0" fontId="26" fillId="0" borderId="21" xfId="0" applyFont="1" applyBorder="1" applyAlignment="1">
      <alignment horizontal="center"/>
    </xf>
    <xf numFmtId="0" fontId="26" fillId="0" borderId="23" xfId="0" applyFont="1" applyBorder="1" applyAlignment="1">
      <alignment horizontal="center"/>
    </xf>
    <xf numFmtId="9" fontId="26" fillId="0" borderId="38" xfId="0" applyNumberFormat="1" applyFont="1" applyBorder="1" applyAlignment="1">
      <alignment horizontal="center"/>
    </xf>
    <xf numFmtId="9" fontId="26" fillId="0" borderId="22" xfId="0" applyNumberFormat="1" applyFont="1" applyBorder="1" applyAlignment="1">
      <alignment horizontal="center"/>
    </xf>
    <xf numFmtId="9" fontId="26" fillId="0" borderId="23" xfId="0" applyNumberFormat="1" applyFont="1" applyBorder="1" applyAlignment="1">
      <alignment horizontal="center"/>
    </xf>
    <xf numFmtId="10" fontId="26" fillId="0" borderId="38" xfId="0" applyNumberFormat="1" applyFont="1" applyBorder="1" applyAlignment="1">
      <alignment horizontal="center"/>
    </xf>
    <xf numFmtId="0" fontId="26" fillId="0" borderId="38" xfId="0" applyFont="1" applyBorder="1" applyAlignment="1">
      <alignment horizontal="center"/>
    </xf>
    <xf numFmtId="3" fontId="26" fillId="0" borderId="22" xfId="0" applyNumberFormat="1" applyFont="1" applyBorder="1"/>
    <xf numFmtId="166" fontId="26" fillId="0" borderId="21" xfId="0" applyNumberFormat="1" applyFont="1" applyBorder="1" applyAlignment="1">
      <alignment horizontal="center"/>
    </xf>
    <xf numFmtId="0" fontId="26" fillId="0" borderId="17" xfId="0" applyFont="1" applyBorder="1"/>
    <xf numFmtId="3" fontId="26" fillId="0" borderId="17" xfId="0" applyNumberFormat="1" applyFont="1" applyBorder="1"/>
    <xf numFmtId="0" fontId="26" fillId="0" borderId="25" xfId="0" applyFont="1" applyBorder="1"/>
    <xf numFmtId="166" fontId="26" fillId="0" borderId="24" xfId="0" applyNumberFormat="1" applyFont="1" applyBorder="1" applyAlignment="1">
      <alignment horizontal="center"/>
    </xf>
    <xf numFmtId="2" fontId="26" fillId="0" borderId="17" xfId="0" applyNumberFormat="1" applyFont="1" applyBorder="1" applyAlignment="1">
      <alignment horizontal="center"/>
    </xf>
    <xf numFmtId="4" fontId="26" fillId="0" borderId="0" xfId="0" applyNumberFormat="1" applyFont="1"/>
    <xf numFmtId="2" fontId="26" fillId="0" borderId="0" xfId="0" applyNumberFormat="1" applyFont="1" applyAlignment="1">
      <alignment horizontal="center" vertical="center"/>
    </xf>
    <xf numFmtId="0" fontId="28" fillId="0" borderId="0" xfId="0" applyFont="1" applyAlignment="1">
      <alignment horizontal="center"/>
    </xf>
    <xf numFmtId="9" fontId="26" fillId="0" borderId="0" xfId="6" applyFont="1"/>
    <xf numFmtId="0" fontId="28" fillId="0" borderId="39" xfId="2" applyFont="1" applyBorder="1" applyAlignment="1">
      <alignment horizontal="center" wrapText="1"/>
    </xf>
    <xf numFmtId="0" fontId="28" fillId="0" borderId="0" xfId="0" quotePrefix="1" applyFont="1"/>
    <xf numFmtId="168" fontId="34" fillId="0" borderId="4" xfId="7" applyNumberFormat="1" applyFont="1" applyBorder="1" applyAlignment="1" applyProtection="1">
      <alignment horizontal="left"/>
      <protection locked="0"/>
    </xf>
    <xf numFmtId="0" fontId="34" fillId="0" borderId="5" xfId="7" applyFont="1" applyBorder="1"/>
    <xf numFmtId="0" fontId="51" fillId="0" borderId="5" xfId="8" applyFont="1" applyBorder="1" applyAlignment="1"/>
    <xf numFmtId="0" fontId="26" fillId="0" borderId="5" xfId="0" applyFont="1" applyBorder="1"/>
    <xf numFmtId="0" fontId="26" fillId="0" borderId="6" xfId="0" applyFont="1" applyBorder="1"/>
    <xf numFmtId="0" fontId="34" fillId="0" borderId="1" xfId="7" applyFont="1" applyBorder="1"/>
    <xf numFmtId="0" fontId="34" fillId="0" borderId="0" xfId="7" applyFont="1"/>
    <xf numFmtId="0" fontId="26" fillId="0" borderId="7" xfId="0" applyFont="1" applyBorder="1"/>
    <xf numFmtId="2" fontId="26" fillId="0" borderId="0" xfId="0" applyNumberFormat="1" applyFont="1" applyAlignment="1">
      <alignment horizontal="center"/>
    </xf>
    <xf numFmtId="2" fontId="26" fillId="0" borderId="7" xfId="0" applyNumberFormat="1" applyFont="1" applyBorder="1" applyAlignment="1">
      <alignment horizontal="center"/>
    </xf>
    <xf numFmtId="168" fontId="34" fillId="0" borderId="1" xfId="7" applyNumberFormat="1" applyFont="1" applyBorder="1" applyAlignment="1" applyProtection="1">
      <alignment horizontal="left"/>
      <protection locked="0"/>
    </xf>
    <xf numFmtId="168" fontId="34" fillId="0" borderId="21" xfId="7" applyNumberFormat="1" applyFont="1" applyBorder="1" applyAlignment="1" applyProtection="1">
      <alignment horizontal="center"/>
      <protection locked="0"/>
    </xf>
    <xf numFmtId="0" fontId="34" fillId="0" borderId="22" xfId="7" applyFont="1" applyBorder="1" applyAlignment="1">
      <alignment wrapText="1"/>
    </xf>
    <xf numFmtId="0" fontId="34" fillId="0" borderId="22" xfId="7" applyFont="1" applyBorder="1" applyAlignment="1">
      <alignment horizontal="center" wrapText="1"/>
    </xf>
    <xf numFmtId="0" fontId="34" fillId="0" borderId="22" xfId="7" applyFont="1" applyBorder="1"/>
    <xf numFmtId="0" fontId="34" fillId="0" borderId="22" xfId="7" applyFont="1" applyBorder="1" applyAlignment="1">
      <alignment horizontal="center"/>
    </xf>
    <xf numFmtId="0" fontId="28" fillId="6" borderId="19" xfId="0" applyFont="1" applyFill="1" applyBorder="1" applyAlignment="1">
      <alignment horizontal="left" wrapText="1"/>
    </xf>
    <xf numFmtId="0" fontId="28" fillId="6" borderId="41" xfId="0" applyFont="1" applyFill="1" applyBorder="1" applyAlignment="1">
      <alignment horizontal="left" wrapText="1"/>
    </xf>
    <xf numFmtId="0" fontId="28" fillId="6" borderId="20" xfId="0" applyFont="1" applyFill="1" applyBorder="1" applyAlignment="1">
      <alignment horizontal="left"/>
    </xf>
    <xf numFmtId="0" fontId="28" fillId="6" borderId="42" xfId="0" applyFont="1" applyFill="1" applyBorder="1" applyAlignment="1">
      <alignment horizontal="center"/>
    </xf>
    <xf numFmtId="0" fontId="28" fillId="6" borderId="41" xfId="0" applyFont="1" applyFill="1" applyBorder="1"/>
    <xf numFmtId="0" fontId="28" fillId="6" borderId="71" xfId="0" applyFont="1" applyFill="1" applyBorder="1"/>
    <xf numFmtId="4" fontId="26" fillId="0" borderId="37" xfId="0" applyNumberFormat="1" applyFont="1" applyBorder="1"/>
    <xf numFmtId="0" fontId="28" fillId="6" borderId="14" xfId="0" applyFont="1" applyFill="1" applyBorder="1" applyAlignment="1">
      <alignment horizontal="left"/>
    </xf>
    <xf numFmtId="0" fontId="28" fillId="6" borderId="16" xfId="0" applyFont="1" applyFill="1" applyBorder="1" applyAlignment="1">
      <alignment horizontal="center"/>
    </xf>
    <xf numFmtId="0" fontId="28" fillId="6" borderId="40" xfId="0" applyFont="1" applyFill="1" applyBorder="1"/>
    <xf numFmtId="0" fontId="28" fillId="6" borderId="11" xfId="0" applyFont="1" applyFill="1" applyBorder="1"/>
    <xf numFmtId="0" fontId="26" fillId="0" borderId="20" xfId="0" applyFont="1" applyBorder="1"/>
    <xf numFmtId="0" fontId="26" fillId="0" borderId="72" xfId="0" applyFont="1" applyBorder="1"/>
    <xf numFmtId="0" fontId="26" fillId="0" borderId="73" xfId="0" applyFont="1" applyBorder="1"/>
    <xf numFmtId="0" fontId="26" fillId="11" borderId="21" xfId="0" applyFont="1" applyFill="1" applyBorder="1"/>
    <xf numFmtId="0" fontId="26" fillId="11" borderId="37" xfId="0" applyFont="1" applyFill="1" applyBorder="1"/>
    <xf numFmtId="0" fontId="26" fillId="11" borderId="38" xfId="0" applyFont="1" applyFill="1" applyBorder="1"/>
    <xf numFmtId="0" fontId="26" fillId="11" borderId="69" xfId="0" applyFont="1" applyFill="1" applyBorder="1"/>
    <xf numFmtId="2" fontId="26" fillId="0" borderId="37" xfId="0" applyNumberFormat="1" applyFont="1" applyBorder="1"/>
    <xf numFmtId="2" fontId="26" fillId="0" borderId="38" xfId="0" applyNumberFormat="1" applyFont="1" applyBorder="1"/>
    <xf numFmtId="2" fontId="26" fillId="0" borderId="69" xfId="0" applyNumberFormat="1" applyFont="1" applyBorder="1"/>
    <xf numFmtId="3" fontId="26" fillId="0" borderId="37" xfId="0" applyNumberFormat="1" applyFont="1" applyBorder="1"/>
    <xf numFmtId="3" fontId="26" fillId="0" borderId="38" xfId="0" applyNumberFormat="1" applyFont="1" applyBorder="1"/>
    <xf numFmtId="3" fontId="26" fillId="0" borderId="3" xfId="0" applyNumberFormat="1" applyFont="1" applyBorder="1"/>
    <xf numFmtId="3" fontId="26" fillId="0" borderId="74" xfId="0" applyNumberFormat="1" applyFont="1" applyBorder="1"/>
    <xf numFmtId="3" fontId="26" fillId="0" borderId="75" xfId="0" applyNumberFormat="1" applyFont="1" applyBorder="1"/>
    <xf numFmtId="0" fontId="52" fillId="0" borderId="0" xfId="0" applyFont="1"/>
    <xf numFmtId="0" fontId="45" fillId="0" borderId="0" xfId="0" applyFont="1" applyAlignment="1">
      <alignment horizontal="right"/>
    </xf>
    <xf numFmtId="0" fontId="47" fillId="0" borderId="0" xfId="0" applyFont="1" applyAlignment="1">
      <alignment horizontal="right"/>
    </xf>
    <xf numFmtId="0" fontId="48" fillId="0" borderId="0" xfId="0" applyFont="1" applyAlignment="1">
      <alignment horizontal="right"/>
    </xf>
    <xf numFmtId="171" fontId="34" fillId="0" borderId="0" xfId="0" applyNumberFormat="1" applyFont="1"/>
    <xf numFmtId="0" fontId="28" fillId="0" borderId="9" xfId="0" applyFont="1" applyBorder="1"/>
    <xf numFmtId="0" fontId="28" fillId="0" borderId="15" xfId="0" applyFont="1" applyBorder="1"/>
    <xf numFmtId="0" fontId="26" fillId="0" borderId="10" xfId="0" applyFont="1" applyBorder="1"/>
    <xf numFmtId="0" fontId="26" fillId="0" borderId="16" xfId="0" applyFont="1" applyBorder="1"/>
    <xf numFmtId="0" fontId="26" fillId="0" borderId="26" xfId="0" applyFont="1" applyBorder="1"/>
    <xf numFmtId="0" fontId="26" fillId="0" borderId="30" xfId="0" applyFont="1" applyBorder="1"/>
    <xf numFmtId="0" fontId="26" fillId="0" borderId="4" xfId="0" applyFont="1" applyBorder="1"/>
    <xf numFmtId="0" fontId="26" fillId="0" borderId="5" xfId="0" applyFont="1" applyBorder="1" applyAlignment="1">
      <alignment horizontal="right"/>
    </xf>
    <xf numFmtId="0" fontId="26" fillId="0" borderId="1" xfId="0" applyFont="1" applyBorder="1"/>
    <xf numFmtId="1" fontId="26" fillId="0" borderId="0" xfId="0" applyNumberFormat="1" applyFont="1"/>
    <xf numFmtId="0" fontId="26" fillId="0" borderId="2" xfId="0" applyFont="1" applyBorder="1"/>
    <xf numFmtId="0" fontId="26" fillId="0" borderId="3" xfId="0" applyFont="1" applyBorder="1"/>
    <xf numFmtId="0" fontId="26" fillId="0" borderId="3" xfId="0" applyFont="1" applyBorder="1" applyAlignment="1">
      <alignment horizontal="right"/>
    </xf>
    <xf numFmtId="0" fontId="26" fillId="0" borderId="53" xfId="0" applyFont="1" applyBorder="1"/>
    <xf numFmtId="169" fontId="26" fillId="0" borderId="0" xfId="0" applyNumberFormat="1" applyFont="1"/>
    <xf numFmtId="2" fontId="26" fillId="0" borderId="3" xfId="0" applyNumberFormat="1" applyFont="1" applyBorder="1"/>
    <xf numFmtId="0" fontId="26" fillId="0" borderId="8" xfId="0" applyFont="1" applyBorder="1"/>
    <xf numFmtId="0" fontId="26" fillId="0" borderId="56" xfId="0" applyFont="1" applyBorder="1" applyAlignment="1">
      <alignment horizontal="right"/>
    </xf>
    <xf numFmtId="3" fontId="28" fillId="6" borderId="50" xfId="0" applyNumberFormat="1" applyFont="1" applyFill="1" applyBorder="1"/>
    <xf numFmtId="0" fontId="28" fillId="6" borderId="82" xfId="0" applyFont="1" applyFill="1" applyBorder="1"/>
    <xf numFmtId="0" fontId="28" fillId="6" borderId="33" xfId="0" applyFont="1" applyFill="1" applyBorder="1"/>
    <xf numFmtId="168" fontId="28" fillId="6" borderId="33" xfId="0" applyNumberFormat="1" applyFont="1" applyFill="1" applyBorder="1"/>
    <xf numFmtId="0" fontId="28" fillId="6" borderId="90" xfId="0" applyFont="1" applyFill="1" applyBorder="1"/>
    <xf numFmtId="0" fontId="28" fillId="0" borderId="4" xfId="0" applyFont="1" applyBorder="1"/>
    <xf numFmtId="0" fontId="28" fillId="0" borderId="5" xfId="0" applyFont="1" applyBorder="1" applyAlignment="1">
      <alignment horizontal="center" wrapText="1"/>
    </xf>
    <xf numFmtId="0" fontId="28" fillId="0" borderId="91" xfId="0" applyFont="1" applyBorder="1" applyAlignment="1">
      <alignment horizontal="center" wrapText="1"/>
    </xf>
    <xf numFmtId="2" fontId="26" fillId="0" borderId="26" xfId="0" applyNumberFormat="1" applyFont="1" applyBorder="1" applyAlignment="1">
      <alignment horizontal="center"/>
    </xf>
    <xf numFmtId="165" fontId="28" fillId="0" borderId="36" xfId="0" applyNumberFormat="1" applyFont="1" applyBorder="1" applyAlignment="1">
      <alignment horizontal="center"/>
    </xf>
    <xf numFmtId="164" fontId="26" fillId="0" borderId="0" xfId="0" applyNumberFormat="1" applyFont="1"/>
    <xf numFmtId="165" fontId="28" fillId="0" borderId="34" xfId="0" applyNumberFormat="1" applyFont="1" applyBorder="1" applyAlignment="1">
      <alignment horizontal="center"/>
    </xf>
    <xf numFmtId="2" fontId="26" fillId="0" borderId="21" xfId="0" quotePrefix="1" applyNumberFormat="1" applyFont="1" applyBorder="1" applyAlignment="1">
      <alignment horizontal="center"/>
    </xf>
    <xf numFmtId="0" fontId="26" fillId="0" borderId="22" xfId="0" quotePrefix="1" applyFont="1" applyBorder="1" applyAlignment="1">
      <alignment horizontal="left"/>
    </xf>
    <xf numFmtId="0" fontId="26" fillId="0" borderId="37" xfId="0" quotePrefix="1" applyFont="1" applyBorder="1" applyAlignment="1">
      <alignment horizontal="center"/>
    </xf>
    <xf numFmtId="0" fontId="28" fillId="0" borderId="24" xfId="0" applyFont="1" applyBorder="1"/>
    <xf numFmtId="2" fontId="26" fillId="0" borderId="18" xfId="0" applyNumberFormat="1" applyFont="1" applyBorder="1" applyAlignment="1">
      <alignment horizontal="center"/>
    </xf>
    <xf numFmtId="0" fontId="26" fillId="0" borderId="35" xfId="0" applyFont="1" applyBorder="1" applyAlignment="1">
      <alignment horizontal="center"/>
    </xf>
    <xf numFmtId="0" fontId="26" fillId="0" borderId="30" xfId="0" applyFont="1" applyBorder="1" applyAlignment="1">
      <alignment horizontal="center"/>
    </xf>
    <xf numFmtId="2" fontId="26" fillId="0" borderId="31" xfId="0" applyNumberFormat="1" applyFont="1" applyBorder="1"/>
    <xf numFmtId="0" fontId="31" fillId="0" borderId="9" xfId="0" applyFont="1" applyBorder="1" applyAlignment="1">
      <alignment horizontal="left" vertical="top"/>
    </xf>
    <xf numFmtId="0" fontId="31" fillId="0" borderId="10" xfId="0" applyFont="1" applyBorder="1" applyAlignment="1">
      <alignment horizontal="left" vertical="top" wrapText="1"/>
    </xf>
    <xf numFmtId="0" fontId="31" fillId="0" borderId="32" xfId="0" applyFont="1" applyBorder="1" applyAlignment="1">
      <alignment horizontal="center" vertical="top" wrapText="1"/>
    </xf>
    <xf numFmtId="0" fontId="28" fillId="0" borderId="0" xfId="11" applyFont="1" applyAlignment="1">
      <alignment horizontal="left" wrapText="1"/>
    </xf>
    <xf numFmtId="0" fontId="30" fillId="0" borderId="0" xfId="11" applyFont="1" applyAlignment="1">
      <alignment wrapText="1"/>
    </xf>
    <xf numFmtId="1" fontId="26" fillId="0" borderId="37" xfId="0" applyNumberFormat="1" applyFont="1" applyBorder="1"/>
    <xf numFmtId="170" fontId="26" fillId="0" borderId="0" xfId="12" applyNumberFormat="1" applyFont="1"/>
    <xf numFmtId="3" fontId="26" fillId="0" borderId="0" xfId="11" applyNumberFormat="1" applyFont="1"/>
    <xf numFmtId="2" fontId="34" fillId="0" borderId="0" xfId="11" applyNumberFormat="1" applyFont="1" applyAlignment="1">
      <alignment horizontal="left"/>
    </xf>
    <xf numFmtId="3" fontId="34" fillId="0" borderId="0" xfId="11" applyNumberFormat="1" applyFont="1" applyAlignment="1">
      <alignment horizontal="center"/>
    </xf>
    <xf numFmtId="0" fontId="31" fillId="0" borderId="49" xfId="0" applyFont="1" applyBorder="1" applyAlignment="1">
      <alignment horizontal="center" wrapText="1"/>
    </xf>
    <xf numFmtId="0" fontId="31" fillId="0" borderId="5" xfId="0" applyFont="1" applyBorder="1" applyAlignment="1">
      <alignment horizontal="center" wrapText="1"/>
    </xf>
    <xf numFmtId="0" fontId="31" fillId="0" borderId="32" xfId="0" applyFont="1" applyBorder="1" applyAlignment="1">
      <alignment horizontal="center" wrapText="1"/>
    </xf>
    <xf numFmtId="0" fontId="40" fillId="0" borderId="53" xfId="0" applyFont="1" applyBorder="1"/>
    <xf numFmtId="0" fontId="26" fillId="0" borderId="20" xfId="0" applyFont="1" applyBorder="1" applyAlignment="1">
      <alignment horizontal="center"/>
    </xf>
    <xf numFmtId="2" fontId="26" fillId="0" borderId="20" xfId="0" applyNumberFormat="1" applyFont="1" applyBorder="1" applyAlignment="1">
      <alignment horizontal="center"/>
    </xf>
    <xf numFmtId="2" fontId="26" fillId="0" borderId="42" xfId="0" applyNumberFormat="1" applyFont="1" applyBorder="1" applyAlignment="1">
      <alignment horizontal="center"/>
    </xf>
    <xf numFmtId="165" fontId="26" fillId="0" borderId="36" xfId="0" applyNumberFormat="1" applyFont="1" applyBorder="1" applyAlignment="1">
      <alignment horizontal="center"/>
    </xf>
    <xf numFmtId="0" fontId="40" fillId="0" borderId="54" xfId="0" applyFont="1" applyBorder="1"/>
    <xf numFmtId="0" fontId="36" fillId="0" borderId="22" xfId="0" applyFont="1" applyBorder="1" applyAlignment="1">
      <alignment horizontal="center"/>
    </xf>
    <xf numFmtId="0" fontId="28" fillId="0" borderId="29" xfId="0" applyFont="1" applyBorder="1" applyAlignment="1">
      <alignment horizontal="left"/>
    </xf>
    <xf numFmtId="0" fontId="36" fillId="0" borderId="26" xfId="0" applyFont="1" applyBorder="1" applyAlignment="1">
      <alignment horizontal="center"/>
    </xf>
    <xf numFmtId="0" fontId="36" fillId="0" borderId="17" xfId="0" applyFont="1" applyBorder="1" applyAlignment="1">
      <alignment horizontal="center"/>
    </xf>
    <xf numFmtId="0" fontId="26" fillId="0" borderId="17" xfId="0" applyFont="1" applyBorder="1" applyAlignment="1">
      <alignment horizontal="center"/>
    </xf>
    <xf numFmtId="11" fontId="26" fillId="0" borderId="17" xfId="0" applyNumberFormat="1" applyFont="1" applyBorder="1" applyAlignment="1">
      <alignment horizontal="center"/>
    </xf>
    <xf numFmtId="11" fontId="26" fillId="0" borderId="92" xfId="0" applyNumberFormat="1" applyFont="1" applyBorder="1" applyAlignment="1">
      <alignment horizontal="center"/>
    </xf>
    <xf numFmtId="0" fontId="26" fillId="0" borderId="49" xfId="0" applyFont="1" applyBorder="1"/>
    <xf numFmtId="0" fontId="26" fillId="0" borderId="51" xfId="0" applyFont="1" applyBorder="1"/>
    <xf numFmtId="0" fontId="28" fillId="0" borderId="54" xfId="0" applyFont="1" applyBorder="1" applyAlignment="1">
      <alignment horizontal="right"/>
    </xf>
    <xf numFmtId="0" fontId="26" fillId="0" borderId="93" xfId="0" applyFont="1" applyBorder="1"/>
    <xf numFmtId="0" fontId="26" fillId="0" borderId="95" xfId="0" applyFont="1" applyBorder="1"/>
    <xf numFmtId="168" fontId="28" fillId="0" borderId="33" xfId="0" applyNumberFormat="1" applyFont="1" applyBorder="1"/>
    <xf numFmtId="0" fontId="28" fillId="0" borderId="90" xfId="0" applyFont="1" applyBorder="1"/>
    <xf numFmtId="0" fontId="26" fillId="0" borderId="45" xfId="0" applyFont="1" applyBorder="1"/>
    <xf numFmtId="0" fontId="26" fillId="0" borderId="33" xfId="0" applyFont="1" applyBorder="1"/>
    <xf numFmtId="0" fontId="26" fillId="0" borderId="33" xfId="0" applyFont="1" applyBorder="1" applyAlignment="1">
      <alignment horizontal="right"/>
    </xf>
    <xf numFmtId="0" fontId="26" fillId="0" borderId="90" xfId="0" applyFont="1" applyBorder="1"/>
    <xf numFmtId="0" fontId="26" fillId="0" borderId="81" xfId="0" applyFont="1" applyBorder="1"/>
    <xf numFmtId="0" fontId="26" fillId="0" borderId="75" xfId="0" applyFont="1" applyBorder="1"/>
    <xf numFmtId="0" fontId="26" fillId="0" borderId="78" xfId="0" applyFont="1" applyBorder="1"/>
    <xf numFmtId="0" fontId="26" fillId="0" borderId="74" xfId="0" applyFont="1" applyBorder="1"/>
    <xf numFmtId="0" fontId="31" fillId="0" borderId="14" xfId="0" applyFont="1" applyBorder="1" applyAlignment="1">
      <alignment horizontal="left"/>
    </xf>
    <xf numFmtId="0" fontId="28" fillId="0" borderId="32" xfId="0" applyFont="1" applyBorder="1" applyAlignment="1">
      <alignment horizontal="center" wrapText="1"/>
    </xf>
    <xf numFmtId="0" fontId="40" fillId="0" borderId="19" xfId="0" applyFont="1" applyBorder="1"/>
    <xf numFmtId="0" fontId="34" fillId="0" borderId="42" xfId="0" applyFont="1" applyBorder="1" applyAlignment="1">
      <alignment horizontal="center" wrapText="1"/>
    </xf>
    <xf numFmtId="2" fontId="26" fillId="0" borderId="73" xfId="0" applyNumberFormat="1" applyFont="1" applyBorder="1" applyAlignment="1">
      <alignment horizontal="center"/>
    </xf>
    <xf numFmtId="2" fontId="26" fillId="0" borderId="69" xfId="0" applyNumberFormat="1" applyFont="1" applyBorder="1" applyAlignment="1">
      <alignment horizontal="center"/>
    </xf>
    <xf numFmtId="2" fontId="26" fillId="0" borderId="54" xfId="0" applyNumberFormat="1" applyFont="1" applyBorder="1" applyAlignment="1">
      <alignment horizontal="center"/>
    </xf>
    <xf numFmtId="0" fontId="34" fillId="0" borderId="22" xfId="0" quotePrefix="1" applyFont="1" applyBorder="1" applyAlignment="1">
      <alignment horizontal="center" wrapText="1"/>
    </xf>
    <xf numFmtId="1" fontId="26" fillId="0" borderId="21" xfId="0" applyNumberFormat="1" applyFont="1" applyBorder="1" applyAlignment="1">
      <alignment horizontal="center"/>
    </xf>
    <xf numFmtId="0" fontId="34" fillId="0" borderId="69" xfId="0" applyFont="1" applyBorder="1" applyAlignment="1">
      <alignment horizontal="center" wrapText="1"/>
    </xf>
    <xf numFmtId="0" fontId="34" fillId="0" borderId="54" xfId="0" applyFont="1" applyBorder="1" applyAlignment="1">
      <alignment horizontal="center" wrapText="1"/>
    </xf>
    <xf numFmtId="0" fontId="26" fillId="0" borderId="22" xfId="0" quotePrefix="1" applyFont="1" applyBorder="1" applyAlignment="1">
      <alignment horizontal="center"/>
    </xf>
    <xf numFmtId="1" fontId="26" fillId="0" borderId="37" xfId="0" applyNumberFormat="1" applyFont="1" applyBorder="1" applyAlignment="1">
      <alignment horizontal="center"/>
    </xf>
    <xf numFmtId="1" fontId="34" fillId="0" borderId="22" xfId="0" applyNumberFormat="1" applyFont="1" applyBorder="1" applyAlignment="1">
      <alignment horizontal="center" wrapText="1"/>
    </xf>
    <xf numFmtId="1" fontId="26" fillId="0" borderId="69" xfId="0" applyNumberFormat="1" applyFont="1" applyBorder="1" applyAlignment="1">
      <alignment horizontal="center"/>
    </xf>
    <xf numFmtId="11" fontId="26" fillId="0" borderId="69" xfId="0" applyNumberFormat="1" applyFont="1" applyBorder="1" applyAlignment="1">
      <alignment horizontal="center"/>
    </xf>
    <xf numFmtId="11" fontId="26" fillId="0" borderId="54" xfId="0" applyNumberFormat="1" applyFont="1" applyBorder="1" applyAlignment="1">
      <alignment horizontal="center"/>
    </xf>
    <xf numFmtId="11" fontId="26" fillId="0" borderId="70" xfId="0" applyNumberFormat="1" applyFont="1" applyBorder="1" applyAlignment="1">
      <alignment horizontal="center"/>
    </xf>
    <xf numFmtId="11" fontId="26" fillId="0" borderId="55" xfId="0" applyNumberFormat="1" applyFont="1" applyBorder="1" applyAlignment="1">
      <alignment horizontal="center"/>
    </xf>
    <xf numFmtId="0" fontId="28" fillId="0" borderId="49" xfId="0" applyFont="1" applyBorder="1"/>
    <xf numFmtId="0" fontId="28" fillId="0" borderId="5" xfId="0" applyFont="1" applyBorder="1"/>
    <xf numFmtId="0" fontId="28" fillId="0" borderId="6" xfId="0" applyFont="1" applyBorder="1"/>
    <xf numFmtId="49" fontId="26" fillId="0" borderId="71" xfId="0" applyNumberFormat="1" applyFont="1" applyBorder="1"/>
    <xf numFmtId="49" fontId="26" fillId="0" borderId="69" xfId="0" applyNumberFormat="1" applyFont="1" applyBorder="1"/>
    <xf numFmtId="49" fontId="26" fillId="0" borderId="70" xfId="0" applyNumberFormat="1" applyFont="1" applyBorder="1"/>
    <xf numFmtId="1" fontId="26" fillId="0" borderId="3" xfId="0" applyNumberFormat="1" applyFont="1" applyBorder="1"/>
    <xf numFmtId="0" fontId="31" fillId="0" borderId="9" xfId="0" applyFont="1" applyBorder="1" applyAlignment="1">
      <alignment horizontal="center" wrapText="1"/>
    </xf>
    <xf numFmtId="0" fontId="31" fillId="0" borderId="10" xfId="0" applyFont="1" applyBorder="1" applyAlignment="1">
      <alignment horizontal="center" wrapText="1"/>
    </xf>
    <xf numFmtId="0" fontId="31" fillId="0" borderId="1" xfId="0" applyFont="1" applyBorder="1" applyAlignment="1">
      <alignment horizontal="center" wrapText="1"/>
    </xf>
    <xf numFmtId="0" fontId="31" fillId="0" borderId="0" xfId="0" applyFont="1" applyAlignment="1">
      <alignment horizontal="center" wrapText="1"/>
    </xf>
    <xf numFmtId="0" fontId="26" fillId="0" borderId="19" xfId="0" applyFont="1" applyBorder="1" applyAlignment="1">
      <alignment horizontal="center"/>
    </xf>
    <xf numFmtId="2" fontId="26" fillId="0" borderId="1" xfId="0" applyNumberFormat="1" applyFont="1" applyBorder="1" applyAlignment="1">
      <alignment horizontal="center"/>
    </xf>
    <xf numFmtId="11" fontId="26" fillId="0" borderId="1" xfId="0" applyNumberFormat="1" applyFont="1" applyBorder="1" applyAlignment="1">
      <alignment horizontal="center"/>
    </xf>
    <xf numFmtId="11" fontId="26" fillId="0" borderId="0" xfId="0" applyNumberFormat="1" applyFont="1" applyAlignment="1">
      <alignment horizontal="center"/>
    </xf>
    <xf numFmtId="0" fontId="26" fillId="0" borderId="24" xfId="0" applyFont="1" applyBorder="1" applyAlignment="1">
      <alignment horizontal="center"/>
    </xf>
    <xf numFmtId="0" fontId="26" fillId="0" borderId="8" xfId="11" applyFont="1" applyBorder="1" applyAlignment="1">
      <alignment horizontal="left" vertical="center"/>
    </xf>
    <xf numFmtId="2" fontId="26" fillId="0" borderId="0" xfId="0" applyNumberFormat="1" applyFont="1" applyAlignment="1">
      <alignment horizontal="left" wrapText="1"/>
    </xf>
    <xf numFmtId="0" fontId="28" fillId="0" borderId="1" xfId="0" applyFont="1" applyBorder="1" applyAlignment="1">
      <alignment horizontal="center"/>
    </xf>
    <xf numFmtId="0" fontId="26" fillId="0" borderId="29" xfId="0" applyFont="1" applyBorder="1" applyAlignment="1">
      <alignment horizontal="center"/>
    </xf>
    <xf numFmtId="0" fontId="26" fillId="0" borderId="84" xfId="0" applyFont="1" applyBorder="1" applyAlignment="1">
      <alignment horizontal="center"/>
    </xf>
    <xf numFmtId="11" fontId="26" fillId="0" borderId="26" xfId="0" applyNumberFormat="1" applyFont="1" applyBorder="1" applyAlignment="1">
      <alignment horizontal="center"/>
    </xf>
    <xf numFmtId="0" fontId="26" fillId="0" borderId="96" xfId="0" applyFont="1" applyBorder="1" applyAlignment="1">
      <alignment horizontal="center"/>
    </xf>
    <xf numFmtId="0" fontId="34" fillId="4" borderId="1" xfId="11" applyFont="1" applyFill="1" applyBorder="1" applyAlignment="1" applyProtection="1">
      <alignment vertical="center"/>
      <protection locked="0"/>
    </xf>
    <xf numFmtId="0" fontId="34" fillId="4" borderId="56" xfId="11" applyFont="1" applyFill="1" applyBorder="1" applyAlignment="1" applyProtection="1">
      <alignment vertical="center"/>
      <protection locked="0"/>
    </xf>
    <xf numFmtId="0" fontId="34" fillId="0" borderId="0" xfId="11" applyFont="1" applyAlignment="1">
      <alignment horizontal="left" vertical="center"/>
    </xf>
    <xf numFmtId="0" fontId="26" fillId="0" borderId="70" xfId="11" applyFont="1" applyBorder="1" applyAlignment="1">
      <alignment horizontal="left" vertical="center"/>
    </xf>
    <xf numFmtId="0" fontId="34" fillId="0" borderId="43" xfId="11" applyFont="1" applyBorder="1" applyAlignment="1">
      <alignment horizontal="left"/>
    </xf>
    <xf numFmtId="0" fontId="34" fillId="0" borderId="45" xfId="11" applyFont="1" applyBorder="1" applyAlignment="1">
      <alignment horizontal="left"/>
    </xf>
    <xf numFmtId="0" fontId="28" fillId="0" borderId="9" xfId="0" applyFont="1" applyBorder="1" applyAlignment="1">
      <alignment horizontal="center" wrapText="1"/>
    </xf>
    <xf numFmtId="0" fontId="34" fillId="0" borderId="25" xfId="11" applyFont="1" applyBorder="1" applyAlignment="1">
      <alignment horizontal="left" vertical="center"/>
    </xf>
    <xf numFmtId="167" fontId="26" fillId="0" borderId="0" xfId="0" applyNumberFormat="1" applyFont="1"/>
    <xf numFmtId="0" fontId="54" fillId="0" borderId="0" xfId="0" applyFont="1"/>
    <xf numFmtId="0" fontId="55" fillId="0" borderId="0" xfId="0" applyFont="1"/>
    <xf numFmtId="165" fontId="26" fillId="0" borderId="0" xfId="11" applyNumberFormat="1" applyFont="1"/>
    <xf numFmtId="165" fontId="34" fillId="0" borderId="24" xfId="11" applyNumberFormat="1" applyFont="1" applyBorder="1" applyAlignment="1">
      <alignment horizontal="center" vertical="center"/>
    </xf>
    <xf numFmtId="165" fontId="34" fillId="0" borderId="17" xfId="11" applyNumberFormat="1" applyFont="1" applyBorder="1" applyAlignment="1">
      <alignment horizontal="center" vertical="center"/>
    </xf>
    <xf numFmtId="2" fontId="34" fillId="0" borderId="82" xfId="11" applyNumberFormat="1" applyFont="1" applyBorder="1" applyAlignment="1">
      <alignment horizontal="center" vertical="center"/>
    </xf>
    <xf numFmtId="11" fontId="34" fillId="0" borderId="82" xfId="11" applyNumberFormat="1" applyFont="1" applyBorder="1" applyAlignment="1">
      <alignment horizontal="center" vertical="center"/>
    </xf>
    <xf numFmtId="2" fontId="34" fillId="0" borderId="44" xfId="11" applyNumberFormat="1" applyFont="1" applyBorder="1" applyAlignment="1">
      <alignment horizontal="center" vertical="center"/>
    </xf>
    <xf numFmtId="11" fontId="34" fillId="0" borderId="44" xfId="11" applyNumberFormat="1" applyFont="1" applyBorder="1" applyAlignment="1">
      <alignment horizontal="center" vertical="center"/>
    </xf>
    <xf numFmtId="0" fontId="31" fillId="4" borderId="6" xfId="11" applyFont="1" applyFill="1" applyBorder="1" applyAlignment="1" applyProtection="1">
      <alignment horizontal="center" vertical="center" wrapText="1"/>
      <protection locked="0"/>
    </xf>
    <xf numFmtId="0" fontId="31" fillId="4" borderId="7" xfId="11" applyFont="1" applyFill="1" applyBorder="1" applyAlignment="1" applyProtection="1">
      <alignment horizontal="center" vertical="center" wrapText="1"/>
      <protection locked="0"/>
    </xf>
    <xf numFmtId="0" fontId="26" fillId="0" borderId="71" xfId="11" applyFont="1" applyBorder="1" applyAlignment="1">
      <alignment horizontal="left" vertical="center"/>
    </xf>
    <xf numFmtId="11" fontId="34" fillId="0" borderId="46" xfId="11" applyNumberFormat="1" applyFont="1" applyBorder="1" applyAlignment="1">
      <alignment horizontal="center" vertical="center"/>
    </xf>
    <xf numFmtId="2" fontId="34" fillId="0" borderId="46" xfId="11" applyNumberFormat="1" applyFont="1" applyBorder="1" applyAlignment="1">
      <alignment horizontal="center" vertical="center"/>
    </xf>
    <xf numFmtId="165" fontId="26" fillId="0" borderId="27" xfId="0" applyNumberFormat="1" applyFont="1" applyBorder="1" applyAlignment="1">
      <alignment horizontal="center"/>
    </xf>
    <xf numFmtId="165" fontId="26" fillId="0" borderId="23" xfId="0" applyNumberFormat="1" applyFont="1" applyBorder="1" applyAlignment="1">
      <alignment horizontal="center"/>
    </xf>
    <xf numFmtId="11" fontId="26" fillId="0" borderId="42" xfId="0" applyNumberFormat="1" applyFont="1" applyBorder="1" applyAlignment="1">
      <alignment horizontal="center"/>
    </xf>
    <xf numFmtId="11" fontId="34" fillId="0" borderId="37" xfId="0" applyNumberFormat="1" applyFont="1" applyBorder="1" applyAlignment="1">
      <alignment horizontal="center" wrapText="1"/>
    </xf>
    <xf numFmtId="165" fontId="26" fillId="0" borderId="25" xfId="0" applyNumberFormat="1" applyFont="1" applyBorder="1" applyAlignment="1">
      <alignment horizontal="center"/>
    </xf>
    <xf numFmtId="0" fontId="56" fillId="0" borderId="0" xfId="0" applyFont="1"/>
    <xf numFmtId="175" fontId="26" fillId="0" borderId="0" xfId="0" applyNumberFormat="1" applyFont="1"/>
    <xf numFmtId="0" fontId="26" fillId="0" borderId="0" xfId="0" applyFont="1" applyAlignment="1">
      <alignment horizontal="left" indent="4"/>
    </xf>
    <xf numFmtId="3" fontId="28" fillId="0" borderId="50" xfId="0" applyNumberFormat="1" applyFont="1" applyBorder="1"/>
    <xf numFmtId="0" fontId="28" fillId="0" borderId="69" xfId="0" applyFont="1" applyBorder="1"/>
    <xf numFmtId="1" fontId="26" fillId="0" borderId="5" xfId="0" applyNumberFormat="1" applyFont="1" applyBorder="1"/>
    <xf numFmtId="0" fontId="26" fillId="0" borderId="0" xfId="11" quotePrefix="1" applyFont="1"/>
    <xf numFmtId="11" fontId="34" fillId="0" borderId="84" xfId="0" applyNumberFormat="1" applyFont="1" applyBorder="1" applyAlignment="1">
      <alignment horizontal="center"/>
    </xf>
    <xf numFmtId="11" fontId="34" fillId="0" borderId="83" xfId="0" applyNumberFormat="1" applyFont="1" applyBorder="1" applyAlignment="1">
      <alignment horizontal="center"/>
    </xf>
    <xf numFmtId="0" fontId="25" fillId="0" borderId="0" xfId="0" applyFont="1"/>
    <xf numFmtId="0" fontId="26" fillId="0" borderId="0" xfId="0" applyFont="1" applyAlignment="1">
      <alignment horizontal="right" wrapText="1"/>
    </xf>
    <xf numFmtId="166" fontId="26" fillId="0" borderId="0" xfId="0" applyNumberFormat="1" applyFont="1" applyAlignment="1">
      <alignment horizontal="right"/>
    </xf>
    <xf numFmtId="2" fontId="26" fillId="0" borderId="0" xfId="0" applyNumberFormat="1" applyFont="1" applyAlignment="1">
      <alignment horizontal="right" wrapText="1"/>
    </xf>
    <xf numFmtId="0" fontId="31" fillId="0" borderId="14" xfId="0" applyFont="1" applyBorder="1"/>
    <xf numFmtId="0" fontId="32" fillId="0" borderId="82" xfId="0" applyFont="1" applyBorder="1"/>
    <xf numFmtId="0" fontId="26" fillId="0" borderId="44" xfId="0" applyFont="1" applyBorder="1" applyAlignment="1">
      <alignment horizontal="center"/>
    </xf>
    <xf numFmtId="0" fontId="26" fillId="0" borderId="87" xfId="0" applyFont="1" applyBorder="1" applyAlignment="1">
      <alignment horizontal="center"/>
    </xf>
    <xf numFmtId="0" fontId="26" fillId="0" borderId="98" xfId="0" applyFont="1" applyBorder="1" applyAlignment="1">
      <alignment horizontal="center"/>
    </xf>
    <xf numFmtId="165" fontId="26" fillId="0" borderId="19" xfId="0" applyNumberFormat="1" applyFont="1" applyBorder="1" applyAlignment="1">
      <alignment horizontal="center"/>
    </xf>
    <xf numFmtId="165" fontId="26" fillId="0" borderId="21" xfId="0" applyNumberFormat="1" applyFont="1" applyBorder="1" applyAlignment="1">
      <alignment horizontal="center"/>
    </xf>
    <xf numFmtId="165" fontId="26" fillId="0" borderId="43" xfId="0" applyNumberFormat="1" applyFont="1" applyBorder="1" applyAlignment="1">
      <alignment horizontal="center"/>
    </xf>
    <xf numFmtId="165" fontId="26" fillId="0" borderId="46" xfId="0" applyNumberFormat="1" applyFont="1" applyBorder="1" applyAlignment="1">
      <alignment horizontal="center"/>
    </xf>
    <xf numFmtId="165" fontId="26" fillId="0" borderId="28" xfId="0" applyNumberFormat="1" applyFont="1" applyBorder="1" applyAlignment="1">
      <alignment horizontal="center"/>
    </xf>
    <xf numFmtId="11" fontId="26" fillId="0" borderId="19" xfId="0" applyNumberFormat="1" applyFont="1" applyBorder="1" applyAlignment="1">
      <alignment horizontal="center"/>
    </xf>
    <xf numFmtId="11" fontId="26" fillId="0" borderId="28" xfId="0" applyNumberFormat="1" applyFont="1" applyBorder="1" applyAlignment="1">
      <alignment horizontal="center"/>
    </xf>
    <xf numFmtId="11" fontId="26" fillId="0" borderId="43" xfId="0" applyNumberFormat="1" applyFont="1" applyBorder="1" applyAlignment="1">
      <alignment horizontal="center"/>
    </xf>
    <xf numFmtId="11" fontId="26" fillId="0" borderId="46" xfId="0" applyNumberFormat="1" applyFont="1" applyBorder="1" applyAlignment="1">
      <alignment horizontal="center"/>
    </xf>
    <xf numFmtId="165" fontId="34" fillId="0" borderId="21" xfId="0" applyNumberFormat="1" applyFont="1" applyBorder="1" applyAlignment="1">
      <alignment horizontal="center"/>
    </xf>
    <xf numFmtId="165" fontId="34" fillId="0" borderId="23" xfId="0" applyNumberFormat="1" applyFont="1" applyBorder="1" applyAlignment="1">
      <alignment horizontal="center"/>
    </xf>
    <xf numFmtId="0" fontId="26" fillId="6" borderId="21" xfId="0" applyFont="1" applyFill="1" applyBorder="1" applyAlignment="1">
      <alignment horizontal="left" vertical="center"/>
    </xf>
    <xf numFmtId="0" fontId="26" fillId="6" borderId="38" xfId="0" applyFont="1" applyFill="1" applyBorder="1" applyAlignment="1">
      <alignment horizontal="left" vertical="center"/>
    </xf>
    <xf numFmtId="0" fontId="26" fillId="7" borderId="22" xfId="0" applyFont="1" applyFill="1" applyBorder="1" applyAlignment="1">
      <alignment horizontal="left" vertical="center"/>
    </xf>
    <xf numFmtId="0" fontId="26" fillId="8" borderId="22" xfId="0" applyFont="1" applyFill="1" applyBorder="1" applyAlignment="1">
      <alignment horizontal="left" vertical="center"/>
    </xf>
    <xf numFmtId="0" fontId="26" fillId="0" borderId="37" xfId="0" applyFont="1" applyBorder="1" applyAlignment="1">
      <alignment vertical="center"/>
    </xf>
    <xf numFmtId="0" fontId="26" fillId="0" borderId="38" xfId="0" applyFont="1" applyBorder="1" applyAlignment="1">
      <alignment vertical="center"/>
    </xf>
    <xf numFmtId="0" fontId="26" fillId="0" borderId="69" xfId="0" applyFont="1" applyBorder="1" applyAlignment="1">
      <alignment vertical="center"/>
    </xf>
    <xf numFmtId="0" fontId="26" fillId="9" borderId="22" xfId="0" applyFont="1" applyFill="1" applyBorder="1" applyAlignment="1">
      <alignment horizontal="left" vertical="center"/>
    </xf>
    <xf numFmtId="4" fontId="26" fillId="0" borderId="37" xfId="0" applyNumberFormat="1" applyFont="1" applyBorder="1" applyAlignment="1">
      <alignment vertical="center"/>
    </xf>
    <xf numFmtId="0" fontId="26" fillId="10" borderId="22" xfId="0" applyFont="1" applyFill="1" applyBorder="1" applyAlignment="1">
      <alignment horizontal="left" vertical="center"/>
    </xf>
    <xf numFmtId="0" fontId="26" fillId="6" borderId="24" xfId="0" applyFont="1" applyFill="1" applyBorder="1" applyAlignment="1">
      <alignment horizontal="left" vertical="center"/>
    </xf>
    <xf numFmtId="0" fontId="26" fillId="6" borderId="39" xfId="0" applyFont="1" applyFill="1" applyBorder="1" applyAlignment="1">
      <alignment horizontal="left" vertical="center"/>
    </xf>
    <xf numFmtId="0" fontId="26" fillId="7" borderId="17" xfId="0" applyFont="1" applyFill="1" applyBorder="1" applyAlignment="1">
      <alignment horizontal="left" vertical="center"/>
    </xf>
    <xf numFmtId="0" fontId="26" fillId="9" borderId="17" xfId="0" applyFont="1" applyFill="1" applyBorder="1" applyAlignment="1">
      <alignment horizontal="left" vertical="center"/>
    </xf>
    <xf numFmtId="0" fontId="26" fillId="0" borderId="18" xfId="0" applyFont="1" applyBorder="1" applyAlignment="1">
      <alignment vertical="center"/>
    </xf>
    <xf numFmtId="0" fontId="26" fillId="0" borderId="39" xfId="0" applyFont="1" applyBorder="1" applyAlignment="1">
      <alignment vertical="center"/>
    </xf>
    <xf numFmtId="0" fontId="26" fillId="0" borderId="70" xfId="0" applyFont="1" applyBorder="1" applyAlignment="1">
      <alignment vertical="center"/>
    </xf>
    <xf numFmtId="0" fontId="26" fillId="0" borderId="28" xfId="0" applyFont="1" applyBorder="1" applyAlignment="1">
      <alignment horizontal="center"/>
    </xf>
    <xf numFmtId="0" fontId="26" fillId="0" borderId="0" xfId="0" quotePrefix="1" applyFont="1" applyAlignment="1">
      <alignment horizontal="left"/>
    </xf>
    <xf numFmtId="0" fontId="32" fillId="0" borderId="0" xfId="0" applyFont="1" applyAlignment="1">
      <alignment horizontal="left" wrapText="1"/>
    </xf>
    <xf numFmtId="166" fontId="26" fillId="0" borderId="22" xfId="0" applyNumberFormat="1" applyFont="1" applyBorder="1" applyAlignment="1">
      <alignment horizontal="center"/>
    </xf>
    <xf numFmtId="166" fontId="34" fillId="0" borderId="22" xfId="0" applyNumberFormat="1" applyFont="1" applyBorder="1" applyAlignment="1">
      <alignment horizontal="center"/>
    </xf>
    <xf numFmtId="166" fontId="26" fillId="0" borderId="17" xfId="0" applyNumberFormat="1" applyFont="1" applyBorder="1" applyAlignment="1">
      <alignment horizontal="center"/>
    </xf>
    <xf numFmtId="3" fontId="26" fillId="0" borderId="54" xfId="0" applyNumberFormat="1" applyFont="1" applyBorder="1"/>
    <xf numFmtId="0" fontId="28" fillId="13" borderId="0" xfId="0" applyFont="1" applyFill="1"/>
    <xf numFmtId="0" fontId="28" fillId="13" borderId="1" xfId="0" applyFont="1" applyFill="1" applyBorder="1"/>
    <xf numFmtId="0" fontId="26" fillId="0" borderId="28" xfId="0" applyFont="1" applyBorder="1"/>
    <xf numFmtId="0" fontId="26" fillId="0" borderId="71" xfId="0" applyFont="1" applyBorder="1" applyAlignment="1">
      <alignment horizontal="right"/>
    </xf>
    <xf numFmtId="0" fontId="26" fillId="0" borderId="69" xfId="0" applyFont="1" applyBorder="1" applyAlignment="1">
      <alignment horizontal="right"/>
    </xf>
    <xf numFmtId="0" fontId="26" fillId="0" borderId="70" xfId="0" applyFont="1" applyBorder="1" applyAlignment="1">
      <alignment horizontal="right"/>
    </xf>
    <xf numFmtId="0" fontId="26" fillId="13" borderId="55" xfId="0" applyFont="1" applyFill="1" applyBorder="1"/>
    <xf numFmtId="0" fontId="26" fillId="13" borderId="77" xfId="0" applyFont="1" applyFill="1" applyBorder="1"/>
    <xf numFmtId="0" fontId="26" fillId="13" borderId="70" xfId="0" applyFont="1" applyFill="1" applyBorder="1"/>
    <xf numFmtId="0" fontId="28" fillId="0" borderId="0" xfId="0" applyFont="1" applyAlignment="1">
      <alignment horizontal="right"/>
    </xf>
    <xf numFmtId="0" fontId="28" fillId="0" borderId="35" xfId="0" applyFont="1" applyBorder="1" applyAlignment="1">
      <alignment horizontal="center"/>
    </xf>
    <xf numFmtId="0" fontId="42" fillId="0" borderId="0" xfId="0" applyFont="1"/>
    <xf numFmtId="0" fontId="28" fillId="0" borderId="0" xfId="0" quotePrefix="1" applyFont="1" applyAlignment="1">
      <alignment horizontal="left"/>
    </xf>
    <xf numFmtId="2" fontId="34" fillId="0" borderId="24" xfId="0" applyNumberFormat="1" applyFont="1" applyBorder="1" applyAlignment="1">
      <alignment horizontal="center"/>
    </xf>
    <xf numFmtId="2" fontId="34" fillId="0" borderId="53" xfId="11" applyNumberFormat="1" applyFont="1" applyBorder="1" applyAlignment="1">
      <alignment horizontal="right" vertical="top"/>
    </xf>
    <xf numFmtId="2" fontId="34" fillId="0" borderId="56" xfId="11" applyNumberFormat="1" applyFont="1" applyBorder="1" applyAlignment="1">
      <alignment horizontal="right" vertical="top"/>
    </xf>
    <xf numFmtId="2" fontId="34" fillId="0" borderId="54" xfId="11" applyNumberFormat="1" applyFont="1" applyBorder="1" applyAlignment="1">
      <alignment horizontal="right" vertical="top"/>
    </xf>
    <xf numFmtId="2" fontId="34" fillId="0" borderId="82" xfId="11" applyNumberFormat="1" applyFont="1" applyBorder="1" applyAlignment="1">
      <alignment horizontal="right" vertical="top"/>
    </xf>
    <xf numFmtId="2" fontId="34" fillId="0" borderId="55" xfId="11" applyNumberFormat="1" applyFont="1" applyBorder="1" applyAlignment="1">
      <alignment horizontal="right" vertical="top"/>
    </xf>
    <xf numFmtId="0" fontId="26" fillId="0" borderId="54" xfId="11" applyFont="1" applyBorder="1" applyAlignment="1">
      <alignment horizontal="center" vertical="top"/>
    </xf>
    <xf numFmtId="0" fontId="26" fillId="0" borderId="54" xfId="11" applyFont="1" applyBorder="1" applyAlignment="1">
      <alignment horizontal="center" vertical="top" wrapText="1"/>
    </xf>
    <xf numFmtId="49" fontId="26" fillId="0" borderId="54" xfId="11" applyNumberFormat="1" applyFont="1" applyBorder="1" applyAlignment="1">
      <alignment horizontal="center" vertical="top"/>
    </xf>
    <xf numFmtId="2" fontId="34" fillId="0" borderId="54" xfId="11" applyNumberFormat="1" applyFont="1" applyBorder="1" applyAlignment="1">
      <alignment horizontal="center" vertical="top"/>
    </xf>
    <xf numFmtId="3" fontId="34" fillId="0" borderId="54" xfId="11" applyNumberFormat="1" applyFont="1" applyBorder="1" applyAlignment="1">
      <alignment horizontal="center" vertical="top"/>
    </xf>
    <xf numFmtId="0" fontId="26" fillId="0" borderId="82" xfId="11" applyFont="1" applyBorder="1" applyAlignment="1">
      <alignment horizontal="center" vertical="top"/>
    </xf>
    <xf numFmtId="2" fontId="34" fillId="0" borderId="19" xfId="11" applyNumberFormat="1" applyFont="1" applyBorder="1" applyAlignment="1">
      <alignment horizontal="center" vertical="top"/>
    </xf>
    <xf numFmtId="2" fontId="34" fillId="0" borderId="29" xfId="11" applyNumberFormat="1" applyFont="1" applyBorder="1" applyAlignment="1">
      <alignment horizontal="center" vertical="top"/>
    </xf>
    <xf numFmtId="2" fontId="34" fillId="0" borderId="23" xfId="11" applyNumberFormat="1" applyFont="1" applyBorder="1" applyAlignment="1">
      <alignment horizontal="center" vertical="top"/>
    </xf>
    <xf numFmtId="2" fontId="34" fillId="0" borderId="24" xfId="11" applyNumberFormat="1" applyFont="1" applyBorder="1" applyAlignment="1">
      <alignment horizontal="center" vertical="top"/>
    </xf>
    <xf numFmtId="2" fontId="34" fillId="0" borderId="25" xfId="11" applyNumberFormat="1" applyFont="1" applyBorder="1" applyAlignment="1">
      <alignment horizontal="center" vertical="top"/>
    </xf>
    <xf numFmtId="0" fontId="26" fillId="6" borderId="43" xfId="0" applyFont="1" applyFill="1" applyBorder="1" applyAlignment="1">
      <alignment horizontal="left" vertical="center"/>
    </xf>
    <xf numFmtId="0" fontId="26" fillId="7" borderId="44" xfId="0" applyFont="1" applyFill="1" applyBorder="1" applyAlignment="1">
      <alignment horizontal="left" vertical="center"/>
    </xf>
    <xf numFmtId="0" fontId="26" fillId="9" borderId="44" xfId="0" applyFont="1" applyFill="1" applyBorder="1" applyAlignment="1">
      <alignment horizontal="left" vertical="center"/>
    </xf>
    <xf numFmtId="0" fontId="26" fillId="0" borderId="45" xfId="0" applyFont="1" applyBorder="1" applyAlignment="1">
      <alignment vertical="center"/>
    </xf>
    <xf numFmtId="0" fontId="26" fillId="0" borderId="47" xfId="0" applyFont="1" applyBorder="1" applyAlignment="1">
      <alignment vertical="center"/>
    </xf>
    <xf numFmtId="0" fontId="26" fillId="0" borderId="90" xfId="0" applyFont="1" applyBorder="1" applyAlignment="1">
      <alignment vertical="center"/>
    </xf>
    <xf numFmtId="0" fontId="26" fillId="10" borderId="17" xfId="0" applyFont="1" applyFill="1" applyBorder="1" applyAlignment="1">
      <alignment horizontal="left" vertical="center"/>
    </xf>
    <xf numFmtId="0" fontId="5" fillId="0" borderId="0" xfId="0" applyFont="1"/>
    <xf numFmtId="4" fontId="0" fillId="0" borderId="0" xfId="0" applyNumberFormat="1"/>
    <xf numFmtId="0" fontId="26" fillId="0" borderId="0" xfId="11" applyFont="1" applyAlignment="1">
      <alignment horizontal="right" vertical="top"/>
    </xf>
    <xf numFmtId="2" fontId="26" fillId="0" borderId="30" xfId="11" applyNumberFormat="1" applyFont="1" applyBorder="1" applyAlignment="1">
      <alignment vertical="top" wrapText="1"/>
    </xf>
    <xf numFmtId="164" fontId="26" fillId="0" borderId="0" xfId="11" applyNumberFormat="1" applyFont="1" applyAlignment="1">
      <alignment vertical="top"/>
    </xf>
    <xf numFmtId="11" fontId="28" fillId="0" borderId="69" xfId="0" applyNumberFormat="1" applyFont="1" applyBorder="1" applyAlignment="1">
      <alignment horizontal="center"/>
    </xf>
    <xf numFmtId="11" fontId="28" fillId="0" borderId="70" xfId="0" applyNumberFormat="1" applyFont="1" applyBorder="1" applyAlignment="1">
      <alignment horizontal="center"/>
    </xf>
    <xf numFmtId="0" fontId="28" fillId="6" borderId="9" xfId="0" applyFont="1" applyFill="1" applyBorder="1" applyAlignment="1">
      <alignment horizontal="left"/>
    </xf>
    <xf numFmtId="0" fontId="26" fillId="11" borderId="54" xfId="0" applyFont="1" applyFill="1" applyBorder="1"/>
    <xf numFmtId="0" fontId="26" fillId="0" borderId="43" xfId="0" applyFont="1" applyBorder="1"/>
    <xf numFmtId="0" fontId="26" fillId="0" borderId="44" xfId="0" applyFont="1" applyBorder="1"/>
    <xf numFmtId="0" fontId="26" fillId="0" borderId="102" xfId="0" applyFont="1" applyBorder="1"/>
    <xf numFmtId="0" fontId="26" fillId="0" borderId="46" xfId="0" applyFont="1" applyBorder="1"/>
    <xf numFmtId="0" fontId="26" fillId="0" borderId="43" xfId="0" applyFont="1" applyBorder="1" applyAlignment="1">
      <alignment horizont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29" xfId="0" applyFont="1" applyBorder="1"/>
    <xf numFmtId="3" fontId="26" fillId="0" borderId="26" xfId="0" applyNumberFormat="1" applyFont="1" applyBorder="1"/>
    <xf numFmtId="0" fontId="26" fillId="0" borderId="27" xfId="0" applyFont="1" applyBorder="1"/>
    <xf numFmtId="166" fontId="26" fillId="0" borderId="29" xfId="0" applyNumberFormat="1" applyFont="1" applyBorder="1" applyAlignment="1">
      <alignment horizontal="center"/>
    </xf>
    <xf numFmtId="3" fontId="26" fillId="0" borderId="20" xfId="0" applyNumberFormat="1" applyFont="1" applyBorder="1"/>
    <xf numFmtId="166" fontId="26" fillId="0" borderId="19" xfId="0" applyNumberFormat="1" applyFont="1" applyBorder="1" applyAlignment="1">
      <alignment horizontal="center"/>
    </xf>
    <xf numFmtId="165" fontId="26" fillId="0" borderId="20" xfId="0" applyNumberFormat="1" applyFont="1" applyBorder="1" applyAlignment="1">
      <alignment horizontal="center"/>
    </xf>
    <xf numFmtId="175" fontId="28" fillId="6" borderId="33" xfId="0" applyNumberFormat="1" applyFont="1" applyFill="1" applyBorder="1"/>
    <xf numFmtId="2" fontId="26" fillId="0" borderId="53" xfId="0" applyNumberFormat="1" applyFont="1" applyBorder="1" applyAlignment="1">
      <alignment horizontal="center"/>
    </xf>
    <xf numFmtId="0" fontId="28" fillId="6" borderId="10" xfId="0" applyFont="1" applyFill="1" applyBorder="1" applyAlignment="1">
      <alignment horizontal="center"/>
    </xf>
    <xf numFmtId="3" fontId="26" fillId="0" borderId="76" xfId="0" applyNumberFormat="1" applyFont="1" applyBorder="1"/>
    <xf numFmtId="0" fontId="26" fillId="11" borderId="50" xfId="0" applyFont="1" applyFill="1" applyBorder="1"/>
    <xf numFmtId="2" fontId="26" fillId="0" borderId="50" xfId="0" applyNumberFormat="1" applyFont="1" applyBorder="1"/>
    <xf numFmtId="167" fontId="26" fillId="0" borderId="29" xfId="0" applyNumberFormat="1" applyFont="1" applyBorder="1"/>
    <xf numFmtId="167" fontId="26" fillId="0" borderId="26" xfId="0" applyNumberFormat="1" applyFont="1" applyBorder="1"/>
    <xf numFmtId="167" fontId="26" fillId="0" borderId="27" xfId="0" applyNumberFormat="1" applyFont="1" applyBorder="1"/>
    <xf numFmtId="167" fontId="26" fillId="0" borderId="72" xfId="0" applyNumberFormat="1" applyFont="1" applyBorder="1"/>
    <xf numFmtId="167" fontId="26" fillId="0" borderId="21" xfId="0" applyNumberFormat="1" applyFont="1" applyBorder="1"/>
    <xf numFmtId="167" fontId="26" fillId="0" borderId="22" xfId="0" applyNumberFormat="1" applyFont="1" applyBorder="1"/>
    <xf numFmtId="167" fontId="26" fillId="0" borderId="23" xfId="0" applyNumberFormat="1" applyFont="1" applyBorder="1"/>
    <xf numFmtId="167" fontId="26" fillId="0" borderId="38" xfId="0" applyNumberFormat="1" applyFont="1" applyBorder="1"/>
    <xf numFmtId="167" fontId="26" fillId="0" borderId="24" xfId="0" applyNumberFormat="1" applyFont="1" applyBorder="1"/>
    <xf numFmtId="167" fontId="26" fillId="0" borderId="17" xfId="0" applyNumberFormat="1" applyFont="1" applyBorder="1"/>
    <xf numFmtId="167" fontId="26" fillId="0" borderId="25" xfId="0" applyNumberFormat="1" applyFont="1" applyBorder="1"/>
    <xf numFmtId="167" fontId="26" fillId="0" borderId="39" xfId="0" applyNumberFormat="1" applyFont="1" applyBorder="1"/>
    <xf numFmtId="0" fontId="28" fillId="0" borderId="33" xfId="0" applyFont="1" applyBorder="1"/>
    <xf numFmtId="0" fontId="28" fillId="0" borderId="33" xfId="0" applyFont="1" applyBorder="1" applyAlignment="1">
      <alignment horizontal="center"/>
    </xf>
    <xf numFmtId="0" fontId="26" fillId="0" borderId="47" xfId="0" applyFont="1" applyBorder="1"/>
    <xf numFmtId="0" fontId="26" fillId="0" borderId="35" xfId="0" applyFont="1" applyBorder="1" applyAlignment="1">
      <alignment horizontal="left" wrapText="1"/>
    </xf>
    <xf numFmtId="0" fontId="28" fillId="0" borderId="35" xfId="0" applyFont="1" applyBorder="1"/>
    <xf numFmtId="166" fontId="28" fillId="0" borderId="0" xfId="0" applyNumberFormat="1" applyFont="1" applyAlignment="1">
      <alignment horizontal="center"/>
    </xf>
    <xf numFmtId="0" fontId="26" fillId="0" borderId="95" xfId="0" applyFont="1" applyBorder="1" applyAlignment="1">
      <alignment wrapText="1"/>
    </xf>
    <xf numFmtId="0" fontId="28" fillId="0" borderId="35" xfId="0" applyFont="1" applyBorder="1" applyAlignment="1">
      <alignment horizontal="left" wrapText="1"/>
    </xf>
    <xf numFmtId="0" fontId="26" fillId="0" borderId="72" xfId="0" applyFont="1" applyBorder="1" applyAlignment="1">
      <alignment horizontal="left" wrapText="1"/>
    </xf>
    <xf numFmtId="0" fontId="26" fillId="0" borderId="103" xfId="0" applyFont="1" applyBorder="1"/>
    <xf numFmtId="0" fontId="28" fillId="0" borderId="17" xfId="0" applyFont="1" applyBorder="1"/>
    <xf numFmtId="0" fontId="28" fillId="0" borderId="17" xfId="0" applyFont="1" applyBorder="1" applyAlignment="1">
      <alignment horizontal="center" wrapText="1"/>
    </xf>
    <xf numFmtId="0" fontId="28" fillId="0" borderId="18" xfId="0" applyFont="1" applyBorder="1" applyAlignment="1">
      <alignment horizontal="center" wrapText="1"/>
    </xf>
    <xf numFmtId="0" fontId="28" fillId="0" borderId="25" xfId="0" applyFont="1" applyBorder="1"/>
    <xf numFmtId="0" fontId="28" fillId="6" borderId="10" xfId="0" applyFont="1" applyFill="1" applyBorder="1" applyAlignment="1">
      <alignment horizontal="center" wrapText="1"/>
    </xf>
    <xf numFmtId="0" fontId="28" fillId="6" borderId="15" xfId="0" applyFont="1" applyFill="1" applyBorder="1" applyAlignment="1">
      <alignment horizontal="center"/>
    </xf>
    <xf numFmtId="0" fontId="26" fillId="0" borderId="93" xfId="0" applyFont="1" applyBorder="1" applyAlignment="1">
      <alignment horizontal="center"/>
    </xf>
    <xf numFmtId="0" fontId="26" fillId="11" borderId="22" xfId="0" applyFont="1" applyFill="1" applyBorder="1" applyAlignment="1">
      <alignment horizontal="center"/>
    </xf>
    <xf numFmtId="3" fontId="26" fillId="0" borderId="69" xfId="0" applyNumberFormat="1" applyFont="1" applyBorder="1"/>
    <xf numFmtId="3" fontId="26" fillId="0" borderId="8" xfId="0" applyNumberFormat="1" applyFont="1" applyBorder="1"/>
    <xf numFmtId="0" fontId="28" fillId="6" borderId="10" xfId="0" applyFont="1" applyFill="1" applyBorder="1"/>
    <xf numFmtId="4" fontId="26" fillId="0" borderId="50" xfId="0" applyNumberFormat="1" applyFont="1" applyBorder="1"/>
    <xf numFmtId="2" fontId="34" fillId="0" borderId="55" xfId="11" applyNumberFormat="1" applyFont="1" applyBorder="1" applyAlignment="1">
      <alignment horizontal="left"/>
    </xf>
    <xf numFmtId="1" fontId="26" fillId="0" borderId="18" xfId="0" applyNumberFormat="1" applyFont="1" applyBorder="1"/>
    <xf numFmtId="166" fontId="26" fillId="0" borderId="0" xfId="0" applyNumberFormat="1" applyFont="1" applyAlignment="1">
      <alignment horizontal="center"/>
    </xf>
    <xf numFmtId="2" fontId="34" fillId="0" borderId="0" xfId="0" applyNumberFormat="1" applyFont="1" applyAlignment="1">
      <alignment horizontal="center"/>
    </xf>
    <xf numFmtId="0" fontId="26" fillId="9" borderId="49" xfId="0" applyFont="1" applyFill="1" applyBorder="1"/>
    <xf numFmtId="165" fontId="34" fillId="0" borderId="25" xfId="11" applyNumberFormat="1" applyFont="1" applyBorder="1" applyAlignment="1">
      <alignment horizontal="center" vertical="center"/>
    </xf>
    <xf numFmtId="0" fontId="26" fillId="0" borderId="0" xfId="11" applyFont="1" applyAlignment="1">
      <alignment horizontal="right"/>
    </xf>
    <xf numFmtId="0" fontId="31" fillId="4" borderId="1" xfId="11" applyFont="1" applyFill="1" applyBorder="1" applyAlignment="1" applyProtection="1">
      <alignment vertical="center" wrapText="1"/>
      <protection locked="0"/>
    </xf>
    <xf numFmtId="0" fontId="30" fillId="0" borderId="0" xfId="11" applyFont="1"/>
    <xf numFmtId="0" fontId="34" fillId="4" borderId="1" xfId="11" applyFont="1" applyFill="1" applyBorder="1" applyAlignment="1" applyProtection="1">
      <alignment horizontal="left" vertical="center"/>
      <protection locked="0"/>
    </xf>
    <xf numFmtId="0" fontId="31" fillId="4" borderId="0" xfId="11" applyFont="1" applyFill="1" applyAlignment="1" applyProtection="1">
      <alignment horizontal="left" vertical="center" wrapText="1"/>
      <protection locked="0"/>
    </xf>
    <xf numFmtId="0" fontId="34" fillId="4" borderId="0" xfId="11" applyFont="1" applyFill="1" applyAlignment="1" applyProtection="1">
      <alignment horizontal="left" vertical="center"/>
      <protection locked="0"/>
    </xf>
    <xf numFmtId="0" fontId="31" fillId="4" borderId="0" xfId="11" applyFont="1" applyFill="1" applyAlignment="1" applyProtection="1">
      <alignment vertical="center" wrapText="1"/>
      <protection locked="0"/>
    </xf>
    <xf numFmtId="0" fontId="34" fillId="0" borderId="21" xfId="11" applyFont="1" applyBorder="1" applyAlignment="1" applyProtection="1">
      <alignment horizontal="left" vertical="center" indent="2"/>
      <protection locked="0"/>
    </xf>
    <xf numFmtId="0" fontId="34" fillId="0" borderId="24" xfId="11" applyFont="1" applyBorder="1" applyAlignment="1">
      <alignment vertical="center"/>
    </xf>
    <xf numFmtId="0" fontId="34" fillId="0" borderId="37" xfId="11" applyFont="1" applyBorder="1" applyAlignment="1">
      <alignment vertical="center" wrapText="1"/>
    </xf>
    <xf numFmtId="165" fontId="34" fillId="0" borderId="23" xfId="11" applyNumberFormat="1" applyFont="1" applyBorder="1" applyAlignment="1">
      <alignment horizontal="center" vertical="center"/>
    </xf>
    <xf numFmtId="0" fontId="34" fillId="0" borderId="29" xfId="11" applyFont="1" applyBorder="1" applyAlignment="1">
      <alignment horizontal="center" wrapText="1"/>
    </xf>
    <xf numFmtId="0" fontId="34" fillId="0" borderId="26" xfId="11" applyFont="1" applyBorder="1" applyAlignment="1">
      <alignment horizontal="center" wrapText="1"/>
    </xf>
    <xf numFmtId="0" fontId="34" fillId="0" borderId="27" xfId="11" applyFont="1" applyBorder="1" applyAlignment="1">
      <alignment horizontal="center" wrapText="1"/>
    </xf>
    <xf numFmtId="0" fontId="34" fillId="0" borderId="24" xfId="11" applyFont="1" applyBorder="1" applyAlignment="1" applyProtection="1">
      <alignment horizontal="left" vertical="center" indent="2"/>
      <protection locked="0"/>
    </xf>
    <xf numFmtId="0" fontId="34" fillId="4" borderId="0" xfId="11" applyFont="1" applyFill="1" applyAlignment="1" applyProtection="1">
      <alignment vertical="center"/>
      <protection locked="0"/>
    </xf>
    <xf numFmtId="0" fontId="34" fillId="0" borderId="29" xfId="11" applyFont="1" applyBorder="1" applyAlignment="1">
      <alignment vertical="center"/>
    </xf>
    <xf numFmtId="2" fontId="34" fillId="0" borderId="29" xfId="11" applyNumberFormat="1" applyFont="1" applyBorder="1" applyAlignment="1">
      <alignment horizontal="center" vertical="center"/>
    </xf>
    <xf numFmtId="2" fontId="34" fillId="0" borderId="26" xfId="11" applyNumberFormat="1" applyFont="1" applyBorder="1" applyAlignment="1">
      <alignment horizontal="center" vertical="center"/>
    </xf>
    <xf numFmtId="165" fontId="34" fillId="0" borderId="26" xfId="11" applyNumberFormat="1" applyFont="1" applyBorder="1" applyAlignment="1">
      <alignment horizontal="center" vertical="center"/>
    </xf>
    <xf numFmtId="165" fontId="34" fillId="0" borderId="27" xfId="11" applyNumberFormat="1" applyFont="1" applyBorder="1" applyAlignment="1">
      <alignment horizontal="center" vertical="center"/>
    </xf>
    <xf numFmtId="0" fontId="34" fillId="0" borderId="19" xfId="11" applyFont="1" applyBorder="1" applyAlignment="1">
      <alignment horizontal="center" wrapText="1"/>
    </xf>
    <xf numFmtId="0" fontId="34" fillId="0" borderId="20" xfId="11" applyFont="1" applyBorder="1" applyAlignment="1">
      <alignment horizontal="center" wrapText="1"/>
    </xf>
    <xf numFmtId="0" fontId="34" fillId="0" borderId="28" xfId="11" applyFont="1" applyBorder="1" applyAlignment="1">
      <alignment horizontal="center" wrapText="1"/>
    </xf>
    <xf numFmtId="0" fontId="34" fillId="0" borderId="19" xfId="11" applyFont="1" applyBorder="1" applyAlignment="1">
      <alignment vertical="center"/>
    </xf>
    <xf numFmtId="0" fontId="34" fillId="0" borderId="42" xfId="11" applyFont="1" applyBorder="1" applyAlignment="1">
      <alignment vertical="center"/>
    </xf>
    <xf numFmtId="2" fontId="34" fillId="0" borderId="19" xfId="11" applyNumberFormat="1" applyFont="1" applyBorder="1" applyAlignment="1">
      <alignment horizontal="center" vertical="center"/>
    </xf>
    <xf numFmtId="2" fontId="34" fillId="0" borderId="20" xfId="11" applyNumberFormat="1" applyFont="1" applyBorder="1" applyAlignment="1">
      <alignment horizontal="center" vertical="center"/>
    </xf>
    <xf numFmtId="165" fontId="34" fillId="0" borderId="20" xfId="11" applyNumberFormat="1" applyFont="1" applyBorder="1" applyAlignment="1">
      <alignment horizontal="center" vertical="center"/>
    </xf>
    <xf numFmtId="165" fontId="34" fillId="0" borderId="28" xfId="11" applyNumberFormat="1" applyFont="1" applyBorder="1" applyAlignment="1">
      <alignment horizontal="center" vertical="center"/>
    </xf>
    <xf numFmtId="0" fontId="34" fillId="0" borderId="30" xfId="11" applyFont="1" applyBorder="1" applyAlignment="1">
      <alignment vertical="center" wrapText="1"/>
    </xf>
    <xf numFmtId="0" fontId="34" fillId="0" borderId="86" xfId="11" applyFont="1" applyBorder="1" applyAlignment="1">
      <alignment horizontal="center" wrapText="1"/>
    </xf>
    <xf numFmtId="0" fontId="34" fillId="0" borderId="85" xfId="11" applyFont="1" applyBorder="1" applyAlignment="1">
      <alignment horizontal="center" wrapText="1"/>
    </xf>
    <xf numFmtId="0" fontId="34" fillId="0" borderId="84" xfId="11" applyFont="1" applyBorder="1" applyAlignment="1">
      <alignment horizontal="center" vertical="center"/>
    </xf>
    <xf numFmtId="0" fontId="34" fillId="0" borderId="83" xfId="11" applyFont="1" applyBorder="1" applyAlignment="1">
      <alignment horizontal="center" vertical="center"/>
    </xf>
    <xf numFmtId="165" fontId="34" fillId="0" borderId="100" xfId="11" applyNumberFormat="1" applyFont="1" applyBorder="1" applyAlignment="1">
      <alignment horizontal="center" vertical="center"/>
    </xf>
    <xf numFmtId="165" fontId="34" fillId="0" borderId="101" xfId="11" applyNumberFormat="1" applyFont="1" applyBorder="1" applyAlignment="1">
      <alignment horizontal="center" vertical="center"/>
    </xf>
    <xf numFmtId="11" fontId="34" fillId="0" borderId="22" xfId="11" applyNumberFormat="1" applyFont="1" applyBorder="1" applyAlignment="1">
      <alignment horizontal="center" vertical="center"/>
    </xf>
    <xf numFmtId="11" fontId="26" fillId="0" borderId="17" xfId="11" applyNumberFormat="1" applyFont="1" applyBorder="1"/>
    <xf numFmtId="0" fontId="34" fillId="4" borderId="0" xfId="11" applyFont="1" applyFill="1" applyAlignment="1" applyProtection="1">
      <alignment vertical="center" wrapText="1"/>
      <protection locked="0"/>
    </xf>
    <xf numFmtId="0" fontId="26" fillId="0" borderId="0" xfId="0" applyFont="1" applyAlignment="1">
      <alignment horizontal="left" indent="3"/>
    </xf>
    <xf numFmtId="0" fontId="34" fillId="4" borderId="20" xfId="0" applyFont="1" applyFill="1" applyBorder="1" applyAlignment="1" applyProtection="1">
      <alignment horizontal="right"/>
      <protection locked="0"/>
    </xf>
    <xf numFmtId="3" fontId="28" fillId="0" borderId="33" xfId="0" applyNumberFormat="1" applyFont="1" applyBorder="1"/>
    <xf numFmtId="0" fontId="26" fillId="0" borderId="18" xfId="11" applyFont="1" applyBorder="1" applyAlignment="1">
      <alignment vertical="top" wrapText="1"/>
    </xf>
    <xf numFmtId="0" fontId="26" fillId="0" borderId="55" xfId="11" applyFont="1" applyBorder="1" applyAlignment="1">
      <alignment horizontal="center" vertical="top"/>
    </xf>
    <xf numFmtId="2" fontId="26" fillId="0" borderId="35" xfId="11" applyNumberFormat="1" applyFont="1" applyBorder="1" applyAlignment="1">
      <alignment vertical="top"/>
    </xf>
    <xf numFmtId="1" fontId="26" fillId="0" borderId="35" xfId="11" applyNumberFormat="1" applyFont="1" applyBorder="1" applyAlignment="1">
      <alignment vertical="top"/>
    </xf>
    <xf numFmtId="2" fontId="34" fillId="0" borderId="56" xfId="11" applyNumberFormat="1" applyFont="1" applyBorder="1" applyAlignment="1">
      <alignment horizontal="center" vertical="top"/>
    </xf>
    <xf numFmtId="0" fontId="26" fillId="0" borderId="98" xfId="0" applyFont="1" applyBorder="1"/>
    <xf numFmtId="0" fontId="26" fillId="0" borderId="105" xfId="0" applyFont="1" applyBorder="1"/>
    <xf numFmtId="0" fontId="26" fillId="0" borderId="106" xfId="11" applyFont="1" applyBorder="1"/>
    <xf numFmtId="0" fontId="26" fillId="0" borderId="107" xfId="11" applyFont="1" applyBorder="1"/>
    <xf numFmtId="0" fontId="28" fillId="6" borderId="76" xfId="0" applyFont="1" applyFill="1" applyBorder="1"/>
    <xf numFmtId="0" fontId="26" fillId="0" borderId="50" xfId="0" applyFont="1" applyBorder="1" applyAlignment="1">
      <alignment vertical="center"/>
    </xf>
    <xf numFmtId="0" fontId="26" fillId="0" borderId="77" xfId="0" applyFont="1" applyBorder="1" applyAlignment="1">
      <alignment vertical="center"/>
    </xf>
    <xf numFmtId="2" fontId="26" fillId="0" borderId="37" xfId="0" applyNumberFormat="1" applyFont="1" applyBorder="1" applyAlignment="1">
      <alignment vertical="center"/>
    </xf>
    <xf numFmtId="2" fontId="28" fillId="0" borderId="37" xfId="11" applyNumberFormat="1" applyFont="1" applyBorder="1"/>
    <xf numFmtId="2" fontId="28" fillId="0" borderId="50" xfId="11" applyNumberFormat="1" applyFont="1" applyBorder="1"/>
    <xf numFmtId="2" fontId="34" fillId="0" borderId="72" xfId="11" applyNumberFormat="1" applyFont="1" applyBorder="1" applyAlignment="1">
      <alignment horizontal="right" vertical="top"/>
    </xf>
    <xf numFmtId="0" fontId="26" fillId="0" borderId="72" xfId="11" applyFont="1" applyBorder="1" applyAlignment="1">
      <alignment horizontal="right" vertical="top"/>
    </xf>
    <xf numFmtId="2" fontId="28" fillId="0" borderId="38" xfId="11" applyNumberFormat="1" applyFont="1" applyBorder="1" applyAlignment="1">
      <alignment horizontal="right"/>
    </xf>
    <xf numFmtId="3" fontId="26" fillId="14" borderId="76" xfId="0" applyNumberFormat="1" applyFont="1" applyFill="1" applyBorder="1"/>
    <xf numFmtId="0" fontId="26" fillId="0" borderId="0" xfId="0" applyFont="1" applyAlignment="1">
      <alignment horizontal="left" vertical="center"/>
    </xf>
    <xf numFmtId="2" fontId="34" fillId="0" borderId="88" xfId="11" applyNumberFormat="1" applyFont="1" applyBorder="1" applyAlignment="1">
      <alignment horizontal="center" vertical="top"/>
    </xf>
    <xf numFmtId="2" fontId="34" fillId="0" borderId="95" xfId="11" applyNumberFormat="1" applyFont="1" applyBorder="1" applyAlignment="1">
      <alignment horizontal="center" vertical="top"/>
    </xf>
    <xf numFmtId="2" fontId="34" fillId="0" borderId="7" xfId="11" applyNumberFormat="1" applyFont="1" applyBorder="1" applyAlignment="1">
      <alignment horizontal="center" vertical="top"/>
    </xf>
    <xf numFmtId="2" fontId="59" fillId="0" borderId="44" xfId="0" applyNumberFormat="1" applyFont="1" applyBorder="1" applyAlignment="1">
      <alignment horizontal="center" wrapText="1"/>
    </xf>
    <xf numFmtId="0" fontId="58" fillId="0" borderId="0" xfId="0" applyFont="1" applyAlignment="1">
      <alignment horizontal="center" vertical="center"/>
    </xf>
    <xf numFmtId="2" fontId="34" fillId="0" borderId="43" xfId="11" applyNumberFormat="1" applyFont="1" applyBorder="1" applyAlignment="1">
      <alignment horizontal="center" vertical="top" wrapText="1"/>
    </xf>
    <xf numFmtId="2" fontId="34" fillId="0" borderId="30" xfId="11" applyNumberFormat="1" applyFont="1" applyBorder="1" applyAlignment="1">
      <alignment horizontal="left" vertical="top" wrapText="1"/>
    </xf>
    <xf numFmtId="173" fontId="35" fillId="0" borderId="54" xfId="17" quotePrefix="1" applyNumberFormat="1" applyFont="1" applyBorder="1" applyAlignment="1">
      <alignment horizontal="center" vertical="top" wrapText="1"/>
    </xf>
    <xf numFmtId="174" fontId="35" fillId="0" borderId="22" xfId="17" quotePrefix="1" applyNumberFormat="1" applyFont="1" applyBorder="1" applyAlignment="1">
      <alignment horizontal="center" vertical="top" wrapText="1"/>
    </xf>
    <xf numFmtId="173" fontId="35" fillId="0" borderId="22" xfId="17" quotePrefix="1" applyNumberFormat="1" applyFont="1" applyBorder="1" applyAlignment="1">
      <alignment horizontal="center" vertical="top" wrapText="1"/>
    </xf>
    <xf numFmtId="173" fontId="35" fillId="0" borderId="23" xfId="17" quotePrefix="1" applyNumberFormat="1" applyFont="1" applyBorder="1" applyAlignment="1">
      <alignment horizontal="center" vertical="top" wrapText="1"/>
    </xf>
    <xf numFmtId="2" fontId="34" fillId="0" borderId="30" xfId="11" applyNumberFormat="1" applyFont="1" applyBorder="1" applyAlignment="1">
      <alignment vertical="top" wrapText="1"/>
    </xf>
    <xf numFmtId="173" fontId="35" fillId="0" borderId="38" xfId="17" quotePrefix="1" applyNumberFormat="1" applyFont="1" applyBorder="1" applyAlignment="1">
      <alignment horizontal="center" vertical="top" wrapText="1"/>
    </xf>
    <xf numFmtId="176" fontId="35" fillId="0" borderId="54" xfId="17" quotePrefix="1" applyNumberFormat="1" applyFont="1" applyBorder="1" applyAlignment="1">
      <alignment horizontal="center" vertical="top" wrapText="1"/>
    </xf>
    <xf numFmtId="176" fontId="35" fillId="0" borderId="22" xfId="17" quotePrefix="1" applyNumberFormat="1" applyFont="1" applyBorder="1" applyAlignment="1">
      <alignment horizontal="center" vertical="top" wrapText="1"/>
    </xf>
    <xf numFmtId="173" fontId="35" fillId="0" borderId="55" xfId="17" quotePrefix="1" applyNumberFormat="1" applyFont="1" applyBorder="1" applyAlignment="1">
      <alignment horizontal="center" vertical="top" wrapText="1"/>
    </xf>
    <xf numFmtId="173" fontId="35" fillId="0" borderId="17" xfId="17" quotePrefix="1" applyNumberFormat="1" applyFont="1" applyBorder="1" applyAlignment="1">
      <alignment horizontal="center" vertical="top" wrapText="1"/>
    </xf>
    <xf numFmtId="173" fontId="35" fillId="0" borderId="39" xfId="17" quotePrefix="1" applyNumberFormat="1" applyFont="1" applyBorder="1" applyAlignment="1">
      <alignment horizontal="center" vertical="top" wrapText="1"/>
    </xf>
    <xf numFmtId="173" fontId="35" fillId="0" borderId="25" xfId="17" quotePrefix="1" applyNumberFormat="1" applyFont="1" applyBorder="1" applyAlignment="1">
      <alignment horizontal="center" vertical="top" wrapText="1"/>
    </xf>
    <xf numFmtId="2" fontId="13" fillId="0" borderId="17" xfId="0" applyNumberFormat="1" applyFont="1" applyBorder="1" applyAlignment="1">
      <alignment horizontal="center" vertical="center"/>
    </xf>
    <xf numFmtId="173" fontId="35" fillId="0" borderId="69" xfId="17" quotePrefix="1" applyNumberFormat="1" applyFont="1" applyBorder="1" applyAlignment="1">
      <alignment horizontal="center" vertical="top" wrapText="1"/>
    </xf>
    <xf numFmtId="2" fontId="34" fillId="0" borderId="76" xfId="11" applyNumberFormat="1" applyFont="1" applyBorder="1" applyAlignment="1">
      <alignment horizontal="center" vertical="top"/>
    </xf>
    <xf numFmtId="2" fontId="34" fillId="0" borderId="35" xfId="11" applyNumberFormat="1" applyFont="1" applyBorder="1" applyAlignment="1">
      <alignment horizontal="center" vertical="top"/>
    </xf>
    <xf numFmtId="2" fontId="34" fillId="0" borderId="37" xfId="11" applyNumberFormat="1" applyFont="1" applyBorder="1" applyAlignment="1">
      <alignment horizontal="center" vertical="top"/>
    </xf>
    <xf numFmtId="2" fontId="34" fillId="0" borderId="0" xfId="11" applyNumberFormat="1" applyFont="1" applyAlignment="1">
      <alignment horizontal="center" vertical="top"/>
    </xf>
    <xf numFmtId="165" fontId="34" fillId="0" borderId="18" xfId="11" applyNumberFormat="1" applyFont="1" applyBorder="1" applyAlignment="1">
      <alignment horizontal="center" vertical="top"/>
    </xf>
    <xf numFmtId="174" fontId="35" fillId="0" borderId="37" xfId="17" quotePrefix="1" applyNumberFormat="1" applyFont="1" applyBorder="1" applyAlignment="1">
      <alignment horizontal="center" vertical="top" wrapText="1"/>
    </xf>
    <xf numFmtId="173" fontId="35" fillId="0" borderId="50" xfId="17" quotePrefix="1" applyNumberFormat="1" applyFont="1" applyBorder="1" applyAlignment="1">
      <alignment horizontal="center" vertical="top" wrapText="1"/>
    </xf>
    <xf numFmtId="173" fontId="35" fillId="0" borderId="37" xfId="17" quotePrefix="1" applyNumberFormat="1" applyFont="1" applyBorder="1" applyAlignment="1">
      <alignment horizontal="center" vertical="top" wrapText="1"/>
    </xf>
    <xf numFmtId="173" fontId="35" fillId="0" borderId="77" xfId="17" quotePrefix="1" applyNumberFormat="1" applyFont="1" applyBorder="1" applyAlignment="1">
      <alignment horizontal="center" vertical="top" wrapText="1"/>
    </xf>
    <xf numFmtId="2" fontId="59" fillId="0" borderId="43" xfId="0" quotePrefix="1" applyNumberFormat="1" applyFont="1" applyBorder="1" applyAlignment="1">
      <alignment horizontal="center" wrapText="1"/>
    </xf>
    <xf numFmtId="2" fontId="59" fillId="0" borderId="46" xfId="0" applyNumberFormat="1" applyFont="1" applyBorder="1" applyAlignment="1">
      <alignment horizontal="center" wrapText="1"/>
    </xf>
    <xf numFmtId="2" fontId="13" fillId="0" borderId="24" xfId="0" applyNumberFormat="1" applyFont="1" applyBorder="1" applyAlignment="1">
      <alignment horizontal="center" vertical="center"/>
    </xf>
    <xf numFmtId="2" fontId="13" fillId="0" borderId="25" xfId="0" applyNumberFormat="1" applyFont="1" applyBorder="1" applyAlignment="1">
      <alignment horizontal="center" vertical="center"/>
    </xf>
    <xf numFmtId="174" fontId="35" fillId="0" borderId="21" xfId="17" quotePrefix="1" applyNumberFormat="1" applyFont="1" applyBorder="1" applyAlignment="1">
      <alignment horizontal="center" vertical="top" wrapText="1"/>
    </xf>
    <xf numFmtId="174" fontId="35" fillId="0" borderId="23" xfId="17" quotePrefix="1" applyNumberFormat="1" applyFont="1" applyBorder="1" applyAlignment="1">
      <alignment horizontal="center" vertical="top" wrapText="1"/>
    </xf>
    <xf numFmtId="173" fontId="35" fillId="0" borderId="21" xfId="17" quotePrefix="1" applyNumberFormat="1" applyFont="1" applyBorder="1" applyAlignment="1">
      <alignment horizontal="center" vertical="top" wrapText="1"/>
    </xf>
    <xf numFmtId="173" fontId="35" fillId="0" borderId="24" xfId="17" quotePrefix="1" applyNumberFormat="1" applyFont="1" applyBorder="1" applyAlignment="1">
      <alignment horizontal="center" vertical="top" wrapText="1"/>
    </xf>
    <xf numFmtId="173" fontId="35" fillId="0" borderId="70" xfId="17" quotePrefix="1" applyNumberFormat="1" applyFont="1" applyBorder="1" applyAlignment="1">
      <alignment horizontal="center" vertical="top" wrapText="1"/>
    </xf>
    <xf numFmtId="2" fontId="34" fillId="0" borderId="38" xfId="11" applyNumberFormat="1" applyFont="1" applyBorder="1" applyAlignment="1">
      <alignment horizontal="center" vertical="top"/>
    </xf>
    <xf numFmtId="2" fontId="34" fillId="0" borderId="39" xfId="11" applyNumberFormat="1" applyFont="1" applyBorder="1" applyAlignment="1">
      <alignment horizontal="center" vertical="top"/>
    </xf>
    <xf numFmtId="174" fontId="35" fillId="0" borderId="38" xfId="17" quotePrefix="1" applyNumberFormat="1" applyFont="1" applyBorder="1" applyAlignment="1">
      <alignment horizontal="center" vertical="top" wrapText="1"/>
    </xf>
    <xf numFmtId="2" fontId="26" fillId="0" borderId="74" xfId="0" applyNumberFormat="1" applyFont="1" applyBorder="1"/>
    <xf numFmtId="2" fontId="26" fillId="0" borderId="22" xfId="0" quotePrefix="1" applyNumberFormat="1" applyFont="1" applyBorder="1" applyAlignment="1">
      <alignment horizontal="right"/>
    </xf>
    <xf numFmtId="2" fontId="26" fillId="0" borderId="22" xfId="0" applyNumberFormat="1" applyFont="1" applyBorder="1" applyAlignment="1">
      <alignment horizontal="right"/>
    </xf>
    <xf numFmtId="0" fontId="34" fillId="0" borderId="23" xfId="0" applyFont="1" applyBorder="1" applyAlignment="1">
      <alignment horizontal="center" wrapText="1"/>
    </xf>
    <xf numFmtId="0" fontId="26" fillId="0" borderId="25" xfId="0" applyFont="1" applyBorder="1" applyAlignment="1">
      <alignment horizontal="center"/>
    </xf>
    <xf numFmtId="0" fontId="31" fillId="0" borderId="40" xfId="0" applyFont="1" applyBorder="1" applyAlignment="1">
      <alignment horizontal="center"/>
    </xf>
    <xf numFmtId="0" fontId="40" fillId="0" borderId="72" xfId="0" applyFont="1" applyBorder="1"/>
    <xf numFmtId="0" fontId="40" fillId="0" borderId="38" xfId="0" applyFont="1" applyBorder="1"/>
    <xf numFmtId="0" fontId="28" fillId="0" borderId="38" xfId="0" applyFont="1" applyBorder="1" applyAlignment="1">
      <alignment horizontal="left"/>
    </xf>
    <xf numFmtId="0" fontId="41" fillId="0" borderId="38" xfId="0" applyFont="1" applyBorder="1" applyAlignment="1">
      <alignment horizontal="left"/>
    </xf>
    <xf numFmtId="0" fontId="28" fillId="0" borderId="75" xfId="0" applyFont="1" applyBorder="1" applyAlignment="1">
      <alignment horizontal="left"/>
    </xf>
    <xf numFmtId="0" fontId="40" fillId="0" borderId="56" xfId="0" applyFont="1" applyBorder="1"/>
    <xf numFmtId="0" fontId="28" fillId="0" borderId="54" xfId="0" applyFont="1" applyBorder="1" applyAlignment="1">
      <alignment horizontal="left"/>
    </xf>
    <xf numFmtId="0" fontId="41" fillId="0" borderId="54" xfId="0" applyFont="1" applyBorder="1" applyAlignment="1">
      <alignment horizontal="left"/>
    </xf>
    <xf numFmtId="0" fontId="28" fillId="0" borderId="2" xfId="0" applyFont="1" applyBorder="1" applyAlignment="1">
      <alignment horizontal="left"/>
    </xf>
    <xf numFmtId="2" fontId="34" fillId="0" borderId="3" xfId="11" applyNumberFormat="1" applyFont="1" applyBorder="1" applyAlignment="1">
      <alignment horizontal="left"/>
    </xf>
    <xf numFmtId="0" fontId="28" fillId="0" borderId="78" xfId="0" applyFont="1" applyBorder="1"/>
    <xf numFmtId="2" fontId="31" fillId="0" borderId="42" xfId="11" applyNumberFormat="1" applyFont="1" applyBorder="1"/>
    <xf numFmtId="2" fontId="31" fillId="0" borderId="41" xfId="11" applyNumberFormat="1" applyFont="1" applyBorder="1"/>
    <xf numFmtId="2" fontId="34" fillId="0" borderId="37" xfId="11" applyNumberFormat="1" applyFont="1" applyBorder="1"/>
    <xf numFmtId="2" fontId="34" fillId="0" borderId="38" xfId="11" applyNumberFormat="1" applyFont="1" applyBorder="1"/>
    <xf numFmtId="2" fontId="34" fillId="0" borderId="37" xfId="11" applyNumberFormat="1" applyFont="1" applyBorder="1" applyAlignment="1">
      <alignment horizontal="left"/>
    </xf>
    <xf numFmtId="2" fontId="34" fillId="0" borderId="38" xfId="11" applyNumberFormat="1" applyFont="1" applyBorder="1" applyAlignment="1">
      <alignment horizontal="left"/>
    </xf>
    <xf numFmtId="2" fontId="34" fillId="0" borderId="74" xfId="11" applyNumberFormat="1" applyFont="1" applyBorder="1" applyAlignment="1">
      <alignment horizontal="left"/>
    </xf>
    <xf numFmtId="2" fontId="34" fillId="0" borderId="75" xfId="11" applyNumberFormat="1" applyFont="1" applyBorder="1"/>
    <xf numFmtId="3" fontId="34" fillId="0" borderId="74" xfId="11" applyNumberFormat="1" applyFont="1" applyBorder="1" applyAlignment="1">
      <alignment horizontal="right"/>
    </xf>
    <xf numFmtId="4" fontId="34" fillId="0" borderId="8" xfId="11" applyNumberFormat="1" applyFont="1" applyBorder="1" applyAlignment="1">
      <alignment horizontal="left"/>
    </xf>
    <xf numFmtId="2" fontId="31" fillId="0" borderId="37" xfId="11" applyNumberFormat="1" applyFont="1" applyBorder="1" applyAlignment="1">
      <alignment vertical="top"/>
    </xf>
    <xf numFmtId="0" fontId="26" fillId="0" borderId="72" xfId="0" applyFont="1" applyBorder="1" applyAlignment="1">
      <alignment horizontal="left"/>
    </xf>
    <xf numFmtId="0" fontId="26" fillId="0" borderId="74" xfId="0" applyFont="1" applyBorder="1" applyAlignment="1">
      <alignment vertical="center"/>
    </xf>
    <xf numFmtId="0" fontId="26" fillId="0" borderId="75" xfId="0" applyFont="1" applyBorder="1" applyAlignment="1">
      <alignment vertical="center"/>
    </xf>
    <xf numFmtId="0" fontId="26" fillId="0" borderId="54" xfId="0" applyFont="1" applyBorder="1" applyAlignment="1">
      <alignment vertical="center"/>
    </xf>
    <xf numFmtId="0" fontId="28" fillId="0" borderId="21" xfId="0" applyFont="1" applyBorder="1" applyAlignment="1">
      <alignment horizontal="left" wrapText="1"/>
    </xf>
    <xf numFmtId="0" fontId="28" fillId="0" borderId="22" xfId="0" applyFont="1" applyBorder="1" applyAlignment="1">
      <alignment horizontal="left" wrapText="1"/>
    </xf>
    <xf numFmtId="0" fontId="28" fillId="0" borderId="22" xfId="0" applyFont="1" applyBorder="1" applyAlignment="1">
      <alignment horizontal="center" wrapText="1"/>
    </xf>
    <xf numFmtId="0" fontId="26" fillId="0" borderId="33" xfId="0" applyFont="1" applyBorder="1" applyAlignment="1">
      <alignment vertical="top"/>
    </xf>
    <xf numFmtId="0" fontId="31" fillId="0" borderId="1" xfId="11" applyFont="1" applyBorder="1" applyAlignment="1">
      <alignment vertical="center"/>
    </xf>
    <xf numFmtId="0" fontId="31" fillId="0" borderId="7" xfId="11" applyFont="1" applyBorder="1" applyAlignment="1">
      <alignment vertical="center"/>
    </xf>
    <xf numFmtId="0" fontId="31" fillId="0" borderId="2" xfId="11" applyFont="1" applyBorder="1" applyAlignment="1">
      <alignment vertical="center"/>
    </xf>
    <xf numFmtId="0" fontId="31" fillId="0" borderId="8" xfId="11" applyFont="1" applyBorder="1" applyAlignment="1">
      <alignment vertical="center"/>
    </xf>
    <xf numFmtId="0" fontId="34" fillId="0" borderId="5" xfId="11" applyFont="1" applyBorder="1" applyAlignment="1">
      <alignment vertical="center" wrapText="1"/>
    </xf>
    <xf numFmtId="0" fontId="34" fillId="0" borderId="0" xfId="11" applyFont="1" applyAlignment="1">
      <alignment vertical="center" wrapText="1"/>
    </xf>
    <xf numFmtId="0" fontId="34" fillId="0" borderId="5" xfId="11" applyFont="1" applyBorder="1" applyAlignment="1">
      <alignment vertical="center"/>
    </xf>
    <xf numFmtId="2" fontId="30" fillId="0" borderId="0" xfId="11" applyNumberFormat="1" applyFont="1"/>
    <xf numFmtId="0" fontId="65" fillId="0" borderId="0" xfId="19" applyAlignment="1">
      <alignment horizontal="center"/>
    </xf>
    <xf numFmtId="0" fontId="65" fillId="0" borderId="0" xfId="19"/>
    <xf numFmtId="0" fontId="5" fillId="0" borderId="0" xfId="19" applyFont="1"/>
    <xf numFmtId="0" fontId="68" fillId="0" borderId="0" xfId="20" applyFont="1" applyAlignment="1">
      <alignment horizontal="right" vertical="center"/>
    </xf>
    <xf numFmtId="0" fontId="69" fillId="0" borderId="0" xfId="20" applyFont="1" applyAlignment="1">
      <alignment horizontal="right" vertical="center"/>
    </xf>
    <xf numFmtId="0" fontId="65" fillId="0" borderId="0" xfId="19" applyAlignment="1">
      <alignment horizontal="left"/>
    </xf>
    <xf numFmtId="0" fontId="72" fillId="0" borderId="0" xfId="20" applyFont="1" applyAlignment="1">
      <alignment horizontal="right" vertical="center"/>
    </xf>
    <xf numFmtId="0" fontId="71" fillId="0" borderId="0" xfId="20" applyFont="1" applyAlignment="1">
      <alignment horizontal="right" vertical="center"/>
    </xf>
    <xf numFmtId="0" fontId="21" fillId="0" borderId="0" xfId="20" applyFont="1" applyAlignment="1">
      <alignment horizontal="right" vertical="center"/>
    </xf>
    <xf numFmtId="0" fontId="73" fillId="0" borderId="0" xfId="20" applyFont="1" applyAlignment="1">
      <alignment horizontal="left" vertical="center"/>
    </xf>
    <xf numFmtId="0" fontId="16" fillId="0" borderId="0" xfId="20" applyFont="1" applyAlignment="1">
      <alignment horizontal="right"/>
    </xf>
    <xf numFmtId="0" fontId="16" fillId="0" borderId="0" xfId="20" applyFont="1" applyAlignment="1">
      <alignment vertical="center"/>
    </xf>
    <xf numFmtId="0" fontId="16" fillId="0" borderId="0" xfId="20" applyFont="1"/>
    <xf numFmtId="0" fontId="16" fillId="0" borderId="0" xfId="20" applyFont="1" applyAlignment="1">
      <alignment horizontal="left"/>
    </xf>
    <xf numFmtId="0" fontId="74" fillId="0" borderId="0" xfId="19" applyFont="1"/>
    <xf numFmtId="0" fontId="74" fillId="0" borderId="0" xfId="19" applyFont="1" applyAlignment="1">
      <alignment horizontal="left"/>
    </xf>
    <xf numFmtId="0" fontId="16" fillId="0" borderId="0" xfId="19" applyFont="1" applyAlignment="1">
      <alignment vertical="center"/>
    </xf>
    <xf numFmtId="0" fontId="76" fillId="0" borderId="113" xfId="20" applyFont="1" applyBorder="1" applyAlignment="1">
      <alignment horizontal="left" vertical="center" wrapText="1"/>
    </xf>
    <xf numFmtId="0" fontId="76" fillId="0" borderId="44" xfId="20" applyFont="1" applyBorder="1" applyAlignment="1">
      <alignment horizontal="left" vertical="center" wrapText="1"/>
    </xf>
    <xf numFmtId="0" fontId="76" fillId="0" borderId="60" xfId="20" applyFont="1" applyBorder="1" applyAlignment="1">
      <alignment horizontal="center" vertical="center" wrapText="1"/>
    </xf>
    <xf numFmtId="0" fontId="76" fillId="0" borderId="114" xfId="20" applyFont="1" applyBorder="1" applyAlignment="1">
      <alignment vertical="center" wrapText="1"/>
    </xf>
    <xf numFmtId="0" fontId="76" fillId="0" borderId="114" xfId="20" applyFont="1" applyBorder="1" applyAlignment="1">
      <alignment horizontal="left" vertical="center" wrapText="1"/>
    </xf>
    <xf numFmtId="0" fontId="60" fillId="0" borderId="116" xfId="17" applyFont="1" applyBorder="1" applyAlignment="1">
      <alignment horizontal="center" wrapText="1"/>
    </xf>
    <xf numFmtId="0" fontId="60" fillId="0" borderId="117" xfId="17" applyFont="1" applyBorder="1" applyAlignment="1">
      <alignment horizontal="center" wrapText="1"/>
    </xf>
    <xf numFmtId="39" fontId="60" fillId="0" borderId="117" xfId="17" applyNumberFormat="1" applyFont="1" applyBorder="1" applyAlignment="1">
      <alignment horizontal="center" wrapText="1"/>
    </xf>
    <xf numFmtId="0" fontId="60" fillId="0" borderId="118" xfId="17" applyFont="1" applyBorder="1" applyAlignment="1">
      <alignment horizontal="center" wrapText="1"/>
    </xf>
    <xf numFmtId="0" fontId="9" fillId="0" borderId="119" xfId="19" applyFont="1" applyBorder="1" applyAlignment="1">
      <alignment horizontal="left" vertical="center" wrapText="1"/>
    </xf>
    <xf numFmtId="177" fontId="9" fillId="0" borderId="22" xfId="19" quotePrefix="1" applyNumberFormat="1" applyFont="1" applyBorder="1" applyAlignment="1">
      <alignment horizontal="center" vertical="center" wrapText="1"/>
    </xf>
    <xf numFmtId="173" fontId="60" fillId="0" borderId="22" xfId="17" quotePrefix="1" applyNumberFormat="1" applyFont="1" applyBorder="1" applyAlignment="1">
      <alignment horizontal="center" vertical="center" wrapText="1"/>
    </xf>
    <xf numFmtId="173" fontId="60" fillId="0" borderId="120" xfId="17" quotePrefix="1" applyNumberFormat="1" applyFont="1" applyBorder="1" applyAlignment="1">
      <alignment horizontal="center" vertical="center" wrapText="1"/>
    </xf>
    <xf numFmtId="11" fontId="60" fillId="0" borderId="22" xfId="17" quotePrefix="1" applyNumberFormat="1" applyFont="1" applyBorder="1" applyAlignment="1">
      <alignment horizontal="center" vertical="center" wrapText="1"/>
    </xf>
    <xf numFmtId="0" fontId="9" fillId="0" borderId="0" xfId="19" applyFont="1" applyAlignment="1">
      <alignment horizontal="center" vertical="center"/>
    </xf>
    <xf numFmtId="176" fontId="60" fillId="0" borderId="22" xfId="17" quotePrefix="1" applyNumberFormat="1" applyFont="1" applyBorder="1" applyAlignment="1">
      <alignment horizontal="center" vertical="center" wrapText="1"/>
    </xf>
    <xf numFmtId="0" fontId="5" fillId="0" borderId="0" xfId="19" applyFont="1" applyAlignment="1">
      <alignment vertical="center" wrapText="1"/>
    </xf>
    <xf numFmtId="0" fontId="75" fillId="0" borderId="0" xfId="19" applyFont="1" applyAlignment="1">
      <alignment vertical="top" wrapText="1"/>
    </xf>
    <xf numFmtId="178" fontId="5" fillId="0" borderId="0" xfId="19" applyNumberFormat="1" applyFont="1" applyAlignment="1">
      <alignment vertical="top" wrapText="1"/>
    </xf>
    <xf numFmtId="0" fontId="5" fillId="0" borderId="0" xfId="22" applyFont="1" applyAlignment="1">
      <alignment vertical="center" wrapText="1"/>
    </xf>
    <xf numFmtId="178" fontId="5" fillId="0" borderId="0" xfId="19" applyNumberFormat="1" applyFont="1" applyAlignment="1">
      <alignment horizontal="left" vertical="top" wrapText="1"/>
    </xf>
    <xf numFmtId="178" fontId="5" fillId="0" borderId="0" xfId="19" applyNumberFormat="1" applyFont="1" applyAlignment="1">
      <alignment horizontal="center" vertical="top" wrapText="1"/>
    </xf>
    <xf numFmtId="0" fontId="9" fillId="0" borderId="0" xfId="19" applyFont="1" applyAlignment="1">
      <alignment vertical="center" wrapText="1"/>
    </xf>
    <xf numFmtId="0" fontId="9" fillId="0" borderId="0" xfId="19" applyFont="1" applyAlignment="1">
      <alignment horizontal="left" vertical="center"/>
    </xf>
    <xf numFmtId="4" fontId="9" fillId="0" borderId="0" xfId="19" applyNumberFormat="1" applyFont="1" applyAlignment="1">
      <alignment horizontal="center" vertical="center" wrapText="1"/>
    </xf>
    <xf numFmtId="179" fontId="9" fillId="0" borderId="0" xfId="19" applyNumberFormat="1" applyFont="1" applyAlignment="1">
      <alignment horizontal="center" vertical="center" wrapText="1"/>
    </xf>
    <xf numFmtId="0" fontId="5" fillId="0" borderId="0" xfId="22" applyFont="1" applyAlignment="1">
      <alignment vertical="center"/>
    </xf>
    <xf numFmtId="178" fontId="9" fillId="0" borderId="0" xfId="19" applyNumberFormat="1" applyFont="1" applyAlignment="1">
      <alignment horizontal="center" vertical="center"/>
    </xf>
    <xf numFmtId="178" fontId="9" fillId="0" borderId="0" xfId="19" applyNumberFormat="1" applyFont="1" applyAlignment="1">
      <alignment horizontal="left" vertical="center"/>
    </xf>
    <xf numFmtId="177" fontId="5" fillId="0" borderId="0" xfId="19" quotePrefix="1" applyNumberFormat="1" applyFont="1" applyAlignment="1">
      <alignment horizontal="center" vertical="center" wrapText="1"/>
    </xf>
    <xf numFmtId="11" fontId="73" fillId="0" borderId="0" xfId="17" applyNumberFormat="1" applyFont="1" applyAlignment="1">
      <alignment horizontal="center" wrapText="1"/>
    </xf>
    <xf numFmtId="11" fontId="73" fillId="0" borderId="0" xfId="17" applyNumberFormat="1" applyFont="1" applyAlignment="1">
      <alignment horizontal="left" wrapText="1"/>
    </xf>
    <xf numFmtId="0" fontId="9" fillId="0" borderId="0" xfId="19" applyFont="1" applyAlignment="1">
      <alignment horizontal="center" vertical="center" wrapText="1"/>
    </xf>
    <xf numFmtId="11" fontId="9" fillId="0" borderId="0" xfId="19" applyNumberFormat="1" applyFont="1" applyAlignment="1">
      <alignment horizontal="center" vertical="center" wrapText="1"/>
    </xf>
    <xf numFmtId="11" fontId="9" fillId="0" borderId="0" xfId="19" applyNumberFormat="1" applyFont="1" applyAlignment="1">
      <alignment horizontal="left" vertical="center" wrapText="1"/>
    </xf>
    <xf numFmtId="0" fontId="78" fillId="0" borderId="0" xfId="19" applyFont="1" applyAlignment="1">
      <alignment horizontal="left" vertical="center"/>
    </xf>
    <xf numFmtId="0" fontId="78" fillId="0" borderId="0" xfId="19" applyFont="1" applyAlignment="1">
      <alignment horizontal="center" vertical="center"/>
    </xf>
    <xf numFmtId="178" fontId="9" fillId="0" borderId="0" xfId="19" applyNumberFormat="1" applyFont="1" applyAlignment="1">
      <alignment horizontal="center" vertical="center" wrapText="1"/>
    </xf>
    <xf numFmtId="178" fontId="9" fillId="0" borderId="0" xfId="19" applyNumberFormat="1" applyFont="1" applyAlignment="1">
      <alignment horizontal="left" vertical="center" wrapText="1"/>
    </xf>
    <xf numFmtId="2" fontId="16" fillId="0" borderId="0" xfId="19" applyNumberFormat="1" applyFont="1"/>
    <xf numFmtId="0" fontId="9" fillId="0" borderId="0" xfId="22" applyFont="1" applyAlignment="1">
      <alignment horizontal="center" vertical="center" wrapText="1"/>
    </xf>
    <xf numFmtId="0" fontId="9" fillId="0" borderId="0" xfId="22" applyFont="1" applyAlignment="1">
      <alignment horizontal="center" vertical="center"/>
    </xf>
    <xf numFmtId="177" fontId="9" fillId="0" borderId="0" xfId="19" quotePrefix="1" applyNumberFormat="1" applyFont="1" applyAlignment="1">
      <alignment horizontal="center" vertical="center" wrapText="1"/>
    </xf>
    <xf numFmtId="11" fontId="60" fillId="0" borderId="0" xfId="17" applyNumberFormat="1" applyFont="1" applyAlignment="1">
      <alignment horizontal="center" vertical="center" wrapText="1"/>
    </xf>
    <xf numFmtId="11" fontId="60" fillId="0" borderId="0" xfId="17" applyNumberFormat="1" applyFont="1" applyAlignment="1">
      <alignment horizontal="left" vertical="center" wrapText="1"/>
    </xf>
    <xf numFmtId="0" fontId="75" fillId="0" borderId="0" xfId="19" applyFont="1" applyAlignment="1">
      <alignment horizontal="center" vertical="top" wrapText="1"/>
    </xf>
    <xf numFmtId="178" fontId="75" fillId="0" borderId="0" xfId="19" applyNumberFormat="1" applyFont="1" applyAlignment="1">
      <alignment horizontal="center" vertical="top" wrapText="1"/>
    </xf>
    <xf numFmtId="178" fontId="75" fillId="0" borderId="0" xfId="19" applyNumberFormat="1" applyFont="1" applyAlignment="1">
      <alignment horizontal="left" vertical="top" wrapText="1"/>
    </xf>
    <xf numFmtId="178" fontId="16" fillId="0" borderId="0" xfId="19" applyNumberFormat="1" applyFont="1" applyAlignment="1">
      <alignment horizontal="left" vertical="center"/>
    </xf>
    <xf numFmtId="0" fontId="5" fillId="0" borderId="0" xfId="19" applyFont="1" applyAlignment="1">
      <alignment horizontal="center" vertical="top" wrapText="1"/>
    </xf>
    <xf numFmtId="2" fontId="9" fillId="0" borderId="0" xfId="19" applyNumberFormat="1" applyFont="1" applyAlignment="1">
      <alignment vertical="center"/>
    </xf>
    <xf numFmtId="0" fontId="5" fillId="0" borderId="0" xfId="19" applyFont="1" applyAlignment="1">
      <alignment vertical="top" wrapText="1"/>
    </xf>
    <xf numFmtId="0" fontId="5" fillId="0" borderId="0" xfId="19" applyFont="1" applyAlignment="1">
      <alignment horizontal="center" vertical="center" wrapText="1"/>
    </xf>
    <xf numFmtId="0" fontId="5" fillId="0" borderId="0" xfId="22" applyFont="1" applyAlignment="1">
      <alignment horizontal="center" vertical="center"/>
    </xf>
    <xf numFmtId="0" fontId="9" fillId="0" borderId="0" xfId="19" applyFont="1" applyAlignment="1">
      <alignment vertical="center"/>
    </xf>
    <xf numFmtId="11" fontId="16" fillId="0" borderId="0" xfId="20" applyNumberFormat="1" applyFont="1" applyAlignment="1">
      <alignment horizontal="center" vertical="center" wrapText="1"/>
    </xf>
    <xf numFmtId="11" fontId="5" fillId="0" borderId="0" xfId="19" applyNumberFormat="1" applyFont="1" applyAlignment="1">
      <alignment horizontal="center" vertical="center" wrapText="1"/>
    </xf>
    <xf numFmtId="11" fontId="5" fillId="0" borderId="0" xfId="19" applyNumberFormat="1" applyFont="1" applyAlignment="1">
      <alignment horizontal="left" vertical="center" wrapText="1"/>
    </xf>
    <xf numFmtId="178" fontId="65" fillId="0" borderId="0" xfId="19" applyNumberFormat="1" applyAlignment="1">
      <alignment horizontal="center"/>
    </xf>
    <xf numFmtId="178" fontId="65" fillId="0" borderId="0" xfId="19" applyNumberFormat="1" applyAlignment="1">
      <alignment horizontal="left"/>
    </xf>
    <xf numFmtId="2" fontId="80" fillId="0" borderId="0" xfId="19" applyNumberFormat="1" applyFont="1" applyAlignment="1">
      <alignment horizontal="center" vertical="center"/>
    </xf>
    <xf numFmtId="0" fontId="5" fillId="0" borderId="0" xfId="19" applyFont="1" applyAlignment="1">
      <alignment vertical="top"/>
    </xf>
    <xf numFmtId="11" fontId="5" fillId="0" borderId="0" xfId="19" applyNumberFormat="1" applyFont="1" applyAlignment="1">
      <alignment vertical="top" wrapText="1"/>
    </xf>
    <xf numFmtId="11" fontId="5" fillId="0" borderId="0" xfId="19" applyNumberFormat="1" applyFont="1" applyAlignment="1">
      <alignment horizontal="left" vertical="top" wrapText="1"/>
    </xf>
    <xf numFmtId="178" fontId="5" fillId="0" borderId="0" xfId="19" applyNumberFormat="1" applyFont="1" applyAlignment="1">
      <alignment vertical="center" wrapText="1"/>
    </xf>
    <xf numFmtId="178" fontId="5" fillId="0" borderId="0" xfId="19" applyNumberFormat="1" applyFont="1" applyAlignment="1">
      <alignment horizontal="center" vertical="center" wrapText="1"/>
    </xf>
    <xf numFmtId="178" fontId="5" fillId="0" borderId="0" xfId="19" applyNumberFormat="1" applyFont="1" applyAlignment="1">
      <alignment wrapText="1"/>
    </xf>
    <xf numFmtId="178" fontId="75" fillId="0" borderId="0" xfId="19" applyNumberFormat="1" applyFont="1" applyAlignment="1">
      <alignment horizontal="center" vertical="center" wrapText="1"/>
    </xf>
    <xf numFmtId="2" fontId="16" fillId="0" borderId="0" xfId="20" applyNumberFormat="1" applyFont="1" applyAlignment="1">
      <alignment horizontal="center" vertical="center" wrapText="1"/>
    </xf>
    <xf numFmtId="2" fontId="5" fillId="0" borderId="0" xfId="19" applyNumberFormat="1" applyFont="1" applyAlignment="1">
      <alignment horizontal="center" vertical="center" wrapText="1"/>
    </xf>
    <xf numFmtId="2" fontId="5" fillId="0" borderId="0" xfId="19" applyNumberFormat="1" applyFont="1" applyAlignment="1">
      <alignment horizontal="left" vertical="center" wrapText="1"/>
    </xf>
    <xf numFmtId="178" fontId="5" fillId="0" borderId="0" xfId="19" applyNumberFormat="1" applyFont="1" applyAlignment="1">
      <alignment horizontal="left" vertical="center" wrapText="1"/>
    </xf>
    <xf numFmtId="165" fontId="9" fillId="0" borderId="0" xfId="19" applyNumberFormat="1" applyFont="1" applyAlignment="1">
      <alignment horizontal="center" vertical="center"/>
    </xf>
    <xf numFmtId="178" fontId="80" fillId="0" borderId="0" xfId="19" applyNumberFormat="1" applyFont="1" applyAlignment="1">
      <alignment horizontal="center" vertical="center" wrapText="1"/>
    </xf>
    <xf numFmtId="4" fontId="9" fillId="0" borderId="0" xfId="19" applyNumberFormat="1" applyFont="1" applyAlignment="1">
      <alignment horizontal="left" vertical="center" wrapText="1"/>
    </xf>
    <xf numFmtId="2" fontId="9" fillId="0" borderId="0" xfId="20" applyNumberFormat="1" applyFont="1" applyAlignment="1">
      <alignment horizontal="center" vertical="center" wrapText="1"/>
    </xf>
    <xf numFmtId="3" fontId="9" fillId="0" borderId="0" xfId="19" applyNumberFormat="1" applyFont="1" applyAlignment="1">
      <alignment horizontal="center" vertical="center"/>
    </xf>
    <xf numFmtId="2" fontId="9" fillId="0" borderId="0" xfId="19" applyNumberFormat="1" applyFont="1" applyAlignment="1">
      <alignment horizontal="center" vertical="center" wrapText="1"/>
    </xf>
    <xf numFmtId="11" fontId="9" fillId="0" borderId="0" xfId="19" applyNumberFormat="1" applyFont="1" applyAlignment="1">
      <alignment horizontal="center" vertical="center"/>
    </xf>
    <xf numFmtId="0" fontId="78" fillId="0" borderId="0" xfId="19" applyFont="1" applyAlignment="1">
      <alignment vertical="center"/>
    </xf>
    <xf numFmtId="178" fontId="21" fillId="0" borderId="0" xfId="19" applyNumberFormat="1" applyFont="1" applyAlignment="1">
      <alignment horizontal="center" vertical="top" wrapText="1"/>
    </xf>
    <xf numFmtId="178" fontId="75" fillId="0" borderId="0" xfId="19" applyNumberFormat="1" applyFont="1" applyAlignment="1">
      <alignment horizontal="left" vertical="center" wrapText="1"/>
    </xf>
    <xf numFmtId="0" fontId="5" fillId="0" borderId="0" xfId="19" applyFont="1" applyAlignment="1">
      <alignment horizontal="left" vertical="top"/>
    </xf>
    <xf numFmtId="0" fontId="5" fillId="0" borderId="0" xfId="19" applyFont="1" applyAlignment="1">
      <alignment horizontal="left"/>
    </xf>
    <xf numFmtId="178" fontId="5" fillId="0" borderId="0" xfId="19" applyNumberFormat="1" applyFont="1" applyAlignment="1">
      <alignment horizontal="left" wrapText="1"/>
    </xf>
    <xf numFmtId="0" fontId="81" fillId="0" borderId="0" xfId="19" applyFont="1" applyAlignment="1">
      <alignment horizontal="left"/>
    </xf>
    <xf numFmtId="0" fontId="81" fillId="0" borderId="0" xfId="19" applyFont="1"/>
    <xf numFmtId="0" fontId="82" fillId="0" borderId="0" xfId="19" applyFont="1" applyAlignment="1">
      <alignment horizontal="left"/>
    </xf>
    <xf numFmtId="11" fontId="82" fillId="0" borderId="0" xfId="19" applyNumberFormat="1" applyFont="1" applyAlignment="1">
      <alignment horizontal="left"/>
    </xf>
    <xf numFmtId="0" fontId="21" fillId="0" borderId="0" xfId="19" applyFont="1"/>
    <xf numFmtId="0" fontId="9" fillId="0" borderId="0" xfId="23"/>
    <xf numFmtId="0" fontId="5" fillId="0" borderId="0" xfId="23" applyFont="1" applyAlignment="1">
      <alignment horizontal="center" vertical="top" wrapText="1"/>
    </xf>
    <xf numFmtId="0" fontId="63" fillId="15" borderId="0" xfId="23" applyFont="1" applyFill="1" applyAlignment="1">
      <alignment horizontal="center" vertical="center" wrapText="1"/>
    </xf>
    <xf numFmtId="0" fontId="9" fillId="15" borderId="0" xfId="23" applyFill="1" applyAlignment="1">
      <alignment horizontal="center"/>
    </xf>
    <xf numFmtId="0" fontId="9" fillId="0" borderId="0" xfId="23" applyAlignment="1">
      <alignment horizontal="center"/>
    </xf>
    <xf numFmtId="0" fontId="9" fillId="0" borderId="0" xfId="23" applyAlignment="1">
      <alignment horizontal="left"/>
    </xf>
    <xf numFmtId="0" fontId="64" fillId="0" borderId="0" xfId="23" applyFont="1" applyAlignment="1">
      <alignment horizontal="center"/>
    </xf>
    <xf numFmtId="0" fontId="66" fillId="0" borderId="0" xfId="23" applyFont="1" applyAlignment="1">
      <alignment horizontal="left"/>
    </xf>
    <xf numFmtId="0" fontId="66" fillId="0" borderId="0" xfId="23" applyFont="1"/>
    <xf numFmtId="0" fontId="5" fillId="0" borderId="0" xfId="23" applyFont="1" applyAlignment="1">
      <alignment horizontal="left" vertical="top" wrapText="1"/>
    </xf>
    <xf numFmtId="0" fontId="65" fillId="0" borderId="0" xfId="23" applyFont="1" applyAlignment="1">
      <alignment horizontal="center" vertical="center" wrapText="1"/>
    </xf>
    <xf numFmtId="0" fontId="65" fillId="0" borderId="0" xfId="23" applyFont="1" applyAlignment="1">
      <alignment horizontal="center" vertical="center"/>
    </xf>
    <xf numFmtId="0" fontId="65" fillId="0" borderId="0" xfId="23" applyFont="1" applyAlignment="1">
      <alignment vertical="center"/>
    </xf>
    <xf numFmtId="0" fontId="65" fillId="0" borderId="0" xfId="23" applyFont="1" applyAlignment="1">
      <alignment horizontal="left" vertical="center"/>
    </xf>
    <xf numFmtId="0" fontId="70" fillId="0" borderId="0" xfId="23" applyFont="1" applyAlignment="1">
      <alignment horizontal="center" vertical="center" wrapText="1"/>
    </xf>
    <xf numFmtId="0" fontId="70" fillId="0" borderId="0" xfId="23" applyFont="1" applyAlignment="1">
      <alignment horizontal="left" vertical="center" wrapText="1"/>
    </xf>
    <xf numFmtId="0" fontId="71" fillId="0" borderId="0" xfId="23" applyFont="1" applyAlignment="1">
      <alignment horizontal="center" vertical="center" wrapText="1"/>
    </xf>
    <xf numFmtId="0" fontId="70" fillId="0" borderId="0" xfId="23" applyFont="1" applyAlignment="1">
      <alignment horizontal="center" vertical="center"/>
    </xf>
    <xf numFmtId="0" fontId="70" fillId="0" borderId="0" xfId="23" applyFont="1" applyAlignment="1">
      <alignment vertical="center"/>
    </xf>
    <xf numFmtId="0" fontId="71" fillId="0" borderId="0" xfId="23" applyFont="1" applyAlignment="1">
      <alignment horizontal="left" vertical="center" wrapText="1"/>
    </xf>
    <xf numFmtId="0" fontId="71" fillId="0" borderId="0" xfId="23" applyFont="1" applyAlignment="1">
      <alignment horizontal="center" vertical="center"/>
    </xf>
    <xf numFmtId="0" fontId="71" fillId="0" borderId="0" xfId="23" applyFont="1" applyAlignment="1">
      <alignment horizontal="left" vertical="center"/>
    </xf>
    <xf numFmtId="0" fontId="71" fillId="0" borderId="0" xfId="23" applyFont="1" applyAlignment="1">
      <alignment vertical="center"/>
    </xf>
    <xf numFmtId="0" fontId="21" fillId="0" borderId="0" xfId="23" applyFont="1" applyAlignment="1">
      <alignment horizontal="center" vertical="center"/>
    </xf>
    <xf numFmtId="0" fontId="21" fillId="0" borderId="0" xfId="23" applyFont="1" applyAlignment="1">
      <alignment horizontal="left" vertical="center"/>
    </xf>
    <xf numFmtId="0" fontId="21" fillId="0" borderId="0" xfId="23" applyFont="1" applyAlignment="1">
      <alignment vertical="center"/>
    </xf>
    <xf numFmtId="0" fontId="5" fillId="0" borderId="33" xfId="23" applyFont="1" applyBorder="1" applyAlignment="1">
      <alignment horizontal="left" vertical="center" wrapText="1"/>
    </xf>
    <xf numFmtId="0" fontId="5" fillId="0" borderId="0" xfId="23" applyFont="1" applyAlignment="1">
      <alignment horizontal="left" vertical="center" wrapText="1"/>
    </xf>
    <xf numFmtId="3" fontId="77" fillId="0" borderId="0" xfId="23" applyNumberFormat="1" applyFont="1" applyAlignment="1">
      <alignment horizontal="center" vertical="center"/>
    </xf>
    <xf numFmtId="0" fontId="60" fillId="0" borderId="0" xfId="23" applyFont="1" applyAlignment="1">
      <alignment horizontal="center" vertical="center"/>
    </xf>
    <xf numFmtId="0" fontId="73" fillId="0" borderId="0" xfId="23" applyFont="1" applyAlignment="1">
      <alignment vertical="center"/>
    </xf>
    <xf numFmtId="3" fontId="79" fillId="0" borderId="0" xfId="23" applyNumberFormat="1" applyFont="1" applyAlignment="1">
      <alignment horizontal="center" vertical="center"/>
    </xf>
    <xf numFmtId="0" fontId="73" fillId="0" borderId="0" xfId="23" applyFont="1" applyAlignment="1">
      <alignment horizontal="center" vertical="center"/>
    </xf>
    <xf numFmtId="0" fontId="60" fillId="0" borderId="121" xfId="17" applyFont="1" applyBorder="1" applyAlignment="1">
      <alignment horizontal="center" wrapText="1"/>
    </xf>
    <xf numFmtId="0" fontId="16" fillId="0" borderId="109" xfId="20" applyFont="1" applyBorder="1" applyAlignment="1">
      <alignment horizontal="left" vertical="center" wrapText="1"/>
    </xf>
    <xf numFmtId="0" fontId="16" fillId="0" borderId="72" xfId="20" applyFont="1" applyBorder="1" applyAlignment="1">
      <alignment horizontal="left" vertical="center" wrapText="1"/>
    </xf>
    <xf numFmtId="0" fontId="65" fillId="0" borderId="0" xfId="19" applyAlignment="1">
      <alignment wrapText="1"/>
    </xf>
    <xf numFmtId="0" fontId="16" fillId="0" borderId="111" xfId="20" applyFont="1" applyBorder="1" applyAlignment="1">
      <alignment horizontal="left" vertical="center" wrapText="1"/>
    </xf>
    <xf numFmtId="0" fontId="16" fillId="0" borderId="38" xfId="20" applyFont="1" applyBorder="1" applyAlignment="1">
      <alignment horizontal="left" vertical="center" wrapText="1"/>
    </xf>
    <xf numFmtId="0" fontId="16" fillId="0" borderId="37" xfId="20" applyFont="1" applyBorder="1" applyAlignment="1">
      <alignment horizontal="left" vertical="center" wrapText="1"/>
    </xf>
    <xf numFmtId="0" fontId="16" fillId="0" borderId="50" xfId="20" applyFont="1" applyBorder="1" applyAlignment="1">
      <alignment horizontal="left" vertical="center" wrapText="1"/>
    </xf>
    <xf numFmtId="0" fontId="16" fillId="0" borderId="112" xfId="20" applyFont="1" applyBorder="1" applyAlignment="1">
      <alignment horizontal="left" vertical="center" wrapText="1"/>
    </xf>
    <xf numFmtId="176" fontId="60" fillId="0" borderId="120" xfId="17" applyNumberFormat="1" applyFont="1" applyBorder="1" applyAlignment="1">
      <alignment horizontal="center" vertical="center" wrapText="1"/>
    </xf>
    <xf numFmtId="0" fontId="26" fillId="0" borderId="5" xfId="0" applyFont="1" applyBorder="1" applyAlignment="1">
      <alignment horizontal="center"/>
    </xf>
    <xf numFmtId="11" fontId="26" fillId="0" borderId="5" xfId="0" applyNumberFormat="1" applyFont="1" applyBorder="1" applyAlignment="1">
      <alignment horizontal="center"/>
    </xf>
    <xf numFmtId="0" fontId="26" fillId="0" borderId="83" xfId="0" applyFont="1" applyBorder="1" applyAlignment="1">
      <alignment horizontal="center"/>
    </xf>
    <xf numFmtId="173" fontId="60" fillId="0" borderId="38" xfId="17" quotePrefix="1" applyNumberFormat="1" applyFont="1" applyBorder="1" applyAlignment="1">
      <alignment horizontal="center" vertical="center" wrapText="1"/>
    </xf>
    <xf numFmtId="176" fontId="60" fillId="0" borderId="38" xfId="17" quotePrefix="1" applyNumberFormat="1" applyFont="1" applyBorder="1" applyAlignment="1">
      <alignment horizontal="center" vertical="center" wrapText="1"/>
    </xf>
    <xf numFmtId="0" fontId="76" fillId="0" borderId="45" xfId="20" applyFont="1" applyBorder="1" applyAlignment="1">
      <alignment horizontal="left" vertical="center" wrapText="1"/>
    </xf>
    <xf numFmtId="177" fontId="9" fillId="0" borderId="37" xfId="19" quotePrefix="1" applyNumberFormat="1" applyFont="1" applyBorder="1" applyAlignment="1">
      <alignment horizontal="center" vertical="center" wrapText="1"/>
    </xf>
    <xf numFmtId="0" fontId="83" fillId="0" borderId="119" xfId="19" applyFont="1" applyBorder="1" applyAlignment="1">
      <alignment horizontal="left" vertical="center" wrapText="1"/>
    </xf>
    <xf numFmtId="2" fontId="34" fillId="0" borderId="20" xfId="11" applyNumberFormat="1" applyFont="1" applyBorder="1" applyAlignment="1">
      <alignment horizontal="center" vertical="top"/>
    </xf>
    <xf numFmtId="176" fontId="35" fillId="0" borderId="22" xfId="17" quotePrefix="1" applyNumberFormat="1" applyFont="1" applyBorder="1" applyAlignment="1">
      <alignment horizontal="center" vertical="center" wrapText="1"/>
    </xf>
    <xf numFmtId="0" fontId="26" fillId="0" borderId="0" xfId="11" applyFont="1" applyAlignment="1">
      <alignment wrapText="1"/>
    </xf>
    <xf numFmtId="2" fontId="34" fillId="0" borderId="0" xfId="11" applyNumberFormat="1" applyFont="1" applyAlignment="1">
      <alignment wrapText="1"/>
    </xf>
    <xf numFmtId="2" fontId="34" fillId="0" borderId="0" xfId="11" applyNumberFormat="1" applyFont="1" applyAlignment="1">
      <alignment horizontal="left" wrapText="1"/>
    </xf>
    <xf numFmtId="2" fontId="31" fillId="0" borderId="82" xfId="11" applyNumberFormat="1" applyFont="1" applyBorder="1" applyAlignment="1">
      <alignment horizontal="center" wrapText="1"/>
    </xf>
    <xf numFmtId="2" fontId="31" fillId="0" borderId="44" xfId="11" applyNumberFormat="1" applyFont="1" applyBorder="1" applyAlignment="1">
      <alignment horizontal="center" wrapText="1"/>
    </xf>
    <xf numFmtId="2" fontId="31" fillId="0" borderId="33" xfId="11" applyNumberFormat="1" applyFont="1" applyBorder="1" applyAlignment="1">
      <alignment horizontal="center" wrapText="1"/>
    </xf>
    <xf numFmtId="2" fontId="31" fillId="0" borderId="17" xfId="11" applyNumberFormat="1" applyFont="1" applyBorder="1" applyAlignment="1">
      <alignment horizontal="center" wrapText="1"/>
    </xf>
    <xf numFmtId="2" fontId="31" fillId="0" borderId="47" xfId="11" applyNumberFormat="1" applyFont="1" applyBorder="1" applyAlignment="1">
      <alignment horizontal="center" wrapText="1"/>
    </xf>
    <xf numFmtId="2" fontId="31" fillId="0" borderId="46" xfId="11" applyNumberFormat="1" applyFont="1" applyBorder="1" applyAlignment="1">
      <alignment horizontal="center" wrapText="1"/>
    </xf>
    <xf numFmtId="0" fontId="26" fillId="0" borderId="0" xfId="0" applyFont="1" applyAlignment="1">
      <alignment vertical="top"/>
    </xf>
    <xf numFmtId="2" fontId="34" fillId="0" borderId="38" xfId="11" applyNumberFormat="1" applyFont="1" applyBorder="1" applyAlignment="1">
      <alignment horizontal="center" vertical="top" wrapText="1"/>
    </xf>
    <xf numFmtId="0" fontId="28" fillId="0" borderId="22" xfId="0" applyFont="1" applyBorder="1" applyAlignment="1">
      <alignment horizontal="right"/>
    </xf>
    <xf numFmtId="2" fontId="31" fillId="0" borderId="22" xfId="11" applyNumberFormat="1" applyFont="1" applyBorder="1" applyAlignment="1">
      <alignment horizontal="center" wrapText="1"/>
    </xf>
    <xf numFmtId="2" fontId="34" fillId="0" borderId="22" xfId="11" applyNumberFormat="1" applyFont="1" applyBorder="1" applyAlignment="1">
      <alignment horizontal="right" vertical="top"/>
    </xf>
    <xf numFmtId="2" fontId="34" fillId="0" borderId="22" xfId="11" applyNumberFormat="1" applyFont="1" applyBorder="1" applyAlignment="1">
      <alignment horizontal="center" vertical="top" wrapText="1"/>
    </xf>
    <xf numFmtId="2" fontId="26" fillId="0" borderId="22" xfId="11" applyNumberFormat="1" applyFont="1" applyBorder="1" applyAlignment="1">
      <alignment horizontal="right" vertical="top"/>
    </xf>
    <xf numFmtId="0" fontId="26" fillId="0" borderId="38" xfId="0" applyFont="1" applyBorder="1" applyAlignment="1">
      <alignment vertical="top"/>
    </xf>
    <xf numFmtId="0" fontId="26" fillId="0" borderId="50" xfId="0" applyFont="1" applyBorder="1" applyAlignment="1">
      <alignment vertical="top"/>
    </xf>
    <xf numFmtId="0" fontId="26" fillId="0" borderId="37" xfId="0" applyFont="1" applyBorder="1" applyAlignment="1">
      <alignment vertical="top"/>
    </xf>
    <xf numFmtId="173" fontId="35" fillId="0" borderId="19" xfId="17" quotePrefix="1" applyNumberFormat="1" applyFont="1" applyBorder="1" applyAlignment="1">
      <alignment horizontal="center" vertical="top" wrapText="1"/>
    </xf>
    <xf numFmtId="173" fontId="35" fillId="0" borderId="20" xfId="17" quotePrefix="1" applyNumberFormat="1" applyFont="1" applyBorder="1" applyAlignment="1">
      <alignment horizontal="center" vertical="top" wrapText="1"/>
    </xf>
    <xf numFmtId="173" fontId="35" fillId="0" borderId="28" xfId="17" quotePrefix="1" applyNumberFormat="1" applyFont="1" applyBorder="1" applyAlignment="1">
      <alignment horizontal="center" vertical="top" wrapText="1"/>
    </xf>
    <xf numFmtId="0" fontId="40" fillId="0" borderId="41" xfId="0" applyFont="1" applyBorder="1"/>
    <xf numFmtId="0" fontId="26" fillId="0" borderId="20" xfId="0" quotePrefix="1" applyFont="1" applyBorder="1" applyAlignment="1">
      <alignment horizontal="center"/>
    </xf>
    <xf numFmtId="0" fontId="28" fillId="0" borderId="54" xfId="11" applyFont="1" applyBorder="1"/>
    <xf numFmtId="2" fontId="31" fillId="0" borderId="54" xfId="11" applyNumberFormat="1" applyFont="1" applyBorder="1" applyAlignment="1">
      <alignment vertical="top"/>
    </xf>
    <xf numFmtId="176" fontId="35" fillId="0" borderId="21" xfId="17" quotePrefix="1" applyNumberFormat="1" applyFont="1" applyBorder="1" applyAlignment="1">
      <alignment horizontal="center" vertical="top" wrapText="1"/>
    </xf>
    <xf numFmtId="176" fontId="35" fillId="0" borderId="23" xfId="17" quotePrefix="1" applyNumberFormat="1" applyFont="1" applyBorder="1" applyAlignment="1">
      <alignment horizontal="center" vertical="top" wrapText="1"/>
    </xf>
    <xf numFmtId="0" fontId="31" fillId="0" borderId="9" xfId="0" applyFont="1" applyBorder="1" applyAlignment="1">
      <alignment horizontal="left"/>
    </xf>
    <xf numFmtId="0" fontId="84" fillId="0" borderId="22" xfId="0" applyFont="1" applyBorder="1"/>
    <xf numFmtId="0" fontId="85" fillId="0" borderId="119" xfId="0" applyFont="1" applyBorder="1"/>
    <xf numFmtId="0" fontId="26" fillId="0" borderId="17" xfId="0" quotePrefix="1" applyFont="1" applyBorder="1" applyAlignment="1">
      <alignment horizontal="center"/>
    </xf>
    <xf numFmtId="11" fontId="35" fillId="0" borderId="21" xfId="17" quotePrefix="1" applyNumberFormat="1" applyFont="1" applyBorder="1" applyAlignment="1">
      <alignment horizontal="center" vertical="top" wrapText="1"/>
    </xf>
    <xf numFmtId="11" fontId="35" fillId="0" borderId="22" xfId="17" quotePrefix="1" applyNumberFormat="1" applyFont="1" applyBorder="1" applyAlignment="1">
      <alignment horizontal="center" vertical="top" wrapText="1"/>
    </xf>
    <xf numFmtId="11" fontId="35" fillId="0" borderId="23" xfId="17" quotePrefix="1" applyNumberFormat="1" applyFont="1" applyBorder="1" applyAlignment="1">
      <alignment horizontal="center" vertical="top" wrapText="1"/>
    </xf>
    <xf numFmtId="0" fontId="28" fillId="0" borderId="11" xfId="0" applyFont="1" applyBorder="1" applyAlignment="1">
      <alignment wrapText="1"/>
    </xf>
    <xf numFmtId="0" fontId="28" fillId="0" borderId="6" xfId="2" applyFont="1" applyBorder="1" applyAlignment="1">
      <alignment horizontal="left" wrapText="1"/>
    </xf>
    <xf numFmtId="0" fontId="32" fillId="0" borderId="71" xfId="0" applyFont="1" applyBorder="1"/>
    <xf numFmtId="0" fontId="32" fillId="0" borderId="69" xfId="0" applyFont="1" applyBorder="1"/>
    <xf numFmtId="0" fontId="32" fillId="0" borderId="70" xfId="0" applyFont="1" applyBorder="1"/>
    <xf numFmtId="0" fontId="32" fillId="0" borderId="73" xfId="0" applyFont="1" applyBorder="1"/>
    <xf numFmtId="11" fontId="26" fillId="0" borderId="41" xfId="0" applyNumberFormat="1" applyFont="1" applyBorder="1" applyAlignment="1">
      <alignment horizontal="center"/>
    </xf>
    <xf numFmtId="0" fontId="76" fillId="0" borderId="0" xfId="20" applyFont="1" applyAlignment="1">
      <alignment vertical="center" wrapText="1"/>
    </xf>
    <xf numFmtId="0" fontId="9" fillId="0" borderId="115" xfId="20" applyFont="1" applyBorder="1" applyAlignment="1">
      <alignment horizontal="left" wrapText="1"/>
    </xf>
    <xf numFmtId="0" fontId="9" fillId="0" borderId="26" xfId="20" applyFont="1" applyBorder="1" applyAlignment="1">
      <alignment horizontal="left" wrapText="1"/>
    </xf>
    <xf numFmtId="0" fontId="9" fillId="0" borderId="115" xfId="20" applyFont="1" applyBorder="1" applyAlignment="1">
      <alignment wrapText="1"/>
    </xf>
    <xf numFmtId="0" fontId="9" fillId="0" borderId="30" xfId="20" applyFont="1" applyBorder="1" applyAlignment="1">
      <alignment horizontal="left" wrapText="1"/>
    </xf>
    <xf numFmtId="0" fontId="9" fillId="0" borderId="93" xfId="20" applyFont="1" applyBorder="1" applyAlignment="1">
      <alignment horizontal="left" wrapText="1"/>
    </xf>
    <xf numFmtId="0" fontId="9" fillId="0" borderId="26" xfId="20" applyFont="1" applyBorder="1" applyAlignment="1">
      <alignment horizontal="center" wrapText="1"/>
    </xf>
    <xf numFmtId="0" fontId="9" fillId="0" borderId="0" xfId="19" applyFont="1" applyAlignment="1">
      <alignment horizontal="left"/>
    </xf>
    <xf numFmtId="2" fontId="60" fillId="0" borderId="22" xfId="17" quotePrefix="1" applyNumberFormat="1" applyFont="1" applyBorder="1" applyAlignment="1">
      <alignment horizontal="center" vertical="center" wrapText="1"/>
    </xf>
    <xf numFmtId="11" fontId="60" fillId="0" borderId="22" xfId="17" applyNumberFormat="1" applyFont="1" applyBorder="1" applyAlignment="1">
      <alignment horizontal="center" vertical="center" wrapText="1"/>
    </xf>
    <xf numFmtId="176" fontId="26" fillId="0" borderId="19" xfId="0" applyNumberFormat="1" applyFont="1" applyBorder="1" applyAlignment="1">
      <alignment horizontal="center"/>
    </xf>
    <xf numFmtId="176" fontId="26" fillId="0" borderId="21" xfId="0" applyNumberFormat="1" applyFont="1" applyBorder="1" applyAlignment="1">
      <alignment horizontal="center"/>
    </xf>
    <xf numFmtId="0" fontId="26" fillId="0" borderId="27" xfId="0" applyFont="1" applyBorder="1" applyAlignment="1">
      <alignment horizontal="center"/>
    </xf>
    <xf numFmtId="176" fontId="26" fillId="0" borderId="29" xfId="0" applyNumberFormat="1" applyFont="1" applyBorder="1" applyAlignment="1">
      <alignment horizontal="center"/>
    </xf>
    <xf numFmtId="176" fontId="26" fillId="0" borderId="24" xfId="0" applyNumberFormat="1" applyFont="1" applyBorder="1" applyAlignment="1">
      <alignment horizontal="center"/>
    </xf>
    <xf numFmtId="176" fontId="26" fillId="0" borderId="42" xfId="0" applyNumberFormat="1" applyFont="1" applyBorder="1" applyAlignment="1">
      <alignment horizontal="center"/>
    </xf>
    <xf numFmtId="176" fontId="26" fillId="0" borderId="37" xfId="0" applyNumberFormat="1" applyFont="1" applyBorder="1" applyAlignment="1">
      <alignment horizontal="center"/>
    </xf>
    <xf numFmtId="176" fontId="26" fillId="0" borderId="18" xfId="0" applyNumberFormat="1" applyFont="1" applyBorder="1" applyAlignment="1">
      <alignment horizontal="center"/>
    </xf>
    <xf numFmtId="176" fontId="26" fillId="0" borderId="30" xfId="0" applyNumberFormat="1" applyFont="1" applyBorder="1" applyAlignment="1">
      <alignment horizontal="center"/>
    </xf>
    <xf numFmtId="2" fontId="34" fillId="0" borderId="18" xfId="0" applyNumberFormat="1" applyFont="1" applyBorder="1" applyAlignment="1">
      <alignment horizontal="center"/>
    </xf>
    <xf numFmtId="176" fontId="26" fillId="0" borderId="36" xfId="0" applyNumberFormat="1" applyFont="1" applyBorder="1" applyAlignment="1">
      <alignment horizontal="center"/>
    </xf>
    <xf numFmtId="176" fontId="26" fillId="0" borderId="34" xfId="0" applyNumberFormat="1" applyFont="1" applyBorder="1" applyAlignment="1">
      <alignment horizontal="center"/>
    </xf>
    <xf numFmtId="176" fontId="26" fillId="0" borderId="108" xfId="0" applyNumberFormat="1" applyFont="1" applyBorder="1" applyAlignment="1">
      <alignment horizontal="center"/>
    </xf>
    <xf numFmtId="176" fontId="26" fillId="0" borderId="92" xfId="0" applyNumberFormat="1" applyFont="1" applyBorder="1" applyAlignment="1">
      <alignment horizontal="center"/>
    </xf>
    <xf numFmtId="176" fontId="26" fillId="0" borderId="94" xfId="0" applyNumberFormat="1" applyFont="1" applyBorder="1" applyAlignment="1">
      <alignment horizontal="center"/>
    </xf>
    <xf numFmtId="2" fontId="34" fillId="0" borderId="92" xfId="0" applyNumberFormat="1" applyFont="1" applyBorder="1" applyAlignment="1">
      <alignment horizontal="center"/>
    </xf>
    <xf numFmtId="176" fontId="26" fillId="0" borderId="33" xfId="0" applyNumberFormat="1" applyFont="1" applyBorder="1" applyAlignment="1">
      <alignment horizontal="center"/>
    </xf>
    <xf numFmtId="176" fontId="84" fillId="0" borderId="22" xfId="0" applyNumberFormat="1" applyFont="1" applyBorder="1"/>
    <xf numFmtId="0" fontId="36" fillId="0" borderId="0" xfId="1" applyFont="1"/>
    <xf numFmtId="4" fontId="36" fillId="0" borderId="0" xfId="1" applyNumberFormat="1" applyFont="1"/>
    <xf numFmtId="2" fontId="36" fillId="0" borderId="0" xfId="1" applyNumberFormat="1" applyFont="1" applyAlignment="1">
      <alignment horizontal="center"/>
    </xf>
    <xf numFmtId="2" fontId="43" fillId="0" borderId="17" xfId="1" applyNumberFormat="1" applyFont="1" applyBorder="1" applyAlignment="1">
      <alignment horizontal="center"/>
    </xf>
    <xf numFmtId="11" fontId="36" fillId="0" borderId="46" xfId="1" applyNumberFormat="1" applyFont="1" applyBorder="1" applyAlignment="1">
      <alignment horizontal="center"/>
    </xf>
    <xf numFmtId="4" fontId="36" fillId="0" borderId="44" xfId="1" applyNumberFormat="1" applyFont="1" applyBorder="1" applyAlignment="1">
      <alignment horizontal="center"/>
    </xf>
    <xf numFmtId="2" fontId="36" fillId="0" borderId="44" xfId="1" applyNumberFormat="1" applyFont="1" applyBorder="1" applyAlignment="1">
      <alignment horizontal="center"/>
    </xf>
    <xf numFmtId="0" fontId="36" fillId="0" borderId="44" xfId="1" applyFont="1" applyBorder="1"/>
    <xf numFmtId="0" fontId="36" fillId="0" borderId="47" xfId="1" applyFont="1" applyBorder="1"/>
    <xf numFmtId="0" fontId="36" fillId="0" borderId="43" xfId="1" applyFont="1" applyBorder="1"/>
    <xf numFmtId="2" fontId="36" fillId="0" borderId="23" xfId="1" applyNumberFormat="1" applyFont="1" applyBorder="1" applyAlignment="1">
      <alignment horizontal="center"/>
    </xf>
    <xf numFmtId="4" fontId="36" fillId="0" borderId="22" xfId="1" applyNumberFormat="1" applyFont="1" applyBorder="1" applyAlignment="1">
      <alignment horizontal="center"/>
    </xf>
    <xf numFmtId="2" fontId="36" fillId="0" borderId="22" xfId="1" applyNumberFormat="1" applyFont="1" applyBorder="1" applyAlignment="1">
      <alignment horizontal="center"/>
    </xf>
    <xf numFmtId="0" fontId="36" fillId="0" borderId="22" xfId="1" applyFont="1" applyBorder="1"/>
    <xf numFmtId="0" fontId="36" fillId="0" borderId="38" xfId="1" applyFont="1" applyBorder="1"/>
    <xf numFmtId="0" fontId="36" fillId="0" borderId="21" xfId="1" applyFont="1" applyBorder="1"/>
    <xf numFmtId="11" fontId="36" fillId="0" borderId="27" xfId="1" applyNumberFormat="1" applyFont="1" applyBorder="1" applyAlignment="1">
      <alignment horizontal="center"/>
    </xf>
    <xf numFmtId="4" fontId="36" fillId="0" borderId="26" xfId="1" applyNumberFormat="1" applyFont="1" applyBorder="1" applyAlignment="1">
      <alignment horizontal="center"/>
    </xf>
    <xf numFmtId="11" fontId="36" fillId="0" borderId="26" xfId="1" applyNumberFormat="1" applyFont="1" applyBorder="1" applyAlignment="1">
      <alignment horizontal="center"/>
    </xf>
    <xf numFmtId="11" fontId="36" fillId="0" borderId="22" xfId="1" applyNumberFormat="1" applyFont="1" applyBorder="1" applyAlignment="1">
      <alignment horizontal="center"/>
    </xf>
    <xf numFmtId="11" fontId="36" fillId="0" borderId="28" xfId="1" applyNumberFormat="1" applyFont="1" applyBorder="1" applyAlignment="1">
      <alignment horizontal="center"/>
    </xf>
    <xf numFmtId="4" fontId="36" fillId="0" borderId="20" xfId="1" applyNumberFormat="1" applyFont="1" applyBorder="1" applyAlignment="1">
      <alignment horizontal="center"/>
    </xf>
    <xf numFmtId="11" fontId="36" fillId="0" borderId="20" xfId="1" applyNumberFormat="1" applyFont="1" applyBorder="1" applyAlignment="1">
      <alignment horizontal="center"/>
    </xf>
    <xf numFmtId="2" fontId="36" fillId="0" borderId="20" xfId="1" applyNumberFormat="1" applyFont="1" applyBorder="1" applyAlignment="1">
      <alignment horizontal="center"/>
    </xf>
    <xf numFmtId="0" fontId="36" fillId="0" borderId="20" xfId="1" applyFont="1" applyBorder="1"/>
    <xf numFmtId="0" fontId="36" fillId="0" borderId="41" xfId="1" applyFont="1" applyBorder="1"/>
    <xf numFmtId="0" fontId="36" fillId="0" borderId="19" xfId="1" applyFont="1" applyBorder="1"/>
    <xf numFmtId="0" fontId="43" fillId="0" borderId="32" xfId="1" applyFont="1" applyBorder="1" applyAlignment="1">
      <alignment horizontal="center"/>
    </xf>
    <xf numFmtId="4" fontId="43" fillId="0" borderId="15" xfId="1" applyNumberFormat="1" applyFont="1" applyBorder="1" applyAlignment="1">
      <alignment horizontal="center"/>
    </xf>
    <xf numFmtId="0" fontId="43" fillId="0" borderId="15" xfId="1" applyFont="1" applyBorder="1" applyAlignment="1">
      <alignment horizontal="center"/>
    </xf>
    <xf numFmtId="0" fontId="43" fillId="0" borderId="15" xfId="1" applyFont="1" applyBorder="1"/>
    <xf numFmtId="0" fontId="43" fillId="0" borderId="14" xfId="1" applyFont="1" applyBorder="1"/>
    <xf numFmtId="0" fontId="43" fillId="0" borderId="0" xfId="1" applyFont="1"/>
    <xf numFmtId="2" fontId="43" fillId="0" borderId="25" xfId="1" applyNumberFormat="1" applyFont="1" applyBorder="1" applyAlignment="1">
      <alignment horizontal="center"/>
    </xf>
    <xf numFmtId="0" fontId="26" fillId="0" borderId="49" xfId="0" applyFont="1" applyBorder="1" applyAlignment="1">
      <alignment horizontal="center"/>
    </xf>
    <xf numFmtId="2" fontId="31" fillId="0" borderId="76" xfId="11" applyNumberFormat="1" applyFont="1" applyBorder="1" applyAlignment="1">
      <alignment horizontal="right" wrapText="1"/>
    </xf>
    <xf numFmtId="0" fontId="26" fillId="0" borderId="37" xfId="11" applyFont="1" applyBorder="1" applyAlignment="1">
      <alignment horizontal="left" vertical="top" wrapText="1"/>
    </xf>
    <xf numFmtId="2" fontId="31" fillId="0" borderId="24" xfId="11" applyNumberFormat="1" applyFont="1" applyBorder="1" applyAlignment="1">
      <alignment horizontal="center" wrapText="1"/>
    </xf>
    <xf numFmtId="2" fontId="31" fillId="0" borderId="25" xfId="11" applyNumberFormat="1" applyFont="1" applyBorder="1" applyAlignment="1">
      <alignment horizontal="center" wrapText="1"/>
    </xf>
    <xf numFmtId="2" fontId="31" fillId="0" borderId="19" xfId="11" applyNumberFormat="1" applyFont="1" applyBorder="1" applyAlignment="1">
      <alignment horizontal="center" vertical="top" wrapText="1"/>
    </xf>
    <xf numFmtId="2" fontId="31" fillId="0" borderId="42" xfId="11" applyNumberFormat="1" applyFont="1" applyBorder="1" applyAlignment="1">
      <alignment vertical="top" wrapText="1"/>
    </xf>
    <xf numFmtId="2" fontId="31" fillId="0" borderId="53" xfId="11" applyNumberFormat="1" applyFont="1" applyBorder="1" applyAlignment="1">
      <alignment horizontal="center" vertical="top"/>
    </xf>
    <xf numFmtId="2" fontId="34" fillId="0" borderId="53" xfId="11" applyNumberFormat="1" applyFont="1" applyBorder="1" applyAlignment="1">
      <alignment horizontal="center" vertical="top"/>
    </xf>
    <xf numFmtId="2" fontId="34" fillId="0" borderId="42" xfId="11" applyNumberFormat="1" applyFont="1" applyBorder="1" applyAlignment="1">
      <alignment horizontal="center" vertical="top"/>
    </xf>
    <xf numFmtId="2" fontId="34" fillId="0" borderId="28" xfId="11" applyNumberFormat="1" applyFont="1" applyBorder="1" applyAlignment="1">
      <alignment horizontal="center" vertical="top"/>
    </xf>
    <xf numFmtId="173" fontId="35" fillId="0" borderId="43" xfId="17" quotePrefix="1" applyNumberFormat="1" applyFont="1" applyBorder="1" applyAlignment="1">
      <alignment horizontal="center" vertical="top" wrapText="1"/>
    </xf>
    <xf numFmtId="173" fontId="35" fillId="0" borderId="82" xfId="17" quotePrefix="1" applyNumberFormat="1" applyFont="1" applyBorder="1" applyAlignment="1">
      <alignment horizontal="center" vertical="top" wrapText="1"/>
    </xf>
    <xf numFmtId="173" fontId="35" fillId="0" borderId="46" xfId="17" quotePrefix="1" applyNumberFormat="1" applyFont="1" applyBorder="1" applyAlignment="1">
      <alignment horizontal="center" vertical="top" wrapText="1"/>
    </xf>
    <xf numFmtId="2" fontId="34" fillId="0" borderId="37" xfId="11" applyNumberFormat="1" applyFont="1" applyBorder="1" applyAlignment="1">
      <alignment horizontal="left" vertical="top" wrapText="1"/>
    </xf>
    <xf numFmtId="173" fontId="35" fillId="0" borderId="90" xfId="17" quotePrefix="1" applyNumberFormat="1" applyFont="1" applyBorder="1" applyAlignment="1">
      <alignment horizontal="center" vertical="top" wrapText="1"/>
    </xf>
    <xf numFmtId="3" fontId="26" fillId="0" borderId="37" xfId="0" applyNumberFormat="1" applyFont="1" applyBorder="1" applyAlignment="1">
      <alignment horizontal="left" indent="1"/>
    </xf>
    <xf numFmtId="3" fontId="26" fillId="0" borderId="74" xfId="0" applyNumberFormat="1" applyFont="1" applyBorder="1" applyAlignment="1">
      <alignment horizontal="left" indent="1"/>
    </xf>
    <xf numFmtId="2" fontId="31" fillId="0" borderId="42" xfId="11" applyNumberFormat="1" applyFont="1" applyBorder="1" applyAlignment="1">
      <alignment horizontal="left" indent="1"/>
    </xf>
    <xf numFmtId="0" fontId="28" fillId="0" borderId="0" xfId="0" applyFont="1" applyAlignment="1">
      <alignment horizontal="center" wrapText="1"/>
    </xf>
    <xf numFmtId="2" fontId="28" fillId="0" borderId="0" xfId="0" applyNumberFormat="1" applyFont="1" applyAlignment="1">
      <alignment horizontal="center"/>
    </xf>
    <xf numFmtId="11" fontId="28" fillId="0" borderId="0" xfId="0" applyNumberFormat="1" applyFont="1" applyAlignment="1">
      <alignment horizontal="center"/>
    </xf>
    <xf numFmtId="0" fontId="28" fillId="0" borderId="56" xfId="0" applyFont="1" applyBorder="1" applyAlignment="1">
      <alignment horizontal="left"/>
    </xf>
    <xf numFmtId="0" fontId="28" fillId="0" borderId="72" xfId="0" applyFont="1" applyBorder="1" applyAlignment="1">
      <alignment horizontal="left"/>
    </xf>
    <xf numFmtId="2" fontId="35" fillId="0" borderId="21" xfId="17" quotePrefix="1" applyNumberFormat="1" applyFont="1" applyBorder="1" applyAlignment="1">
      <alignment horizontal="center" vertical="top" wrapText="1"/>
    </xf>
    <xf numFmtId="2" fontId="26" fillId="0" borderId="80" xfId="0" applyNumberFormat="1" applyFont="1" applyBorder="1" applyAlignment="1">
      <alignment horizontal="center"/>
    </xf>
    <xf numFmtId="2" fontId="26" fillId="0" borderId="97" xfId="0" applyNumberFormat="1" applyFont="1" applyBorder="1" applyAlignment="1">
      <alignment horizontal="center"/>
    </xf>
    <xf numFmtId="4" fontId="26" fillId="0" borderId="0" xfId="0" applyNumberFormat="1" applyFont="1" applyAlignment="1">
      <alignment horizontal="center"/>
    </xf>
    <xf numFmtId="175" fontId="26" fillId="0" borderId="0" xfId="0" applyNumberFormat="1" applyFont="1" applyAlignment="1">
      <alignment horizontal="center"/>
    </xf>
    <xf numFmtId="173" fontId="35" fillId="0" borderId="29" xfId="17" quotePrefix="1" applyNumberFormat="1" applyFont="1" applyBorder="1" applyAlignment="1">
      <alignment horizontal="center" vertical="top" wrapText="1"/>
    </xf>
    <xf numFmtId="173" fontId="35" fillId="0" borderId="26" xfId="17" quotePrefix="1" applyNumberFormat="1" applyFont="1" applyBorder="1" applyAlignment="1">
      <alignment horizontal="center" vertical="top" wrapText="1"/>
    </xf>
    <xf numFmtId="173" fontId="35" fillId="0" borderId="27" xfId="17" quotePrefix="1" applyNumberFormat="1" applyFont="1" applyBorder="1" applyAlignment="1">
      <alignment horizontal="center" vertical="top" wrapText="1"/>
    </xf>
    <xf numFmtId="2" fontId="31" fillId="0" borderId="20" xfId="11" applyNumberFormat="1" applyFont="1" applyBorder="1" applyAlignment="1">
      <alignment wrapText="1"/>
    </xf>
    <xf numFmtId="0" fontId="31" fillId="0" borderId="80" xfId="0" applyFont="1" applyBorder="1" applyAlignment="1">
      <alignment horizontal="center" wrapText="1"/>
    </xf>
    <xf numFmtId="0" fontId="31" fillId="0" borderId="74" xfId="0" applyFont="1" applyBorder="1" applyAlignment="1">
      <alignment horizontal="center" wrapText="1"/>
    </xf>
    <xf numFmtId="173" fontId="35" fillId="0" borderId="42" xfId="17" quotePrefix="1" applyNumberFormat="1" applyFont="1" applyBorder="1" applyAlignment="1">
      <alignment horizontal="center" vertical="top" wrapText="1"/>
    </xf>
    <xf numFmtId="2" fontId="35" fillId="0" borderId="37" xfId="17" quotePrefix="1" applyNumberFormat="1" applyFont="1" applyBorder="1" applyAlignment="1">
      <alignment horizontal="center" vertical="top" wrapText="1"/>
    </xf>
    <xf numFmtId="2" fontId="26" fillId="0" borderId="74" xfId="0" applyNumberFormat="1" applyFont="1" applyBorder="1" applyAlignment="1">
      <alignment horizontal="center"/>
    </xf>
    <xf numFmtId="0" fontId="26" fillId="0" borderId="88" xfId="11" applyFont="1" applyBorder="1" applyAlignment="1">
      <alignment horizontal="center" vertical="top" wrapText="1"/>
    </xf>
    <xf numFmtId="2" fontId="59" fillId="0" borderId="43" xfId="0" applyNumberFormat="1" applyFont="1" applyBorder="1" applyAlignment="1">
      <alignment horizontal="center" wrapText="1"/>
    </xf>
    <xf numFmtId="2" fontId="59" fillId="0" borderId="33" xfId="0" applyNumberFormat="1" applyFont="1" applyBorder="1" applyAlignment="1">
      <alignment horizontal="center" wrapText="1"/>
    </xf>
    <xf numFmtId="2" fontId="34" fillId="0" borderId="50" xfId="11" applyNumberFormat="1" applyFont="1" applyBorder="1" applyAlignment="1">
      <alignment horizontal="center" vertical="center"/>
    </xf>
    <xf numFmtId="2" fontId="13" fillId="0" borderId="50" xfId="0" applyNumberFormat="1" applyFont="1" applyBorder="1" applyAlignment="1">
      <alignment horizontal="center" vertical="center"/>
    </xf>
    <xf numFmtId="2" fontId="13" fillId="0" borderId="77" xfId="0" applyNumberFormat="1" applyFont="1" applyBorder="1" applyAlignment="1">
      <alignment horizontal="center" vertical="center"/>
    </xf>
    <xf numFmtId="0" fontId="61" fillId="2" borderId="36" xfId="0" applyFont="1" applyFill="1" applyBorder="1" applyAlignment="1">
      <alignment horizontal="center" vertical="center"/>
    </xf>
    <xf numFmtId="2" fontId="59" fillId="0" borderId="108" xfId="0" applyNumberFormat="1" applyFont="1" applyBorder="1" applyAlignment="1">
      <alignment horizontal="center" wrapText="1"/>
    </xf>
    <xf numFmtId="2" fontId="34" fillId="0" borderId="36" xfId="11" applyNumberFormat="1" applyFont="1" applyBorder="1" applyAlignment="1">
      <alignment horizontal="center" vertical="top"/>
    </xf>
    <xf numFmtId="2" fontId="34" fillId="0" borderId="34" xfId="11" applyNumberFormat="1" applyFont="1" applyBorder="1" applyAlignment="1">
      <alignment horizontal="center" vertical="center"/>
    </xf>
    <xf numFmtId="2" fontId="13" fillId="0" borderId="34" xfId="0" applyNumberFormat="1" applyFont="1" applyBorder="1" applyAlignment="1">
      <alignment horizontal="center" vertical="center"/>
    </xf>
    <xf numFmtId="2" fontId="13" fillId="0" borderId="92" xfId="0" applyNumberFormat="1" applyFont="1" applyBorder="1" applyAlignment="1">
      <alignment horizontal="center" vertical="center"/>
    </xf>
    <xf numFmtId="173" fontId="35" fillId="0" borderId="34" xfId="17" quotePrefix="1" applyNumberFormat="1" applyFont="1" applyBorder="1" applyAlignment="1">
      <alignment horizontal="center" vertical="top" wrapText="1"/>
    </xf>
    <xf numFmtId="174" fontId="35" fillId="0" borderId="34" xfId="17" quotePrefix="1" applyNumberFormat="1" applyFont="1" applyBorder="1" applyAlignment="1">
      <alignment horizontal="center" vertical="top" wrapText="1"/>
    </xf>
    <xf numFmtId="173" fontId="35" fillId="0" borderId="92" xfId="17" quotePrefix="1" applyNumberFormat="1" applyFont="1" applyBorder="1" applyAlignment="1">
      <alignment horizontal="center" vertical="top" wrapText="1"/>
    </xf>
    <xf numFmtId="0" fontId="28" fillId="0" borderId="1" xfId="0" applyFont="1" applyBorder="1" applyAlignment="1">
      <alignment horizontal="left"/>
    </xf>
    <xf numFmtId="0" fontId="28" fillId="0" borderId="95" xfId="0" applyFont="1" applyBorder="1" applyAlignment="1">
      <alignment horizontal="left"/>
    </xf>
    <xf numFmtId="11" fontId="26" fillId="0" borderId="93" xfId="0" applyNumberFormat="1" applyFont="1" applyBorder="1" applyAlignment="1">
      <alignment horizontal="center"/>
    </xf>
    <xf numFmtId="0" fontId="26" fillId="0" borderId="45" xfId="0" applyFont="1" applyBorder="1" applyAlignment="1">
      <alignment horizontal="center"/>
    </xf>
    <xf numFmtId="2" fontId="26" fillId="0" borderId="43" xfId="0" applyNumberFormat="1" applyFont="1" applyBorder="1" applyAlignment="1">
      <alignment horizontal="center"/>
    </xf>
    <xf numFmtId="2" fontId="26" fillId="0" borderId="44" xfId="0" applyNumberFormat="1" applyFont="1" applyBorder="1" applyAlignment="1">
      <alignment horizontal="center"/>
    </xf>
    <xf numFmtId="2" fontId="26" fillId="0" borderId="22" xfId="0" quotePrefix="1" applyNumberFormat="1" applyFont="1" applyBorder="1" applyAlignment="1">
      <alignment horizontal="center"/>
    </xf>
    <xf numFmtId="2" fontId="26" fillId="0" borderId="26" xfId="0" quotePrefix="1" applyNumberFormat="1" applyFont="1" applyBorder="1" applyAlignment="1">
      <alignment horizontal="center"/>
    </xf>
    <xf numFmtId="2" fontId="26" fillId="0" borderId="81" xfId="0" applyNumberFormat="1" applyFont="1" applyBorder="1" applyAlignment="1">
      <alignment horizontal="center"/>
    </xf>
    <xf numFmtId="176" fontId="26" fillId="0" borderId="22" xfId="0" quotePrefix="1" applyNumberFormat="1" applyFont="1" applyBorder="1" applyAlignment="1">
      <alignment horizontal="center"/>
    </xf>
    <xf numFmtId="165" fontId="26" fillId="0" borderId="37" xfId="0" applyNumberFormat="1" applyFont="1" applyBorder="1" applyAlignment="1">
      <alignment horizontal="center"/>
    </xf>
    <xf numFmtId="0" fontId="26" fillId="0" borderId="82" xfId="11" applyFont="1" applyBorder="1" applyAlignment="1">
      <alignment horizontal="center" vertical="top" wrapText="1"/>
    </xf>
    <xf numFmtId="0" fontId="26" fillId="0" borderId="37" xfId="0" applyFont="1" applyBorder="1" applyAlignment="1">
      <alignment horizontal="right" vertical="center"/>
    </xf>
    <xf numFmtId="176" fontId="84" fillId="0" borderId="120" xfId="0" applyNumberFormat="1" applyFont="1" applyBorder="1"/>
    <xf numFmtId="176" fontId="84" fillId="0" borderId="119" xfId="0" applyNumberFormat="1" applyFont="1" applyBorder="1"/>
    <xf numFmtId="0" fontId="9" fillId="0" borderId="114" xfId="19" applyFont="1" applyBorder="1" applyAlignment="1">
      <alignment horizontal="left" vertical="center" wrapText="1"/>
    </xf>
    <xf numFmtId="177" fontId="9" fillId="0" borderId="44" xfId="19" quotePrefix="1" applyNumberFormat="1" applyFont="1" applyBorder="1" applyAlignment="1">
      <alignment horizontal="center" vertical="center" wrapText="1"/>
    </xf>
    <xf numFmtId="173" fontId="60" fillId="0" borderId="44" xfId="17" quotePrefix="1" applyNumberFormat="1" applyFont="1" applyBorder="1" applyAlignment="1">
      <alignment horizontal="center" vertical="center" wrapText="1"/>
    </xf>
    <xf numFmtId="173" fontId="60" fillId="0" borderId="60" xfId="17" quotePrefix="1" applyNumberFormat="1" applyFont="1" applyBorder="1" applyAlignment="1">
      <alignment horizontal="center" vertical="center" wrapText="1"/>
    </xf>
    <xf numFmtId="0" fontId="32" fillId="0" borderId="111" xfId="0" applyFont="1" applyBorder="1"/>
    <xf numFmtId="0" fontId="26" fillId="0" borderId="0" xfId="0" applyFont="1" applyAlignment="1">
      <alignment horizontal="left" wrapText="1"/>
    </xf>
    <xf numFmtId="0" fontId="28" fillId="0" borderId="22" xfId="0" applyFont="1" applyBorder="1" applyAlignment="1">
      <alignment horizontal="center"/>
    </xf>
    <xf numFmtId="0" fontId="28" fillId="0" borderId="37" xfId="0" applyFont="1" applyBorder="1" applyAlignment="1">
      <alignment horizontal="center"/>
    </xf>
    <xf numFmtId="0" fontId="28" fillId="0" borderId="50" xfId="0" applyFont="1" applyBorder="1" applyAlignment="1">
      <alignment horizontal="center"/>
    </xf>
    <xf numFmtId="0" fontId="28" fillId="0" borderId="38" xfId="0" applyFont="1" applyBorder="1" applyAlignment="1">
      <alignment horizontal="center"/>
    </xf>
    <xf numFmtId="0" fontId="26" fillId="0" borderId="0" xfId="0" applyFont="1" applyAlignment="1">
      <alignment horizontal="left" vertical="top" wrapText="1"/>
    </xf>
    <xf numFmtId="3" fontId="34" fillId="4" borderId="21" xfId="11" applyNumberFormat="1" applyFont="1" applyFill="1" applyBorder="1" applyAlignment="1" applyProtection="1">
      <alignment horizontal="center" vertical="center"/>
      <protection locked="0"/>
    </xf>
    <xf numFmtId="3" fontId="34" fillId="4" borderId="22" xfId="11" applyNumberFormat="1" applyFont="1" applyFill="1" applyBorder="1" applyAlignment="1" applyProtection="1">
      <alignment horizontal="center" vertical="center"/>
      <protection locked="0"/>
    </xf>
    <xf numFmtId="3" fontId="34" fillId="4" borderId="23" xfId="11" applyNumberFormat="1" applyFont="1" applyFill="1" applyBorder="1" applyAlignment="1" applyProtection="1">
      <alignment horizontal="center" vertical="center"/>
      <protection locked="0"/>
    </xf>
    <xf numFmtId="3" fontId="34" fillId="4" borderId="54" xfId="11" applyNumberFormat="1" applyFont="1" applyFill="1" applyBorder="1" applyAlignment="1" applyProtection="1">
      <alignment horizontal="center" vertical="center"/>
      <protection locked="0"/>
    </xf>
    <xf numFmtId="3" fontId="34" fillId="4" borderId="50" xfId="11" applyNumberFormat="1" applyFont="1" applyFill="1" applyBorder="1" applyAlignment="1" applyProtection="1">
      <alignment horizontal="center" vertical="center"/>
      <protection locked="0"/>
    </xf>
    <xf numFmtId="3" fontId="34" fillId="4" borderId="69" xfId="11" applyNumberFormat="1" applyFont="1" applyFill="1" applyBorder="1" applyAlignment="1" applyProtection="1">
      <alignment horizontal="center" vertical="center"/>
      <protection locked="0"/>
    </xf>
    <xf numFmtId="3" fontId="34" fillId="4" borderId="24" xfId="11" applyNumberFormat="1" applyFont="1" applyFill="1" applyBorder="1" applyAlignment="1" applyProtection="1">
      <alignment horizontal="center" vertical="center"/>
      <protection locked="0"/>
    </xf>
    <xf numFmtId="3" fontId="34" fillId="4" borderId="17" xfId="11" applyNumberFormat="1" applyFont="1" applyFill="1" applyBorder="1" applyAlignment="1" applyProtection="1">
      <alignment horizontal="center" vertical="center"/>
      <protection locked="0"/>
    </xf>
    <xf numFmtId="3" fontId="34" fillId="4" borderId="25" xfId="11" applyNumberFormat="1" applyFont="1" applyFill="1" applyBorder="1" applyAlignment="1" applyProtection="1">
      <alignment horizontal="center" vertical="center"/>
      <protection locked="0"/>
    </xf>
    <xf numFmtId="0" fontId="31" fillId="0" borderId="29" xfId="11" applyFont="1" applyBorder="1" applyAlignment="1">
      <alignment horizontal="left"/>
    </xf>
    <xf numFmtId="0" fontId="31" fillId="0" borderId="30" xfId="11" applyFont="1" applyBorder="1" applyAlignment="1">
      <alignment horizontal="left"/>
    </xf>
    <xf numFmtId="0" fontId="31" fillId="0" borderId="21" xfId="11" applyFont="1" applyBorder="1" applyAlignment="1">
      <alignment horizontal="left"/>
    </xf>
    <xf numFmtId="0" fontId="31" fillId="0" borderId="37" xfId="11" applyFont="1" applyBorder="1" applyAlignment="1">
      <alignment horizontal="left"/>
    </xf>
    <xf numFmtId="0" fontId="34" fillId="0" borderId="24" xfId="11" applyFont="1" applyBorder="1" applyAlignment="1">
      <alignment horizontal="left" vertical="center"/>
    </xf>
    <xf numFmtId="0" fontId="34" fillId="0" borderId="18" xfId="11" applyFont="1" applyBorder="1" applyAlignment="1">
      <alignment horizontal="left" vertical="center"/>
    </xf>
    <xf numFmtId="0" fontId="31" fillId="0" borderId="1" xfId="11" applyFont="1" applyBorder="1" applyAlignment="1">
      <alignment horizontal="center" vertical="center"/>
    </xf>
    <xf numFmtId="0" fontId="31" fillId="0" borderId="7" xfId="11" applyFont="1" applyBorder="1" applyAlignment="1">
      <alignment horizontal="center" vertical="center"/>
    </xf>
    <xf numFmtId="0" fontId="31" fillId="0" borderId="2" xfId="11" applyFont="1" applyBorder="1" applyAlignment="1">
      <alignment horizontal="center" vertical="center"/>
    </xf>
    <xf numFmtId="0" fontId="31" fillId="0" borderId="8" xfId="11" applyFont="1" applyBorder="1" applyAlignment="1">
      <alignment horizontal="center" vertical="center"/>
    </xf>
    <xf numFmtId="0" fontId="34" fillId="0" borderId="29" xfId="11" applyFont="1" applyBorder="1" applyAlignment="1">
      <alignment horizontal="center"/>
    </xf>
    <xf numFmtId="0" fontId="34" fillId="0" borderId="26" xfId="11" applyFont="1" applyBorder="1" applyAlignment="1">
      <alignment horizontal="center"/>
    </xf>
    <xf numFmtId="0" fontId="34" fillId="0" borderId="27" xfId="11" applyFont="1" applyBorder="1" applyAlignment="1">
      <alignment horizontal="center"/>
    </xf>
    <xf numFmtId="0" fontId="34" fillId="0" borderId="21" xfId="11" applyFont="1" applyBorder="1" applyAlignment="1">
      <alignment horizontal="center" vertical="center" wrapText="1"/>
    </xf>
    <xf numFmtId="0" fontId="34" fillId="0" borderId="22" xfId="11" applyFont="1" applyBorder="1" applyAlignment="1">
      <alignment horizontal="center" vertical="center" wrapText="1"/>
    </xf>
    <xf numFmtId="0" fontId="34" fillId="0" borderId="21" xfId="11" applyFont="1" applyBorder="1" applyAlignment="1">
      <alignment horizontal="center" vertical="center"/>
    </xf>
    <xf numFmtId="0" fontId="34" fillId="0" borderId="22" xfId="11" applyFont="1" applyBorder="1" applyAlignment="1">
      <alignment horizontal="center" vertical="center"/>
    </xf>
    <xf numFmtId="0" fontId="34" fillId="0" borderId="24" xfId="11" applyFont="1" applyBorder="1" applyAlignment="1">
      <alignment horizontal="center" vertical="center"/>
    </xf>
    <xf numFmtId="0" fontId="34" fillId="0" borderId="17" xfId="11" applyFont="1" applyBorder="1" applyAlignment="1">
      <alignment horizontal="center" vertical="center"/>
    </xf>
    <xf numFmtId="0" fontId="31" fillId="0" borderId="17" xfId="11" applyFont="1" applyBorder="1" applyAlignment="1">
      <alignment horizontal="center" vertical="center"/>
    </xf>
    <xf numFmtId="0" fontId="31" fillId="0" borderId="25" xfId="11" applyFont="1" applyBorder="1" applyAlignment="1">
      <alignment horizontal="center" vertical="center"/>
    </xf>
    <xf numFmtId="0" fontId="31" fillId="2" borderId="48" xfId="11" applyFont="1" applyFill="1" applyBorder="1" applyAlignment="1">
      <alignment horizontal="left" vertical="top"/>
    </xf>
    <xf numFmtId="0" fontId="31" fillId="2" borderId="88" xfId="11" applyFont="1" applyFill="1" applyBorder="1" applyAlignment="1">
      <alignment horizontal="left" vertical="top"/>
    </xf>
    <xf numFmtId="0" fontId="31" fillId="2" borderId="29" xfId="11" applyFont="1" applyFill="1" applyBorder="1" applyAlignment="1">
      <alignment horizontal="left" vertical="top"/>
    </xf>
    <xf numFmtId="0" fontId="31" fillId="2" borderId="78" xfId="11" applyFont="1" applyFill="1" applyBorder="1" applyAlignment="1">
      <alignment horizontal="left" vertical="top"/>
    </xf>
    <xf numFmtId="0" fontId="31" fillId="2" borderId="31" xfId="11" applyFont="1" applyFill="1" applyBorder="1" applyAlignment="1">
      <alignment horizontal="left" vertical="top"/>
    </xf>
    <xf numFmtId="0" fontId="31" fillId="2" borderId="30" xfId="11" applyFont="1" applyFill="1" applyBorder="1" applyAlignment="1">
      <alignment horizontal="left" vertical="top"/>
    </xf>
    <xf numFmtId="0" fontId="31" fillId="4" borderId="4" xfId="11" applyFont="1" applyFill="1" applyBorder="1" applyAlignment="1" applyProtection="1">
      <alignment horizontal="left" vertical="center" wrapText="1"/>
      <protection locked="0"/>
    </xf>
    <xf numFmtId="0" fontId="31" fillId="4" borderId="5" xfId="11" applyFont="1" applyFill="1" applyBorder="1" applyAlignment="1" applyProtection="1">
      <alignment horizontal="left" vertical="center" wrapText="1"/>
      <protection locked="0"/>
    </xf>
    <xf numFmtId="0" fontId="31" fillId="4" borderId="1" xfId="11" applyFont="1" applyFill="1" applyBorder="1" applyAlignment="1" applyProtection="1">
      <alignment horizontal="left" vertical="center" wrapText="1"/>
      <protection locked="0"/>
    </xf>
    <xf numFmtId="0" fontId="31" fillId="4" borderId="0" xfId="11" applyFont="1" applyFill="1" applyAlignment="1" applyProtection="1">
      <alignment horizontal="left" vertical="center" wrapText="1"/>
      <protection locked="0"/>
    </xf>
    <xf numFmtId="0" fontId="31" fillId="4" borderId="6" xfId="11" applyFont="1" applyFill="1" applyBorder="1" applyAlignment="1" applyProtection="1">
      <alignment horizontal="center" vertical="center" wrapText="1"/>
      <protection locked="0"/>
    </xf>
    <xf numFmtId="0" fontId="31" fillId="4" borderId="7" xfId="11" applyFont="1" applyFill="1" applyBorder="1" applyAlignment="1" applyProtection="1">
      <alignment horizontal="center" vertical="center" wrapText="1"/>
      <protection locked="0"/>
    </xf>
    <xf numFmtId="0" fontId="34" fillId="0" borderId="56" xfId="11" applyFont="1" applyBorder="1" applyAlignment="1">
      <alignment horizontal="center"/>
    </xf>
    <xf numFmtId="0" fontId="34" fillId="0" borderId="35" xfId="11" applyFont="1" applyBorder="1" applyAlignment="1">
      <alignment horizontal="center"/>
    </xf>
    <xf numFmtId="0" fontId="34" fillId="0" borderId="73" xfId="11" applyFont="1" applyBorder="1" applyAlignment="1">
      <alignment horizontal="center"/>
    </xf>
    <xf numFmtId="0" fontId="28" fillId="4" borderId="4" xfId="11" applyFont="1" applyFill="1" applyBorder="1" applyAlignment="1" applyProtection="1">
      <alignment horizontal="left" vertical="center" wrapText="1"/>
      <protection locked="0"/>
    </xf>
    <xf numFmtId="0" fontId="28" fillId="4" borderId="5" xfId="11" applyFont="1" applyFill="1" applyBorder="1" applyAlignment="1" applyProtection="1">
      <alignment horizontal="left" vertical="center" wrapText="1"/>
      <protection locked="0"/>
    </xf>
    <xf numFmtId="0" fontId="28" fillId="4" borderId="1" xfId="11" applyFont="1" applyFill="1" applyBorder="1" applyAlignment="1" applyProtection="1">
      <alignment horizontal="left" vertical="center" wrapText="1"/>
      <protection locked="0"/>
    </xf>
    <xf numFmtId="0" fontId="28" fillId="4" borderId="0" xfId="11" applyFont="1" applyFill="1" applyAlignment="1" applyProtection="1">
      <alignment horizontal="left" vertical="center" wrapText="1"/>
      <protection locked="0"/>
    </xf>
    <xf numFmtId="0" fontId="28" fillId="4" borderId="6" xfId="11" applyFont="1" applyFill="1" applyBorder="1" applyAlignment="1" applyProtection="1">
      <alignment horizontal="center" vertical="center" wrapText="1"/>
      <protection locked="0"/>
    </xf>
    <xf numFmtId="0" fontId="28" fillId="4" borderId="7" xfId="11" applyFont="1" applyFill="1" applyBorder="1" applyAlignment="1" applyProtection="1">
      <alignment horizontal="center" vertical="center" wrapText="1"/>
      <protection locked="0"/>
    </xf>
    <xf numFmtId="3" fontId="34" fillId="4" borderId="55" xfId="11" applyNumberFormat="1" applyFont="1" applyFill="1" applyBorder="1" applyAlignment="1" applyProtection="1">
      <alignment horizontal="center" vertical="center"/>
      <protection locked="0"/>
    </xf>
    <xf numFmtId="3" fontId="34" fillId="4" borderId="77" xfId="11" applyNumberFormat="1" applyFont="1" applyFill="1" applyBorder="1" applyAlignment="1" applyProtection="1">
      <alignment horizontal="center" vertical="center"/>
      <protection locked="0"/>
    </xf>
    <xf numFmtId="3" fontId="34" fillId="4" borderId="70" xfId="11" applyNumberFormat="1" applyFont="1" applyFill="1" applyBorder="1" applyAlignment="1" applyProtection="1">
      <alignment horizontal="center" vertical="center"/>
      <protection locked="0"/>
    </xf>
    <xf numFmtId="0" fontId="31" fillId="0" borderId="19" xfId="11" applyFont="1" applyBorder="1" applyAlignment="1">
      <alignment horizontal="left"/>
    </xf>
    <xf numFmtId="0" fontId="31" fillId="0" borderId="42" xfId="11" applyFont="1" applyBorder="1" applyAlignment="1">
      <alignment horizontal="left"/>
    </xf>
    <xf numFmtId="0" fontId="31" fillId="0" borderId="0" xfId="11" applyFont="1" applyAlignment="1">
      <alignment horizontal="center" vertical="center"/>
    </xf>
    <xf numFmtId="0" fontId="31" fillId="0" borderId="3" xfId="11" applyFont="1" applyBorder="1" applyAlignment="1">
      <alignment horizontal="center" vertical="center"/>
    </xf>
    <xf numFmtId="0" fontId="31" fillId="2" borderId="52" xfId="11" applyFont="1" applyFill="1" applyBorder="1" applyAlignment="1">
      <alignment horizontal="left" vertical="top"/>
    </xf>
    <xf numFmtId="0" fontId="31" fillId="2" borderId="89" xfId="11" applyFont="1" applyFill="1" applyBorder="1" applyAlignment="1">
      <alignment horizontal="left" vertical="top"/>
    </xf>
    <xf numFmtId="0" fontId="34" fillId="0" borderId="43" xfId="11" applyFont="1" applyBorder="1" applyAlignment="1">
      <alignment horizontal="center" vertical="center"/>
    </xf>
    <xf numFmtId="0" fontId="34" fillId="0" borderId="44" xfId="11" applyFont="1" applyBorder="1" applyAlignment="1">
      <alignment horizontal="center" vertical="center"/>
    </xf>
    <xf numFmtId="0" fontId="31" fillId="0" borderId="44" xfId="11" applyFont="1" applyBorder="1" applyAlignment="1">
      <alignment horizontal="center" vertical="center"/>
    </xf>
    <xf numFmtId="0" fontId="31" fillId="0" borderId="46" xfId="11" applyFont="1" applyBorder="1" applyAlignment="1">
      <alignment horizontal="center" vertical="center"/>
    </xf>
    <xf numFmtId="0" fontId="31" fillId="0" borderId="27" xfId="11" applyFont="1" applyBorder="1" applyAlignment="1">
      <alignment horizontal="left"/>
    </xf>
    <xf numFmtId="0" fontId="31" fillId="0" borderId="23" xfId="11" applyFont="1" applyBorder="1" applyAlignment="1">
      <alignment horizontal="left"/>
    </xf>
    <xf numFmtId="0" fontId="34" fillId="0" borderId="25" xfId="11" applyFont="1" applyBorder="1" applyAlignment="1">
      <alignment horizontal="left" vertical="center"/>
    </xf>
    <xf numFmtId="0" fontId="34" fillId="0" borderId="55" xfId="11" applyFont="1" applyBorder="1" applyAlignment="1">
      <alignment horizontal="center" vertical="center"/>
    </xf>
    <xf numFmtId="0" fontId="34" fillId="0" borderId="39" xfId="11" applyFont="1" applyBorder="1" applyAlignment="1">
      <alignment horizontal="center" vertical="center"/>
    </xf>
    <xf numFmtId="0" fontId="26" fillId="0" borderId="0" xfId="11" applyFont="1" applyAlignment="1">
      <alignment horizontal="center" wrapText="1"/>
    </xf>
    <xf numFmtId="0" fontId="26" fillId="0" borderId="1" xfId="11" applyFont="1" applyBorder="1" applyAlignment="1">
      <alignment horizontal="center" wrapText="1"/>
    </xf>
    <xf numFmtId="0" fontId="31" fillId="0" borderId="18" xfId="11" applyFont="1" applyBorder="1" applyAlignment="1">
      <alignment horizontal="center" vertical="center"/>
    </xf>
    <xf numFmtId="0" fontId="31" fillId="0" borderId="70" xfId="11" applyFont="1" applyBorder="1" applyAlignment="1">
      <alignment horizontal="center" vertical="center"/>
    </xf>
    <xf numFmtId="0" fontId="34" fillId="0" borderId="5" xfId="11" applyFont="1" applyBorder="1" applyAlignment="1">
      <alignment horizontal="left" vertical="center" wrapText="1"/>
    </xf>
    <xf numFmtId="0" fontId="34" fillId="0" borderId="0" xfId="11" applyFont="1" applyAlignment="1">
      <alignment horizontal="left" vertical="center" wrapText="1"/>
    </xf>
    <xf numFmtId="0" fontId="34" fillId="0" borderId="54" xfId="11" applyFont="1" applyBorder="1" applyAlignment="1">
      <alignment horizontal="center" vertical="center" wrapText="1"/>
    </xf>
    <xf numFmtId="0" fontId="34" fillId="0" borderId="38" xfId="11" applyFont="1" applyBorder="1" applyAlignment="1">
      <alignment horizontal="center" vertical="center" wrapText="1"/>
    </xf>
    <xf numFmtId="0" fontId="34" fillId="0" borderId="54" xfId="11" applyFont="1" applyBorder="1" applyAlignment="1">
      <alignment horizontal="center" vertical="center"/>
    </xf>
    <xf numFmtId="0" fontId="34" fillId="0" borderId="38" xfId="11" applyFont="1" applyBorder="1" applyAlignment="1">
      <alignment horizontal="center" vertical="center"/>
    </xf>
    <xf numFmtId="0" fontId="76" fillId="16" borderId="0" xfId="20" applyFont="1" applyFill="1" applyAlignment="1">
      <alignment horizontal="center" vertical="center" wrapText="1"/>
    </xf>
    <xf numFmtId="0" fontId="76" fillId="0" borderId="30" xfId="20" applyFont="1" applyBorder="1" applyAlignment="1">
      <alignment horizontal="center" vertical="center" wrapText="1"/>
    </xf>
    <xf numFmtId="0" fontId="76" fillId="0" borderId="35" xfId="20" applyFont="1" applyBorder="1" applyAlignment="1">
      <alignment horizontal="center" vertical="center" wrapText="1"/>
    </xf>
    <xf numFmtId="0" fontId="76" fillId="0" borderId="110" xfId="20" applyFont="1" applyBorder="1" applyAlignment="1">
      <alignment horizontal="center" vertical="center" wrapText="1"/>
    </xf>
    <xf numFmtId="0" fontId="73" fillId="0" borderId="0" xfId="20" applyFont="1" applyAlignment="1">
      <alignment horizontal="left" vertical="center"/>
    </xf>
    <xf numFmtId="0" fontId="73" fillId="0" borderId="35" xfId="21" quotePrefix="1" applyFont="1" applyBorder="1" applyAlignment="1">
      <alignment horizontal="left"/>
    </xf>
    <xf numFmtId="0" fontId="16" fillId="0" borderId="35" xfId="20" applyFont="1" applyBorder="1"/>
    <xf numFmtId="0" fontId="16" fillId="0" borderId="35" xfId="20" applyFont="1" applyBorder="1" applyAlignment="1">
      <alignment vertical="center"/>
    </xf>
    <xf numFmtId="0" fontId="16" fillId="0" borderId="0" xfId="20" applyFont="1" applyAlignment="1">
      <alignment horizontal="left" vertical="center" wrapText="1"/>
    </xf>
    <xf numFmtId="0" fontId="16" fillId="0" borderId="37" xfId="20" applyFont="1" applyBorder="1" applyAlignment="1">
      <alignment horizontal="left" vertical="center" wrapText="1"/>
    </xf>
    <xf numFmtId="0" fontId="16" fillId="0" borderId="50" xfId="20" applyFont="1" applyBorder="1" applyAlignment="1">
      <alignment horizontal="left" vertical="center" wrapText="1"/>
    </xf>
    <xf numFmtId="0" fontId="16" fillId="0" borderId="112" xfId="20" applyFont="1" applyBorder="1" applyAlignment="1">
      <alignment horizontal="left" vertical="center" wrapText="1"/>
    </xf>
    <xf numFmtId="0" fontId="16" fillId="0" borderId="35" xfId="20" applyFont="1" applyBorder="1" applyAlignment="1">
      <alignment horizontal="center" vertical="center" wrapText="1"/>
    </xf>
    <xf numFmtId="0" fontId="16" fillId="0" borderId="72" xfId="20" applyFont="1" applyBorder="1" applyAlignment="1">
      <alignment horizontal="center" vertical="center" wrapText="1"/>
    </xf>
    <xf numFmtId="0" fontId="16" fillId="0" borderId="109" xfId="20" applyFont="1" applyBorder="1" applyAlignment="1">
      <alignment horizontal="left" vertical="center" wrapText="1"/>
    </xf>
    <xf numFmtId="0" fontId="16" fillId="0" borderId="72" xfId="20" applyFont="1" applyBorder="1" applyAlignment="1">
      <alignment horizontal="left" vertical="center" wrapText="1"/>
    </xf>
    <xf numFmtId="0" fontId="16" fillId="6" borderId="30" xfId="20" applyFont="1" applyFill="1" applyBorder="1" applyAlignment="1">
      <alignment horizontal="left" vertical="center" wrapText="1"/>
    </xf>
    <xf numFmtId="0" fontId="16" fillId="6" borderId="35" xfId="20" applyFont="1" applyFill="1" applyBorder="1" applyAlignment="1">
      <alignment horizontal="left" vertical="center" wrapText="1"/>
    </xf>
    <xf numFmtId="0" fontId="16" fillId="6" borderId="110" xfId="20" applyFont="1" applyFill="1" applyBorder="1" applyAlignment="1">
      <alignment horizontal="left" vertical="center" wrapText="1"/>
    </xf>
    <xf numFmtId="0" fontId="16" fillId="0" borderId="111" xfId="20" applyFont="1" applyBorder="1" applyAlignment="1">
      <alignment horizontal="left" vertical="center" wrapText="1"/>
    </xf>
    <xf numFmtId="0" fontId="16" fillId="0" borderId="38" xfId="20" applyFont="1" applyBorder="1" applyAlignment="1">
      <alignment horizontal="left" vertical="center" wrapText="1"/>
    </xf>
    <xf numFmtId="0" fontId="76" fillId="8" borderId="0" xfId="20" applyFont="1" applyFill="1" applyAlignment="1">
      <alignment horizontal="center" vertical="center" wrapText="1"/>
    </xf>
    <xf numFmtId="0" fontId="16" fillId="0" borderId="35" xfId="20" applyFont="1" applyBorder="1" applyAlignment="1">
      <alignment horizontal="left" vertical="center" wrapText="1"/>
    </xf>
    <xf numFmtId="0" fontId="16" fillId="0" borderId="37" xfId="20" applyFont="1" applyBorder="1" applyAlignment="1">
      <alignment horizontal="center" vertical="center" wrapText="1"/>
    </xf>
    <xf numFmtId="0" fontId="16" fillId="0" borderId="50" xfId="20" applyFont="1" applyBorder="1" applyAlignment="1">
      <alignment horizontal="center" vertical="center" wrapText="1"/>
    </xf>
    <xf numFmtId="0" fontId="16" fillId="0" borderId="38" xfId="20" applyFont="1" applyBorder="1" applyAlignment="1">
      <alignment horizontal="center" vertical="center" wrapText="1"/>
    </xf>
    <xf numFmtId="0" fontId="16" fillId="0" borderId="30" xfId="20" applyFont="1" applyBorder="1" applyAlignment="1">
      <alignment horizontal="center" vertical="center" wrapText="1"/>
    </xf>
    <xf numFmtId="0" fontId="43" fillId="0" borderId="55" xfId="1" applyFont="1" applyBorder="1" applyAlignment="1">
      <alignment horizontal="left"/>
    </xf>
    <xf numFmtId="0" fontId="43" fillId="0" borderId="77" xfId="1" applyFont="1" applyBorder="1" applyAlignment="1">
      <alignment horizontal="left"/>
    </xf>
    <xf numFmtId="0" fontId="43" fillId="0" borderId="39" xfId="1" applyFont="1" applyBorder="1" applyAlignment="1">
      <alignment horizontal="left"/>
    </xf>
    <xf numFmtId="2" fontId="26" fillId="0" borderId="52" xfId="0" applyNumberFormat="1" applyFont="1" applyBorder="1" applyAlignment="1">
      <alignment horizontal="center" vertical="center"/>
    </xf>
    <xf numFmtId="2" fontId="26" fillId="0" borderId="89" xfId="0" applyNumberFormat="1" applyFont="1" applyBorder="1" applyAlignment="1">
      <alignment horizontal="center" vertical="center"/>
    </xf>
    <xf numFmtId="2" fontId="26" fillId="0" borderId="97" xfId="0" applyNumberFormat="1" applyFont="1" applyBorder="1" applyAlignment="1">
      <alignment horizontal="center" vertical="center"/>
    </xf>
    <xf numFmtId="3" fontId="26" fillId="0" borderId="49" xfId="0" applyNumberFormat="1" applyFont="1" applyBorder="1" applyAlignment="1">
      <alignment horizontal="center" vertical="center"/>
    </xf>
    <xf numFmtId="3" fontId="26" fillId="0" borderId="93" xfId="0" applyNumberFormat="1" applyFont="1" applyBorder="1" applyAlignment="1">
      <alignment horizontal="center" vertical="center"/>
    </xf>
    <xf numFmtId="3" fontId="26" fillId="0" borderId="81" xfId="0" applyNumberFormat="1" applyFont="1" applyBorder="1" applyAlignment="1">
      <alignment horizontal="center" vertical="center"/>
    </xf>
    <xf numFmtId="0" fontId="26" fillId="0" borderId="45" xfId="0" applyFont="1" applyBorder="1" applyAlignment="1">
      <alignment horizontal="right" vertical="center"/>
    </xf>
    <xf numFmtId="0" fontId="26" fillId="0" borderId="31" xfId="0" applyFont="1" applyBorder="1" applyAlignment="1">
      <alignment horizontal="right" vertical="center"/>
    </xf>
    <xf numFmtId="0" fontId="26" fillId="0" borderId="30" xfId="0" applyFont="1" applyBorder="1" applyAlignment="1">
      <alignment horizontal="right" vertical="center"/>
    </xf>
    <xf numFmtId="0" fontId="26" fillId="0" borderId="33" xfId="0" applyFont="1" applyBorder="1" applyAlignment="1">
      <alignment horizontal="left" vertical="center"/>
    </xf>
    <xf numFmtId="0" fontId="26" fillId="0" borderId="0" xfId="0" applyFont="1" applyAlignment="1">
      <alignment horizontal="left" vertical="center"/>
    </xf>
    <xf numFmtId="0" fontId="26" fillId="0" borderId="35" xfId="0" applyFont="1" applyBorder="1" applyAlignment="1">
      <alignment horizontal="left" vertical="center"/>
    </xf>
    <xf numFmtId="2" fontId="26" fillId="0" borderId="45" xfId="0" applyNumberFormat="1" applyFont="1" applyBorder="1" applyAlignment="1">
      <alignment horizontal="right" vertical="center"/>
    </xf>
    <xf numFmtId="2" fontId="26" fillId="0" borderId="31" xfId="0" applyNumberFormat="1" applyFont="1" applyBorder="1" applyAlignment="1">
      <alignment horizontal="right" vertical="center"/>
    </xf>
    <xf numFmtId="2" fontId="26" fillId="0" borderId="30" xfId="0" applyNumberFormat="1" applyFont="1" applyBorder="1" applyAlignment="1">
      <alignment horizontal="right" vertical="center"/>
    </xf>
    <xf numFmtId="0" fontId="26" fillId="0" borderId="90" xfId="0" applyFont="1" applyBorder="1" applyAlignment="1">
      <alignment horizontal="left" vertical="center"/>
    </xf>
    <xf numFmtId="0" fontId="26" fillId="0" borderId="7" xfId="0" applyFont="1" applyBorder="1" applyAlignment="1">
      <alignment horizontal="left" vertical="center"/>
    </xf>
    <xf numFmtId="0" fontId="26" fillId="0" borderId="73" xfId="0" applyFont="1" applyBorder="1" applyAlignment="1">
      <alignment horizontal="left" vertical="center"/>
    </xf>
    <xf numFmtId="0" fontId="26" fillId="0" borderId="31" xfId="0" applyFont="1" applyBorder="1" applyAlignment="1">
      <alignment horizontal="left" wrapText="1"/>
    </xf>
    <xf numFmtId="0" fontId="26" fillId="0" borderId="30" xfId="0" applyFont="1" applyBorder="1" applyAlignment="1">
      <alignment horizontal="left" wrapText="1"/>
    </xf>
    <xf numFmtId="0" fontId="26" fillId="0" borderId="35" xfId="0" applyFont="1" applyBorder="1" applyAlignment="1">
      <alignment horizontal="left" wrapText="1"/>
    </xf>
    <xf numFmtId="2" fontId="26" fillId="0" borderId="0" xfId="0" applyNumberFormat="1" applyFont="1" applyAlignment="1">
      <alignment horizontal="left" wrapText="1"/>
    </xf>
    <xf numFmtId="0" fontId="26" fillId="0" borderId="45" xfId="0" applyFont="1" applyBorder="1" applyAlignment="1">
      <alignment horizontal="left" wrapText="1"/>
    </xf>
    <xf numFmtId="0" fontId="26" fillId="0" borderId="33" xfId="0" applyFont="1" applyBorder="1" applyAlignment="1">
      <alignment horizontal="left" wrapText="1"/>
    </xf>
    <xf numFmtId="168" fontId="34" fillId="0" borderId="1" xfId="7" applyNumberFormat="1" applyFont="1" applyBorder="1" applyAlignment="1" applyProtection="1">
      <alignment horizontal="left" wrapText="1"/>
      <protection locked="0"/>
    </xf>
    <xf numFmtId="168" fontId="34" fillId="0" borderId="0" xfId="7" applyNumberFormat="1" applyFont="1" applyAlignment="1" applyProtection="1">
      <alignment horizontal="left" wrapText="1"/>
      <protection locked="0"/>
    </xf>
    <xf numFmtId="168" fontId="34" fillId="0" borderId="7" xfId="7" applyNumberFormat="1" applyFont="1" applyBorder="1" applyAlignment="1" applyProtection="1">
      <alignment horizontal="left" wrapText="1"/>
      <protection locked="0"/>
    </xf>
    <xf numFmtId="168" fontId="34" fillId="0" borderId="2" xfId="7" applyNumberFormat="1" applyFont="1" applyBorder="1" applyAlignment="1" applyProtection="1">
      <alignment horizontal="left" wrapText="1"/>
      <protection locked="0"/>
    </xf>
    <xf numFmtId="168" fontId="34" fillId="0" borderId="3" xfId="7" applyNumberFormat="1" applyFont="1" applyBorder="1" applyAlignment="1" applyProtection="1">
      <alignment horizontal="left" wrapText="1"/>
      <protection locked="0"/>
    </xf>
    <xf numFmtId="168" fontId="34" fillId="0" borderId="8" xfId="7" applyNumberFormat="1" applyFont="1" applyBorder="1" applyAlignment="1" applyProtection="1">
      <alignment horizontal="left" wrapText="1"/>
      <protection locked="0"/>
    </xf>
    <xf numFmtId="0" fontId="28" fillId="0" borderId="19" xfId="0" applyFont="1" applyBorder="1" applyAlignment="1">
      <alignment horizontal="center"/>
    </xf>
    <xf numFmtId="0" fontId="28" fillId="0" borderId="20" xfId="0" applyFont="1" applyBorder="1" applyAlignment="1">
      <alignment horizontal="center"/>
    </xf>
    <xf numFmtId="0" fontId="28" fillId="0" borderId="28" xfId="0" applyFont="1" applyBorder="1" applyAlignment="1">
      <alignment horizontal="center"/>
    </xf>
    <xf numFmtId="0" fontId="28" fillId="0" borderId="41" xfId="0" applyFont="1" applyBorder="1" applyAlignment="1">
      <alignment horizontal="center"/>
    </xf>
    <xf numFmtId="0" fontId="28" fillId="0" borderId="4" xfId="0" applyFont="1" applyBorder="1" applyAlignment="1">
      <alignment horizontal="center"/>
    </xf>
    <xf numFmtId="0" fontId="28" fillId="0" borderId="5" xfId="0" applyFont="1" applyBorder="1" applyAlignment="1">
      <alignment horizontal="center"/>
    </xf>
    <xf numFmtId="0" fontId="28" fillId="0" borderId="6" xfId="0" applyFont="1" applyBorder="1" applyAlignment="1">
      <alignment horizontal="center"/>
    </xf>
    <xf numFmtId="0" fontId="28" fillId="0" borderId="53" xfId="0" applyFont="1" applyBorder="1" applyAlignment="1">
      <alignment horizontal="left"/>
    </xf>
    <xf numFmtId="0" fontId="28" fillId="0" borderId="76" xfId="0" applyFont="1" applyBorder="1" applyAlignment="1">
      <alignment horizontal="left"/>
    </xf>
    <xf numFmtId="0" fontId="28" fillId="0" borderId="71" xfId="0" applyFont="1" applyBorder="1" applyAlignment="1">
      <alignment horizontal="left"/>
    </xf>
    <xf numFmtId="0" fontId="26" fillId="6" borderId="21" xfId="0" applyFont="1" applyFill="1" applyBorder="1" applyAlignment="1">
      <alignment horizontal="left" vertical="center"/>
    </xf>
    <xf numFmtId="0" fontId="26" fillId="7" borderId="22" xfId="0" applyFont="1" applyFill="1" applyBorder="1" applyAlignment="1">
      <alignment horizontal="left" vertical="center"/>
    </xf>
    <xf numFmtId="0" fontId="28" fillId="0" borderId="10" xfId="0" applyFont="1" applyBorder="1" applyAlignment="1">
      <alignment horizontal="center"/>
    </xf>
    <xf numFmtId="0" fontId="28" fillId="0" borderId="9" xfId="0" applyFont="1" applyBorder="1" applyAlignment="1">
      <alignment horizontal="left" wrapText="1"/>
    </xf>
    <xf numFmtId="0" fontId="28" fillId="0" borderId="10" xfId="0" applyFont="1" applyBorder="1" applyAlignment="1">
      <alignment horizontal="left" wrapText="1"/>
    </xf>
    <xf numFmtId="0" fontId="28" fillId="0" borderId="11" xfId="0" applyFont="1" applyBorder="1" applyAlignment="1">
      <alignment horizontal="left" wrapText="1"/>
    </xf>
    <xf numFmtId="0" fontId="28" fillId="0" borderId="9" xfId="0" applyFont="1" applyBorder="1" applyAlignment="1">
      <alignment horizontal="center" wrapText="1"/>
    </xf>
    <xf numFmtId="0" fontId="28" fillId="0" borderId="11" xfId="0" applyFont="1" applyBorder="1" applyAlignment="1">
      <alignment horizontal="center" wrapText="1"/>
    </xf>
    <xf numFmtId="0" fontId="28" fillId="0" borderId="10" xfId="0" applyFont="1" applyBorder="1" applyAlignment="1">
      <alignment horizontal="center" wrapText="1"/>
    </xf>
    <xf numFmtId="0" fontId="25" fillId="0" borderId="4" xfId="15" applyFont="1" applyBorder="1" applyAlignment="1">
      <alignment horizontal="center" wrapText="1"/>
    </xf>
    <xf numFmtId="0" fontId="25" fillId="0" borderId="5" xfId="15" applyFont="1" applyBorder="1" applyAlignment="1">
      <alignment horizontal="center" wrapText="1"/>
    </xf>
    <xf numFmtId="0" fontId="25" fillId="0" borderId="6" xfId="15" applyFont="1" applyBorder="1" applyAlignment="1">
      <alignment horizontal="center" wrapText="1"/>
    </xf>
    <xf numFmtId="0" fontId="25" fillId="0" borderId="2" xfId="15" applyFont="1" applyBorder="1" applyAlignment="1">
      <alignment horizontal="center" wrapText="1"/>
    </xf>
    <xf numFmtId="0" fontId="25" fillId="0" borderId="3" xfId="15" applyFont="1" applyBorder="1" applyAlignment="1">
      <alignment horizontal="center" wrapText="1"/>
    </xf>
    <xf numFmtId="0" fontId="25" fillId="0" borderId="8" xfId="15" applyFont="1" applyBorder="1" applyAlignment="1">
      <alignment horizontal="center" wrapText="1"/>
    </xf>
    <xf numFmtId="0" fontId="26" fillId="0" borderId="35" xfId="0" applyFont="1" applyBorder="1" applyAlignment="1">
      <alignment horizontal="center"/>
    </xf>
    <xf numFmtId="0" fontId="26" fillId="0" borderId="5" xfId="0" applyFont="1" applyBorder="1" applyAlignment="1">
      <alignment horizontal="left" wrapText="1"/>
    </xf>
    <xf numFmtId="0" fontId="25" fillId="0" borderId="14" xfId="15" applyFont="1" applyBorder="1" applyAlignment="1">
      <alignment horizontal="right"/>
    </xf>
    <xf numFmtId="0" fontId="25" fillId="0" borderId="15" xfId="15" applyFont="1" applyBorder="1" applyAlignment="1">
      <alignment horizontal="right"/>
    </xf>
    <xf numFmtId="0" fontId="31" fillId="0" borderId="0" xfId="0" applyFont="1" applyAlignment="1">
      <alignment horizontal="left" vertical="top" wrapText="1"/>
    </xf>
    <xf numFmtId="0" fontId="26" fillId="0" borderId="0" xfId="11" applyFont="1" applyAlignment="1">
      <alignment horizontal="left" vertical="top" wrapText="1"/>
    </xf>
    <xf numFmtId="0" fontId="28" fillId="0" borderId="9" xfId="11" applyFont="1" applyBorder="1" applyAlignment="1">
      <alignment horizontal="center"/>
    </xf>
    <xf numFmtId="0" fontId="28" fillId="0" borderId="10" xfId="11" applyFont="1" applyBorder="1" applyAlignment="1">
      <alignment horizontal="center"/>
    </xf>
    <xf numFmtId="0" fontId="28" fillId="0" borderId="11" xfId="11" applyFont="1" applyBorder="1" applyAlignment="1">
      <alignment horizontal="center"/>
    </xf>
    <xf numFmtId="0" fontId="26" fillId="0" borderId="21" xfId="0" applyFont="1" applyBorder="1" applyAlignment="1">
      <alignment horizontal="right"/>
    </xf>
    <xf numFmtId="0" fontId="26" fillId="0" borderId="22" xfId="0" applyFont="1" applyBorder="1" applyAlignment="1">
      <alignment horizontal="right"/>
    </xf>
    <xf numFmtId="2" fontId="34" fillId="0" borderId="24" xfId="11" applyNumberFormat="1" applyFont="1" applyBorder="1" applyAlignment="1">
      <alignment horizontal="right"/>
    </xf>
    <xf numFmtId="2" fontId="34" fillId="0" borderId="17" xfId="11" applyNumberFormat="1" applyFont="1" applyBorder="1" applyAlignment="1">
      <alignment horizontal="right"/>
    </xf>
    <xf numFmtId="0" fontId="26" fillId="0" borderId="5" xfId="0" applyFont="1" applyBorder="1" applyAlignment="1">
      <alignment horizontal="left" vertical="top" wrapText="1"/>
    </xf>
    <xf numFmtId="0" fontId="36" fillId="0" borderId="5" xfId="0" applyFont="1" applyBorder="1" applyAlignment="1">
      <alignment horizontal="left" wrapText="1"/>
    </xf>
    <xf numFmtId="0" fontId="36" fillId="0" borderId="0" xfId="0" applyFont="1" applyAlignment="1">
      <alignment horizontal="left" wrapText="1"/>
    </xf>
    <xf numFmtId="0" fontId="31" fillId="0" borderId="0" xfId="0" applyFont="1" applyAlignment="1">
      <alignment vertical="top" wrapText="1"/>
    </xf>
    <xf numFmtId="2" fontId="28" fillId="0" borderId="37" xfId="11" applyNumberFormat="1" applyFont="1" applyBorder="1" applyAlignment="1">
      <alignment horizontal="center" wrapText="1"/>
    </xf>
    <xf numFmtId="2" fontId="28" fillId="0" borderId="38" xfId="11" applyNumberFormat="1" applyFont="1" applyBorder="1" applyAlignment="1">
      <alignment horizontal="center" wrapText="1"/>
    </xf>
    <xf numFmtId="0" fontId="26" fillId="0" borderId="53" xfId="0" applyFont="1" applyBorder="1" applyAlignment="1">
      <alignment horizontal="right" wrapText="1"/>
    </xf>
    <xf numFmtId="0" fontId="26" fillId="0" borderId="76" xfId="0" applyFont="1" applyBorder="1" applyAlignment="1">
      <alignment horizontal="right" wrapText="1"/>
    </xf>
    <xf numFmtId="0" fontId="26" fillId="0" borderId="41" xfId="0" applyFont="1" applyBorder="1" applyAlignment="1">
      <alignment horizontal="right" wrapText="1"/>
    </xf>
    <xf numFmtId="2" fontId="34" fillId="0" borderId="2" xfId="11" applyNumberFormat="1" applyFont="1" applyBorder="1" applyAlignment="1">
      <alignment horizontal="right"/>
    </xf>
    <xf numFmtId="2" fontId="34" fillId="0" borderId="3" xfId="11" applyNumberFormat="1" applyFont="1" applyBorder="1" applyAlignment="1">
      <alignment horizontal="right"/>
    </xf>
    <xf numFmtId="2" fontId="34" fillId="0" borderId="75" xfId="11" applyNumberFormat="1" applyFont="1" applyBorder="1" applyAlignment="1">
      <alignment horizontal="right"/>
    </xf>
    <xf numFmtId="0" fontId="27" fillId="0" borderId="0" xfId="0" applyFont="1" applyAlignment="1">
      <alignment horizontal="left" wrapText="1"/>
    </xf>
    <xf numFmtId="0" fontId="28" fillId="0" borderId="48" xfId="11" applyFont="1" applyBorder="1" applyAlignment="1">
      <alignment horizontal="center"/>
    </xf>
    <xf numFmtId="0" fontId="28" fillId="0" borderId="49" xfId="11" applyFont="1" applyBorder="1" applyAlignment="1">
      <alignment horizontal="center"/>
    </xf>
    <xf numFmtId="0" fontId="28" fillId="0" borderId="52" xfId="11" applyFont="1" applyBorder="1" applyAlignment="1">
      <alignment horizontal="center"/>
    </xf>
    <xf numFmtId="175" fontId="26" fillId="0" borderId="44" xfId="0" applyNumberFormat="1" applyFont="1" applyBorder="1" applyAlignment="1">
      <alignment horizontal="center" vertical="center"/>
    </xf>
    <xf numFmtId="175" fontId="26" fillId="0" borderId="93" xfId="0" applyNumberFormat="1" applyFont="1" applyBorder="1" applyAlignment="1">
      <alignment horizontal="center" vertical="center"/>
    </xf>
    <xf numFmtId="175" fontId="26" fillId="0" borderId="81" xfId="0" applyNumberFormat="1" applyFont="1" applyBorder="1" applyAlignment="1">
      <alignment horizontal="center" vertical="center"/>
    </xf>
    <xf numFmtId="0" fontId="26" fillId="0" borderId="43" xfId="11" applyFont="1" applyBorder="1" applyAlignment="1">
      <alignment horizontal="center" vertical="top" wrapText="1"/>
    </xf>
    <xf numFmtId="0" fontId="26" fillId="0" borderId="80" xfId="11" applyFont="1" applyBorder="1" applyAlignment="1">
      <alignment horizontal="center" vertical="top" wrapText="1"/>
    </xf>
    <xf numFmtId="0" fontId="28" fillId="2" borderId="76" xfId="11" applyFont="1" applyFill="1" applyBorder="1" applyAlignment="1">
      <alignment horizontal="center" vertical="top"/>
    </xf>
    <xf numFmtId="0" fontId="28" fillId="2" borderId="71" xfId="11" applyFont="1" applyFill="1" applyBorder="1" applyAlignment="1">
      <alignment horizontal="center" vertical="top"/>
    </xf>
    <xf numFmtId="0" fontId="28" fillId="2" borderId="53" xfId="11" applyFont="1" applyFill="1" applyBorder="1" applyAlignment="1">
      <alignment horizontal="center" vertical="top"/>
    </xf>
    <xf numFmtId="0" fontId="26" fillId="0" borderId="88" xfId="11" applyFont="1" applyBorder="1" applyAlignment="1">
      <alignment horizontal="center" vertical="top" wrapText="1"/>
    </xf>
    <xf numFmtId="0" fontId="26" fillId="0" borderId="29" xfId="11" applyFont="1" applyBorder="1" applyAlignment="1">
      <alignment horizontal="center" vertical="top" wrapText="1"/>
    </xf>
    <xf numFmtId="0" fontId="28" fillId="2" borderId="53" xfId="11" applyFont="1" applyFill="1" applyBorder="1" applyAlignment="1">
      <alignment horizontal="center" vertical="top" wrapText="1"/>
    </xf>
    <xf numFmtId="0" fontId="28" fillId="2" borderId="76" xfId="11" applyFont="1" applyFill="1" applyBorder="1" applyAlignment="1">
      <alignment horizontal="center" vertical="top" wrapText="1"/>
    </xf>
    <xf numFmtId="0" fontId="28" fillId="2" borderId="71" xfId="11" applyFont="1" applyFill="1" applyBorder="1" applyAlignment="1">
      <alignment horizontal="center" vertical="top" wrapText="1"/>
    </xf>
    <xf numFmtId="173" fontId="60" fillId="0" borderId="21" xfId="17" quotePrefix="1" applyNumberFormat="1" applyFont="1" applyBorder="1" applyAlignment="1">
      <alignment horizontal="center" vertical="top" wrapText="1"/>
    </xf>
    <xf numFmtId="173" fontId="60" fillId="0" borderId="22" xfId="17" quotePrefix="1" applyNumberFormat="1" applyFont="1" applyBorder="1" applyAlignment="1">
      <alignment horizontal="center" vertical="top" wrapText="1"/>
    </xf>
    <xf numFmtId="173" fontId="60" fillId="0" borderId="23" xfId="17" quotePrefix="1" applyNumberFormat="1" applyFont="1" applyBorder="1" applyAlignment="1">
      <alignment horizontal="center" vertical="top" wrapText="1"/>
    </xf>
    <xf numFmtId="0" fontId="61" fillId="2" borderId="53" xfId="0" applyFont="1" applyFill="1" applyBorder="1" applyAlignment="1">
      <alignment horizontal="center" vertical="center"/>
    </xf>
    <xf numFmtId="0" fontId="61" fillId="2" borderId="76" xfId="0" applyFont="1" applyFill="1" applyBorder="1" applyAlignment="1">
      <alignment horizontal="center" vertical="center"/>
    </xf>
    <xf numFmtId="0" fontId="26" fillId="0" borderId="5" xfId="11" applyFont="1" applyBorder="1" applyAlignment="1">
      <alignment horizontal="left" vertical="top" wrapText="1"/>
    </xf>
    <xf numFmtId="11" fontId="34" fillId="4" borderId="45" xfId="0" applyNumberFormat="1" applyFont="1" applyFill="1" applyBorder="1" applyAlignment="1" applyProtection="1">
      <alignment horizontal="left" wrapText="1"/>
      <protection locked="0"/>
    </xf>
    <xf numFmtId="11" fontId="34" fillId="4" borderId="33" xfId="0" applyNumberFormat="1" applyFont="1" applyFill="1" applyBorder="1" applyAlignment="1" applyProtection="1">
      <alignment horizontal="left" wrapText="1"/>
      <protection locked="0"/>
    </xf>
    <xf numFmtId="11" fontId="34" fillId="4" borderId="47" xfId="0" applyNumberFormat="1" applyFont="1" applyFill="1" applyBorder="1" applyAlignment="1" applyProtection="1">
      <alignment horizontal="left" wrapText="1"/>
      <protection locked="0"/>
    </xf>
    <xf numFmtId="11" fontId="34" fillId="4" borderId="30" xfId="0" applyNumberFormat="1" applyFont="1" applyFill="1" applyBorder="1" applyAlignment="1" applyProtection="1">
      <alignment horizontal="left" wrapText="1"/>
      <protection locked="0"/>
    </xf>
    <xf numFmtId="11" fontId="34" fillId="4" borderId="35" xfId="0" applyNumberFormat="1" applyFont="1" applyFill="1" applyBorder="1" applyAlignment="1" applyProtection="1">
      <alignment horizontal="left" wrapText="1"/>
      <protection locked="0"/>
    </xf>
    <xf numFmtId="11" fontId="34" fillId="4" borderId="72" xfId="0" applyNumberFormat="1" applyFont="1" applyFill="1" applyBorder="1" applyAlignment="1" applyProtection="1">
      <alignment horizontal="left" wrapText="1"/>
      <protection locked="0"/>
    </xf>
    <xf numFmtId="0" fontId="28" fillId="0" borderId="2" xfId="0" applyFont="1" applyBorder="1" applyAlignment="1">
      <alignment horizontal="center"/>
    </xf>
    <xf numFmtId="0" fontId="28" fillId="0" borderId="3" xfId="0" applyFont="1" applyBorder="1" applyAlignment="1">
      <alignment horizontal="center"/>
    </xf>
    <xf numFmtId="0" fontId="28" fillId="0" borderId="8" xfId="0" applyFont="1" applyBorder="1" applyAlignment="1">
      <alignment horizontal="center"/>
    </xf>
    <xf numFmtId="0" fontId="28" fillId="0" borderId="0" xfId="0" applyFont="1" applyAlignment="1">
      <alignment horizontal="center"/>
    </xf>
    <xf numFmtId="0" fontId="28" fillId="0" borderId="1" xfId="0" applyFont="1" applyBorder="1" applyAlignment="1">
      <alignment horizontal="center"/>
    </xf>
    <xf numFmtId="0" fontId="28" fillId="0" borderId="4" xfId="0" applyFont="1" applyBorder="1" applyAlignment="1">
      <alignment horizontal="center" wrapText="1"/>
    </xf>
    <xf numFmtId="0" fontId="53" fillId="0" borderId="5" xfId="0" applyFont="1" applyBorder="1" applyAlignment="1">
      <alignment horizontal="center"/>
    </xf>
    <xf numFmtId="0" fontId="53" fillId="0" borderId="0" xfId="0" applyFont="1" applyAlignment="1">
      <alignment horizontal="center"/>
    </xf>
    <xf numFmtId="0" fontId="53" fillId="0" borderId="3"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26" fillId="0" borderId="8" xfId="0" applyFont="1" applyBorder="1" applyAlignment="1">
      <alignment horizontal="center"/>
    </xf>
    <xf numFmtId="0" fontId="28" fillId="0" borderId="0" xfId="0" applyFont="1" applyAlignment="1">
      <alignment horizontal="left" wrapText="1"/>
    </xf>
    <xf numFmtId="0" fontId="31" fillId="0" borderId="13" xfId="0" applyFont="1" applyBorder="1" applyAlignment="1">
      <alignment horizontal="center" wrapText="1"/>
    </xf>
    <xf numFmtId="0" fontId="31" fillId="0" borderId="99" xfId="0" applyFont="1" applyBorder="1" applyAlignment="1">
      <alignment horizontal="center" wrapText="1"/>
    </xf>
    <xf numFmtId="0" fontId="53" fillId="0" borderId="4" xfId="0" applyFont="1" applyBorder="1" applyAlignment="1">
      <alignment horizontal="center"/>
    </xf>
    <xf numFmtId="0" fontId="53" fillId="0" borderId="2" xfId="0" applyFont="1" applyBorder="1" applyAlignment="1">
      <alignment horizontal="center"/>
    </xf>
    <xf numFmtId="0" fontId="26" fillId="0" borderId="9" xfId="0" applyFont="1" applyBorder="1" applyAlignment="1">
      <alignment horizontal="center"/>
    </xf>
    <xf numFmtId="0" fontId="26" fillId="0" borderId="10" xfId="0" applyFont="1" applyBorder="1" applyAlignment="1">
      <alignment horizontal="center"/>
    </xf>
    <xf numFmtId="0" fontId="26" fillId="0" borderId="11" xfId="0" applyFont="1" applyBorder="1" applyAlignment="1">
      <alignment horizontal="center"/>
    </xf>
    <xf numFmtId="0" fontId="32" fillId="0" borderId="0" xfId="0" applyFont="1" applyAlignment="1">
      <alignment horizontal="left" wrapText="1"/>
    </xf>
    <xf numFmtId="0" fontId="28" fillId="0" borderId="0" xfId="0" quotePrefix="1" applyFont="1" applyAlignment="1">
      <alignment horizontal="left" wrapText="1"/>
    </xf>
    <xf numFmtId="0" fontId="31" fillId="0" borderId="0" xfId="0" applyFont="1" applyAlignment="1">
      <alignment horizontal="left" wrapText="1"/>
    </xf>
    <xf numFmtId="0" fontId="6" fillId="0" borderId="56" xfId="4" applyFont="1" applyBorder="1" applyAlignment="1">
      <alignment horizontal="left"/>
    </xf>
    <xf numFmtId="0" fontId="6" fillId="0" borderId="35" xfId="4" applyFont="1" applyBorder="1" applyAlignment="1">
      <alignment horizontal="left"/>
    </xf>
    <xf numFmtId="0" fontId="6" fillId="0" borderId="9" xfId="4" applyFont="1" applyBorder="1" applyAlignment="1">
      <alignment horizontal="left"/>
    </xf>
    <xf numFmtId="0" fontId="6" fillId="0" borderId="10" xfId="4" applyFont="1" applyBorder="1" applyAlignment="1">
      <alignment horizontal="left"/>
    </xf>
    <xf numFmtId="0" fontId="6" fillId="0" borderId="11" xfId="4" applyFont="1" applyBorder="1" applyAlignment="1">
      <alignment horizontal="left"/>
    </xf>
    <xf numFmtId="0" fontId="6" fillId="0" borderId="1" xfId="4" applyFont="1" applyBorder="1" applyAlignment="1">
      <alignment horizontal="left"/>
    </xf>
    <xf numFmtId="0" fontId="6" fillId="0" borderId="0" xfId="4" applyFont="1" applyAlignment="1">
      <alignment horizontal="left"/>
    </xf>
    <xf numFmtId="0" fontId="6" fillId="0" borderId="7" xfId="4" applyFont="1" applyBorder="1" applyAlignment="1">
      <alignment horizontal="left"/>
    </xf>
    <xf numFmtId="0" fontId="6" fillId="0" borderId="2" xfId="4" applyFont="1" applyBorder="1" applyAlignment="1">
      <alignment horizontal="left"/>
    </xf>
    <xf numFmtId="0" fontId="6" fillId="0" borderId="3" xfId="4" applyFont="1" applyBorder="1" applyAlignment="1">
      <alignment horizontal="left"/>
    </xf>
    <xf numFmtId="0" fontId="6" fillId="0" borderId="56" xfId="9" applyFont="1" applyBorder="1" applyAlignment="1">
      <alignment horizontal="left"/>
    </xf>
    <xf numFmtId="0" fontId="6" fillId="0" borderId="35" xfId="9" applyFont="1" applyBorder="1" applyAlignment="1">
      <alignment horizontal="left"/>
    </xf>
    <xf numFmtId="0" fontId="6" fillId="0" borderId="9" xfId="9" applyFont="1" applyBorder="1" applyAlignment="1">
      <alignment horizontal="left"/>
    </xf>
    <xf numFmtId="0" fontId="6" fillId="0" borderId="10" xfId="9" applyFont="1" applyBorder="1" applyAlignment="1">
      <alignment horizontal="left"/>
    </xf>
    <xf numFmtId="0" fontId="6" fillId="0" borderId="11" xfId="9" applyFont="1" applyBorder="1" applyAlignment="1">
      <alignment horizontal="left"/>
    </xf>
    <xf numFmtId="0" fontId="6" fillId="0" borderId="1" xfId="9" applyFont="1" applyBorder="1" applyAlignment="1">
      <alignment horizontal="left"/>
    </xf>
    <xf numFmtId="0" fontId="6" fillId="0" borderId="0" xfId="9" applyFont="1" applyAlignment="1">
      <alignment horizontal="left"/>
    </xf>
    <xf numFmtId="0" fontId="6" fillId="0" borderId="7" xfId="9" applyFont="1" applyBorder="1" applyAlignment="1">
      <alignment horizontal="left"/>
    </xf>
    <xf numFmtId="0" fontId="6" fillId="0" borderId="2" xfId="9" applyFont="1" applyBorder="1" applyAlignment="1">
      <alignment horizontal="left"/>
    </xf>
    <xf numFmtId="0" fontId="6" fillId="0" borderId="3" xfId="9" applyFont="1" applyBorder="1" applyAlignment="1">
      <alignment horizontal="left"/>
    </xf>
  </cellXfs>
  <cellStyles count="25">
    <cellStyle name="BIC Table Cell 1" xfId="18" xr:uid="{6DF7A4F1-E39F-45B2-BB77-DD05F9848626}"/>
    <cellStyle name="Comma 2" xfId="5" xr:uid="{15007681-8981-453F-9AC2-40DD98EF0F95}"/>
    <cellStyle name="Comma 3" xfId="10" xr:uid="{080118E3-8C71-48A9-96FE-E1556AF8F4B3}"/>
    <cellStyle name="Comma 4" xfId="12" xr:uid="{F440287A-7CE5-46F3-8CFB-17727C364B91}"/>
    <cellStyle name="Hyperlink" xfId="8" builtinId="8"/>
    <cellStyle name="Normal" xfId="0" builtinId="0"/>
    <cellStyle name="Normal 14" xfId="14" xr:uid="{4EEA60C1-A3E7-4E6C-8518-8F69C2422241}"/>
    <cellStyle name="Normal 2" xfId="1" xr:uid="{2C285274-5F17-4321-846B-DAA04EA81A8F}"/>
    <cellStyle name="Normal 3" xfId="4" xr:uid="{7597A4CE-C0AA-4679-AEA0-E0B3EDCCC2A7}"/>
    <cellStyle name="Normal 3 2" xfId="13" xr:uid="{6B61A51D-6B5F-40F1-B6D5-CF27395C5C07}"/>
    <cellStyle name="Normal 3 3" xfId="2" xr:uid="{E85A994E-3CC9-416F-A59B-270C05AB5102}"/>
    <cellStyle name="Normal 4" xfId="9" xr:uid="{E97B7EDE-80E7-4ABA-B227-976FA98865B1}"/>
    <cellStyle name="Normal 4 2" xfId="20" xr:uid="{F4C5DCE9-8B7E-43D0-8F5C-E651CA261C0C}"/>
    <cellStyle name="Normal 5" xfId="11" xr:uid="{733DF521-E23E-45E1-9132-A443AE08051E}"/>
    <cellStyle name="Normal 5 2" xfId="24" xr:uid="{0A2030B7-B7DE-4BB3-B459-9D4B6B85C3AA}"/>
    <cellStyle name="Normal 6" xfId="15" xr:uid="{4F71CE44-28B1-4A52-BE53-8271EA2558B6}"/>
    <cellStyle name="Normal 6 2" xfId="23" xr:uid="{70C8E626-C713-49EB-B537-18CF20497713}"/>
    <cellStyle name="Normal_Book2" xfId="21" xr:uid="{04B937A7-62B2-4657-AF7B-340D2374C844}"/>
    <cellStyle name="Normal_coal-ash calcs" xfId="7" xr:uid="{D598DEA3-FD70-4EA3-BCC5-CCC88EFDAC35}"/>
    <cellStyle name="Normal_EC02 -  Boilers" xfId="3" xr:uid="{0A4F6CF4-A020-43BB-8644-5571A86A5F31}"/>
    <cellStyle name="Normal_GI-07 (Project Emission Summary)" xfId="17" xr:uid="{857A6656-06AD-4783-BE60-F83F648E5001}"/>
    <cellStyle name="Normal_HAPs 2006-11-27" xfId="22" xr:uid="{F9F8DF3D-6E81-4D47-AA95-F8FC16F5EBC8}"/>
    <cellStyle name="Normal_Worksheet in GI-07 110306" xfId="19" xr:uid="{F02BEF13-A20C-479A-9993-95D3F089262B}"/>
    <cellStyle name="Percent" xfId="6" builtinId="5"/>
    <cellStyle name="Percent 2" xfId="16" xr:uid="{D11617BE-2B11-4983-BEB1-1C7CA39CA46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104775</xdr:colOff>
      <xdr:row>0</xdr:row>
      <xdr:rowOff>96015</xdr:rowOff>
    </xdr:from>
    <xdr:ext cx="2455402" cy="696039"/>
    <xdr:pic>
      <xdr:nvPicPr>
        <xdr:cNvPr id="2" name="Picture 1" descr="Minnesota Pollution Control Agency (MPCA), 520 Lafayette Road North, St. Paul, MN 55155-4194" title="Image of MPCA logo with St. Paul office address">
          <a:extLst>
            <a:ext uri="{FF2B5EF4-FFF2-40B4-BE49-F238E27FC236}">
              <a16:creationId xmlns:a16="http://schemas.microsoft.com/office/drawing/2014/main" id="{6CA05B5F-845B-4393-B942-7E04C23BEFA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96015"/>
          <a:ext cx="2455402" cy="696039"/>
        </a:xfrm>
        <a:prstGeom prst="rect">
          <a:avLst/>
        </a:prstGeom>
        <a:noFill/>
        <a:ln>
          <a:noFill/>
        </a:ln>
      </xdr:spPr>
    </xdr:pic>
    <xdr:clientData/>
  </xdr:oneCellAnchor>
  <xdr:oneCellAnchor>
    <xdr:from>
      <xdr:col>18</xdr:col>
      <xdr:colOff>88020</xdr:colOff>
      <xdr:row>0</xdr:row>
      <xdr:rowOff>88020</xdr:rowOff>
    </xdr:from>
    <xdr:ext cx="2464927" cy="690324"/>
    <xdr:pic>
      <xdr:nvPicPr>
        <xdr:cNvPr id="3" name="Picture 2" descr="Minnesota Pollution Control Agency (MPCA), 520 Lafayette Road North, St. Paul, MN 55155-4194" title="Image of MPCA logo with St. Paul office address">
          <a:extLst>
            <a:ext uri="{FF2B5EF4-FFF2-40B4-BE49-F238E27FC236}">
              <a16:creationId xmlns:a16="http://schemas.microsoft.com/office/drawing/2014/main" id="{E9B7A944-C5A5-43C5-8622-589F5D20466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60820" y="88020"/>
          <a:ext cx="2464927" cy="690324"/>
        </a:xfrm>
        <a:prstGeom prst="rect">
          <a:avLst/>
        </a:prstGeom>
        <a:noFill/>
        <a:ln>
          <a:noFill/>
        </a:ln>
      </xdr:spPr>
    </xdr:pic>
    <xdr:clientData/>
  </xdr:oneCellAnchor>
  <xdr:oneCellAnchor>
    <xdr:from>
      <xdr:col>18</xdr:col>
      <xdr:colOff>104775</xdr:colOff>
      <xdr:row>0</xdr:row>
      <xdr:rowOff>96015</xdr:rowOff>
    </xdr:from>
    <xdr:ext cx="2455402" cy="696039"/>
    <xdr:pic>
      <xdr:nvPicPr>
        <xdr:cNvPr id="4" name="Picture 3" descr="Minnesota Pollution Control Agency (MPCA), 520 Lafayette Road North, St. Paul, MN 55155-4194" title="Image of MPCA logo with St. Paul office address">
          <a:extLst>
            <a:ext uri="{FF2B5EF4-FFF2-40B4-BE49-F238E27FC236}">
              <a16:creationId xmlns:a16="http://schemas.microsoft.com/office/drawing/2014/main" id="{FD4E65F6-F62F-4CB0-9F12-6E666758379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77575" y="96015"/>
          <a:ext cx="2455402" cy="696039"/>
        </a:xfrm>
        <a:prstGeom prst="rect">
          <a:avLst/>
        </a:prstGeom>
        <a:noFill/>
        <a:ln>
          <a:noFill/>
        </a:ln>
      </xdr:spPr>
    </xdr:pic>
    <xdr:clientData/>
  </xdr:oneCellAnchor>
  <xdr:oneCellAnchor>
    <xdr:from>
      <xdr:col>36</xdr:col>
      <xdr:colOff>104775</xdr:colOff>
      <xdr:row>0</xdr:row>
      <xdr:rowOff>96015</xdr:rowOff>
    </xdr:from>
    <xdr:ext cx="2455402" cy="696039"/>
    <xdr:pic>
      <xdr:nvPicPr>
        <xdr:cNvPr id="5" name="Picture 4" descr="Minnesota Pollution Control Agency (MPCA), 520 Lafayette Road North, St. Paul, MN 55155-4194" title="Image of MPCA logo with St. Paul office address">
          <a:extLst>
            <a:ext uri="{FF2B5EF4-FFF2-40B4-BE49-F238E27FC236}">
              <a16:creationId xmlns:a16="http://schemas.microsoft.com/office/drawing/2014/main" id="{16B70C53-95F7-43B0-86BB-F02D762342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50375" y="96015"/>
          <a:ext cx="2455402" cy="696039"/>
        </a:xfrm>
        <a:prstGeom prst="rect">
          <a:avLst/>
        </a:prstGeom>
        <a:noFill/>
        <a:ln>
          <a:noFill/>
        </a:ln>
      </xdr:spPr>
    </xdr:pic>
    <xdr:clientData/>
  </xdr:oneCellAnchor>
  <xdr:oneCellAnchor>
    <xdr:from>
      <xdr:col>54</xdr:col>
      <xdr:colOff>0</xdr:colOff>
      <xdr:row>0</xdr:row>
      <xdr:rowOff>96015</xdr:rowOff>
    </xdr:from>
    <xdr:ext cx="2455402" cy="696039"/>
    <xdr:pic>
      <xdr:nvPicPr>
        <xdr:cNvPr id="6" name="Picture 5" descr="Minnesota Pollution Control Agency (MPCA), 520 Lafayette Road North, St. Paul, MN 55155-4194" title="Image of MPCA logo with St. Paul office address">
          <a:extLst>
            <a:ext uri="{FF2B5EF4-FFF2-40B4-BE49-F238E27FC236}">
              <a16:creationId xmlns:a16="http://schemas.microsoft.com/office/drawing/2014/main" id="{CFA9959C-37B6-4280-A6FC-2E257A3D7AE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918400" y="96015"/>
          <a:ext cx="2455402" cy="696039"/>
        </a:xfrm>
        <a:prstGeom prst="rect">
          <a:avLst/>
        </a:prstGeom>
        <a:noFill/>
        <a:ln>
          <a:noFill/>
        </a:ln>
      </xdr:spPr>
    </xdr:pic>
    <xdr:clientData/>
  </xdr:oneCellAnchor>
  <xdr:oneCellAnchor>
    <xdr:from>
      <xdr:col>54</xdr:col>
      <xdr:colOff>0</xdr:colOff>
      <xdr:row>0</xdr:row>
      <xdr:rowOff>96015</xdr:rowOff>
    </xdr:from>
    <xdr:ext cx="2455402" cy="696039"/>
    <xdr:pic>
      <xdr:nvPicPr>
        <xdr:cNvPr id="7" name="Picture 6" descr="Minnesota Pollution Control Agency (MPCA), 520 Lafayette Road North, St. Paul, MN 55155-4194" title="Image of MPCA logo with St. Paul office address">
          <a:extLst>
            <a:ext uri="{FF2B5EF4-FFF2-40B4-BE49-F238E27FC236}">
              <a16:creationId xmlns:a16="http://schemas.microsoft.com/office/drawing/2014/main" id="{28C50B59-B470-4E71-B651-05C7A27677D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023175" y="96015"/>
          <a:ext cx="2455402" cy="696039"/>
        </a:xfrm>
        <a:prstGeom prst="rect">
          <a:avLst/>
        </a:prstGeom>
        <a:noFill/>
        <a:ln>
          <a:noFill/>
        </a:ln>
      </xdr:spPr>
    </xdr:pic>
    <xdr:clientData/>
  </xdr:oneCellAnchor>
  <xdr:oneCellAnchor>
    <xdr:from>
      <xdr:col>54</xdr:col>
      <xdr:colOff>104775</xdr:colOff>
      <xdr:row>0</xdr:row>
      <xdr:rowOff>96015</xdr:rowOff>
    </xdr:from>
    <xdr:ext cx="2455402" cy="696039"/>
    <xdr:pic>
      <xdr:nvPicPr>
        <xdr:cNvPr id="8" name="Picture 7" descr="Minnesota Pollution Control Agency (MPCA), 520 Lafayette Road North, St. Paul, MN 55155-4194" title="Image of MPCA logo with St. Paul office address">
          <a:extLst>
            <a:ext uri="{FF2B5EF4-FFF2-40B4-BE49-F238E27FC236}">
              <a16:creationId xmlns:a16="http://schemas.microsoft.com/office/drawing/2014/main" id="{6390FA51-2A0E-4C64-9C3E-D1E90E19461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95975" y="96015"/>
          <a:ext cx="2455402" cy="696039"/>
        </a:xfrm>
        <a:prstGeom prst="rect">
          <a:avLst/>
        </a:prstGeom>
        <a:noFill/>
        <a:ln>
          <a:noFill/>
        </a:ln>
      </xdr:spPr>
    </xdr:pic>
    <xdr:clientData/>
  </xdr:oneCellAnchor>
  <xdr:oneCellAnchor>
    <xdr:from>
      <xdr:col>72</xdr:col>
      <xdr:colOff>104775</xdr:colOff>
      <xdr:row>0</xdr:row>
      <xdr:rowOff>96015</xdr:rowOff>
    </xdr:from>
    <xdr:ext cx="2455402" cy="696039"/>
    <xdr:pic>
      <xdr:nvPicPr>
        <xdr:cNvPr id="9" name="Picture 8" descr="Minnesota Pollution Control Agency (MPCA), 520 Lafayette Road North, St. Paul, MN 55155-4194" title="Image of MPCA logo with St. Paul office address">
          <a:extLst>
            <a:ext uri="{FF2B5EF4-FFF2-40B4-BE49-F238E27FC236}">
              <a16:creationId xmlns:a16="http://schemas.microsoft.com/office/drawing/2014/main" id="{1DEB7D83-01DB-4962-B1A6-6D209BC6E46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96015"/>
          <a:ext cx="2455402" cy="696039"/>
        </a:xfrm>
        <a:prstGeom prst="rect">
          <a:avLst/>
        </a:prstGeom>
        <a:noFill/>
        <a:ln>
          <a:noFill/>
        </a:ln>
      </xdr:spPr>
    </xdr:pic>
    <xdr:clientData/>
  </xdr:oneCellAnchor>
  <xdr:oneCellAnchor>
    <xdr:from>
      <xdr:col>90</xdr:col>
      <xdr:colOff>104775</xdr:colOff>
      <xdr:row>0</xdr:row>
      <xdr:rowOff>96015</xdr:rowOff>
    </xdr:from>
    <xdr:ext cx="2455402" cy="696039"/>
    <xdr:pic>
      <xdr:nvPicPr>
        <xdr:cNvPr id="10" name="Picture 9" descr="Minnesota Pollution Control Agency (MPCA), 520 Lafayette Road North, St. Paul, MN 55155-4194" title="Image of MPCA logo with St. Paul office address">
          <a:extLst>
            <a:ext uri="{FF2B5EF4-FFF2-40B4-BE49-F238E27FC236}">
              <a16:creationId xmlns:a16="http://schemas.microsoft.com/office/drawing/2014/main" id="{0A32505E-53AB-440F-9CCB-0AC62822F7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644300" y="96015"/>
          <a:ext cx="2455402" cy="696039"/>
        </a:xfrm>
        <a:prstGeom prst="rect">
          <a:avLst/>
        </a:prstGeom>
        <a:noFill/>
        <a:ln>
          <a:noFill/>
        </a:ln>
      </xdr:spPr>
    </xdr:pic>
    <xdr:clientData/>
  </xdr:oneCellAnchor>
  <xdr:oneCellAnchor>
    <xdr:from>
      <xdr:col>108</xdr:col>
      <xdr:colOff>123825</xdr:colOff>
      <xdr:row>0</xdr:row>
      <xdr:rowOff>124590</xdr:rowOff>
    </xdr:from>
    <xdr:ext cx="2455402" cy="696039"/>
    <xdr:pic>
      <xdr:nvPicPr>
        <xdr:cNvPr id="11" name="Picture 10" descr="Minnesota Pollution Control Agency (MPCA), 520 Lafayette Road North, St. Paul, MN 55155-4194" title="Image of MPCA logo with St. Paul office address">
          <a:extLst>
            <a:ext uri="{FF2B5EF4-FFF2-40B4-BE49-F238E27FC236}">
              <a16:creationId xmlns:a16="http://schemas.microsoft.com/office/drawing/2014/main" id="{81F82B2F-824E-400B-8B1D-BE6D5F5D147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352150" y="124590"/>
          <a:ext cx="2455402" cy="696039"/>
        </a:xfrm>
        <a:prstGeom prst="rect">
          <a:avLst/>
        </a:prstGeom>
        <a:noFill/>
        <a:ln>
          <a:noFill/>
        </a:ln>
      </xdr:spPr>
    </xdr:pic>
    <xdr:clientData/>
  </xdr:oneCellAnchor>
  <xdr:oneCellAnchor>
    <xdr:from>
      <xdr:col>126</xdr:col>
      <xdr:colOff>123825</xdr:colOff>
      <xdr:row>0</xdr:row>
      <xdr:rowOff>124590</xdr:rowOff>
    </xdr:from>
    <xdr:ext cx="2455402" cy="696039"/>
    <xdr:pic>
      <xdr:nvPicPr>
        <xdr:cNvPr id="12" name="Picture 11" descr="Minnesota Pollution Control Agency (MPCA), 520 Lafayette Road North, St. Paul, MN 55155-4194" title="Image of MPCA logo with St. Paul office address">
          <a:extLst>
            <a:ext uri="{FF2B5EF4-FFF2-40B4-BE49-F238E27FC236}">
              <a16:creationId xmlns:a16="http://schemas.microsoft.com/office/drawing/2014/main" id="{D7D76E66-E226-44F6-BE8A-451C57516B0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352150" y="124590"/>
          <a:ext cx="2455402" cy="696039"/>
        </a:xfrm>
        <a:prstGeom prst="rect">
          <a:avLst/>
        </a:prstGeom>
        <a:noFill/>
        <a:ln>
          <a:noFill/>
        </a:ln>
      </xdr:spPr>
    </xdr:pic>
    <xdr:clientData/>
  </xdr:oneCellAnchor>
  <xdr:oneCellAnchor>
    <xdr:from>
      <xdr:col>144</xdr:col>
      <xdr:colOff>123825</xdr:colOff>
      <xdr:row>0</xdr:row>
      <xdr:rowOff>124590</xdr:rowOff>
    </xdr:from>
    <xdr:ext cx="2455402" cy="696039"/>
    <xdr:pic>
      <xdr:nvPicPr>
        <xdr:cNvPr id="13" name="Picture 12" descr="Minnesota Pollution Control Agency (MPCA), 520 Lafayette Road North, St. Paul, MN 55155-4194" title="Image of MPCA logo with St. Paul office address">
          <a:extLst>
            <a:ext uri="{FF2B5EF4-FFF2-40B4-BE49-F238E27FC236}">
              <a16:creationId xmlns:a16="http://schemas.microsoft.com/office/drawing/2014/main" id="{6FBAB922-DCE8-47FD-9799-86D7C4E41AA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477350" y="124590"/>
          <a:ext cx="2455402" cy="696039"/>
        </a:xfrm>
        <a:prstGeom prst="rect">
          <a:avLst/>
        </a:prstGeom>
        <a:noFill/>
        <a:ln>
          <a:noFill/>
        </a:ln>
      </xdr:spPr>
    </xdr:pic>
    <xdr:clientData/>
  </xdr:oneCellAnchor>
  <xdr:oneCellAnchor>
    <xdr:from>
      <xdr:col>162</xdr:col>
      <xdr:colOff>123825</xdr:colOff>
      <xdr:row>0</xdr:row>
      <xdr:rowOff>124590</xdr:rowOff>
    </xdr:from>
    <xdr:ext cx="2455402" cy="696039"/>
    <xdr:pic>
      <xdr:nvPicPr>
        <xdr:cNvPr id="14" name="Picture 13" descr="Minnesota Pollution Control Agency (MPCA), 520 Lafayette Road North, St. Paul, MN 55155-4194" title="Image of MPCA logo with St. Paul office address">
          <a:extLst>
            <a:ext uri="{FF2B5EF4-FFF2-40B4-BE49-F238E27FC236}">
              <a16:creationId xmlns:a16="http://schemas.microsoft.com/office/drawing/2014/main" id="{B60F61C4-9ADE-49A6-B29B-B1969D462C2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079050" y="124590"/>
          <a:ext cx="2455402" cy="696039"/>
        </a:xfrm>
        <a:prstGeom prst="rect">
          <a:avLst/>
        </a:prstGeom>
        <a:noFill/>
        <a:ln>
          <a:noFill/>
        </a:ln>
      </xdr:spPr>
    </xdr:pic>
    <xdr:clientData/>
  </xdr:oneCellAnchor>
  <xdr:oneCellAnchor>
    <xdr:from>
      <xdr:col>180</xdr:col>
      <xdr:colOff>123825</xdr:colOff>
      <xdr:row>0</xdr:row>
      <xdr:rowOff>124590</xdr:rowOff>
    </xdr:from>
    <xdr:ext cx="2455402" cy="696039"/>
    <xdr:pic>
      <xdr:nvPicPr>
        <xdr:cNvPr id="15" name="Picture 14" descr="Minnesota Pollution Control Agency (MPCA), 520 Lafayette Road North, St. Paul, MN 55155-4194" title="Image of MPCA logo with St. Paul office address">
          <a:extLst>
            <a:ext uri="{FF2B5EF4-FFF2-40B4-BE49-F238E27FC236}">
              <a16:creationId xmlns:a16="http://schemas.microsoft.com/office/drawing/2014/main" id="{3E792328-45BB-49FE-B82E-A13A1D567A0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480600" y="124590"/>
          <a:ext cx="2455402" cy="696039"/>
        </a:xfrm>
        <a:prstGeom prst="rect">
          <a:avLst/>
        </a:prstGeom>
        <a:noFill/>
        <a:ln>
          <a:noFill/>
        </a:ln>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C2B21-713B-428B-80CF-B38DBDA6ECD6}">
  <dimension ref="A1:L30"/>
  <sheetViews>
    <sheetView tabSelected="1" zoomScaleNormal="100" workbookViewId="0">
      <selection activeCell="A31" sqref="A31"/>
    </sheetView>
  </sheetViews>
  <sheetFormatPr defaultColWidth="9.1796875" defaultRowHeight="13"/>
  <cols>
    <col min="1" max="1" width="25.7265625" style="426" customWidth="1"/>
    <col min="2" max="6" width="13.26953125" style="220" customWidth="1"/>
    <col min="7" max="7" width="25.7265625" style="220" customWidth="1"/>
    <col min="8" max="12" width="13.26953125" style="220" customWidth="1"/>
    <col min="13" max="16384" width="9.1796875" style="220"/>
  </cols>
  <sheetData>
    <row r="1" spans="1:12">
      <c r="B1" s="1389" t="s">
        <v>1044</v>
      </c>
      <c r="C1" s="1390"/>
      <c r="D1" s="1390"/>
      <c r="E1" s="1390"/>
      <c r="F1" s="1391"/>
      <c r="H1" s="1388" t="s">
        <v>1050</v>
      </c>
      <c r="I1" s="1388"/>
      <c r="J1" s="1388"/>
      <c r="K1" s="1388"/>
      <c r="L1" s="1388"/>
    </row>
    <row r="2" spans="1:12">
      <c r="A2" s="1039" t="s">
        <v>1039</v>
      </c>
      <c r="B2" s="1040" t="s">
        <v>1053</v>
      </c>
      <c r="C2" s="1040" t="s">
        <v>1054</v>
      </c>
      <c r="D2" s="1040" t="s">
        <v>1052</v>
      </c>
      <c r="E2" s="1040" t="s">
        <v>1037</v>
      </c>
      <c r="F2" s="1040" t="s">
        <v>1036</v>
      </c>
      <c r="G2" s="1039" t="s">
        <v>1051</v>
      </c>
      <c r="H2" s="1040" t="s">
        <v>1045</v>
      </c>
      <c r="I2" s="1040" t="s">
        <v>1047</v>
      </c>
      <c r="J2" s="1040" t="s">
        <v>1048</v>
      </c>
      <c r="K2" s="1040" t="s">
        <v>1046</v>
      </c>
      <c r="L2" s="1040" t="s">
        <v>1055</v>
      </c>
    </row>
    <row r="3" spans="1:12" ht="73.5" customHeight="1">
      <c r="A3" s="1039" t="s">
        <v>70</v>
      </c>
      <c r="B3" s="1040" t="s">
        <v>1049</v>
      </c>
      <c r="C3" s="1040" t="s">
        <v>1049</v>
      </c>
      <c r="D3" s="1040" t="s">
        <v>1049</v>
      </c>
      <c r="E3" s="1040" t="s">
        <v>1040</v>
      </c>
      <c r="F3" s="1040" t="s">
        <v>1040</v>
      </c>
      <c r="G3" s="1039" t="s">
        <v>70</v>
      </c>
      <c r="H3" s="1040" t="s">
        <v>1049</v>
      </c>
      <c r="I3" s="1040" t="s">
        <v>1049</v>
      </c>
      <c r="J3" s="1040" t="s">
        <v>1049</v>
      </c>
      <c r="K3" s="1040" t="s">
        <v>1049</v>
      </c>
      <c r="L3" s="1040" t="s">
        <v>1049</v>
      </c>
    </row>
    <row r="4" spans="1:12">
      <c r="A4" s="1039" t="s">
        <v>19</v>
      </c>
      <c r="B4" s="414">
        <v>0</v>
      </c>
      <c r="C4" s="414">
        <v>0</v>
      </c>
      <c r="D4" s="414">
        <v>0</v>
      </c>
      <c r="E4" s="414">
        <f>'Knockout, Silica Sand'!F25</f>
        <v>19.112727272727273</v>
      </c>
      <c r="F4" s="414">
        <f>SUM(B4:E4)</f>
        <v>19.112727272727273</v>
      </c>
      <c r="G4" s="1039" t="s">
        <v>19</v>
      </c>
      <c r="H4" s="414">
        <v>0</v>
      </c>
      <c r="I4" s="414">
        <v>0</v>
      </c>
      <c r="J4" s="414">
        <v>0</v>
      </c>
      <c r="K4" s="414">
        <v>0</v>
      </c>
      <c r="L4" s="414">
        <v>0</v>
      </c>
    </row>
    <row r="5" spans="1:12">
      <c r="A5" s="1039" t="s">
        <v>77</v>
      </c>
      <c r="B5" s="414">
        <v>0</v>
      </c>
      <c r="C5" s="414">
        <v>0</v>
      </c>
      <c r="D5" s="414">
        <v>0</v>
      </c>
      <c r="E5" s="414">
        <f>'Knockout, Silica Sand'!F26</f>
        <v>13.378909090909088</v>
      </c>
      <c r="F5" s="414">
        <f t="shared" ref="F5:F20" si="0">SUM(B5:E5)</f>
        <v>13.378909090909088</v>
      </c>
      <c r="G5" s="1039" t="s">
        <v>77</v>
      </c>
      <c r="H5" s="414">
        <v>0</v>
      </c>
      <c r="I5" s="414">
        <v>0</v>
      </c>
      <c r="J5" s="414">
        <v>0</v>
      </c>
      <c r="K5" s="414">
        <v>0</v>
      </c>
      <c r="L5" s="414">
        <v>0</v>
      </c>
    </row>
    <row r="6" spans="1:12">
      <c r="A6" s="1039" t="s">
        <v>78</v>
      </c>
      <c r="B6" s="414">
        <v>0</v>
      </c>
      <c r="C6" s="414">
        <v>0</v>
      </c>
      <c r="D6" s="414">
        <v>0</v>
      </c>
      <c r="E6" s="414">
        <f>'Knockout, Silica Sand'!F27</f>
        <v>8.0273454545454559</v>
      </c>
      <c r="F6" s="414">
        <f t="shared" si="0"/>
        <v>8.0273454545454559</v>
      </c>
      <c r="G6" s="1039" t="s">
        <v>78</v>
      </c>
      <c r="H6" s="414">
        <v>0</v>
      </c>
      <c r="I6" s="414">
        <v>0</v>
      </c>
      <c r="J6" s="414">
        <v>0</v>
      </c>
      <c r="K6" s="414">
        <v>0</v>
      </c>
      <c r="L6" s="414">
        <v>0</v>
      </c>
    </row>
    <row r="7" spans="1:12">
      <c r="A7" s="1039" t="s">
        <v>79</v>
      </c>
      <c r="B7" s="414">
        <v>0</v>
      </c>
      <c r="C7" s="414">
        <v>0</v>
      </c>
      <c r="D7" s="414">
        <v>0</v>
      </c>
      <c r="E7" s="414" t="str">
        <f>'Knockout, Silica Sand'!F28</f>
        <v>-</v>
      </c>
      <c r="F7" s="414">
        <f t="shared" si="0"/>
        <v>0</v>
      </c>
      <c r="G7" s="1039" t="s">
        <v>79</v>
      </c>
      <c r="H7" s="414">
        <v>0</v>
      </c>
      <c r="I7" s="414">
        <v>0</v>
      </c>
      <c r="J7" s="414">
        <v>0</v>
      </c>
      <c r="K7" s="414">
        <v>0</v>
      </c>
      <c r="L7" s="414">
        <v>0</v>
      </c>
    </row>
    <row r="8" spans="1:12">
      <c r="A8" s="1039" t="s">
        <v>80</v>
      </c>
      <c r="B8" s="414">
        <v>0</v>
      </c>
      <c r="C8" s="414">
        <v>0</v>
      </c>
      <c r="D8" s="414">
        <v>0</v>
      </c>
      <c r="E8" s="414" t="str">
        <f>'Knockout, Silica Sand'!F29</f>
        <v>-</v>
      </c>
      <c r="F8" s="414">
        <f t="shared" si="0"/>
        <v>0</v>
      </c>
      <c r="G8" s="1039" t="s">
        <v>80</v>
      </c>
      <c r="H8" s="414">
        <v>0</v>
      </c>
      <c r="I8" s="414">
        <v>0</v>
      </c>
      <c r="J8" s="414">
        <v>0</v>
      </c>
      <c r="K8" s="414">
        <v>0</v>
      </c>
      <c r="L8" s="414">
        <v>0</v>
      </c>
    </row>
    <row r="9" spans="1:12">
      <c r="A9" s="1039" t="s">
        <v>81</v>
      </c>
      <c r="B9" s="414">
        <v>0</v>
      </c>
      <c r="C9" s="414">
        <v>0</v>
      </c>
      <c r="D9" s="414">
        <v>0</v>
      </c>
      <c r="E9" s="414" t="str">
        <f>'Knockout, Silica Sand'!F30</f>
        <v>-</v>
      </c>
      <c r="F9" s="414">
        <f t="shared" si="0"/>
        <v>0</v>
      </c>
      <c r="G9" s="1039" t="s">
        <v>81</v>
      </c>
      <c r="H9" s="414">
        <v>0</v>
      </c>
      <c r="I9" s="414">
        <v>0</v>
      </c>
      <c r="J9" s="414">
        <v>0</v>
      </c>
      <c r="K9" s="414">
        <v>0</v>
      </c>
      <c r="L9" s="414">
        <v>0</v>
      </c>
    </row>
    <row r="10" spans="1:12">
      <c r="A10" s="1039" t="s">
        <v>39</v>
      </c>
      <c r="B10" s="414">
        <v>0</v>
      </c>
      <c r="C10" s="414">
        <v>0</v>
      </c>
      <c r="D10" s="414">
        <v>0</v>
      </c>
      <c r="E10" s="414">
        <f>'Knockout, Silica Sand'!F31</f>
        <v>7.167272727272727</v>
      </c>
      <c r="F10" s="414">
        <f t="shared" si="0"/>
        <v>7.167272727272727</v>
      </c>
      <c r="G10" s="1039" t="s">
        <v>39</v>
      </c>
      <c r="H10" s="414">
        <v>0</v>
      </c>
      <c r="I10" s="414">
        <v>0</v>
      </c>
      <c r="J10" s="414">
        <v>0</v>
      </c>
      <c r="K10" s="414">
        <v>0</v>
      </c>
      <c r="L10" s="414">
        <v>0</v>
      </c>
    </row>
    <row r="11" spans="1:12">
      <c r="A11" s="1039" t="s">
        <v>83</v>
      </c>
      <c r="B11" s="414">
        <v>0</v>
      </c>
      <c r="C11" s="414">
        <v>0</v>
      </c>
      <c r="D11" s="414">
        <v>0</v>
      </c>
      <c r="E11" s="414">
        <f>'Knockout, Silica Sand'!F32</f>
        <v>0.95563636363636373</v>
      </c>
      <c r="F11" s="414">
        <f t="shared" si="0"/>
        <v>0.95563636363636373</v>
      </c>
      <c r="G11" s="1039" t="s">
        <v>83</v>
      </c>
      <c r="H11" s="414">
        <v>0</v>
      </c>
      <c r="I11" s="414">
        <v>0</v>
      </c>
      <c r="J11" s="414">
        <v>0</v>
      </c>
      <c r="K11" s="414">
        <v>0</v>
      </c>
      <c r="L11" s="414">
        <v>0</v>
      </c>
    </row>
    <row r="12" spans="1:12">
      <c r="A12" s="1039" t="s">
        <v>1028</v>
      </c>
      <c r="B12" s="414">
        <v>0</v>
      </c>
      <c r="C12" s="414">
        <v>0</v>
      </c>
      <c r="D12" s="414">
        <v>0</v>
      </c>
      <c r="E12" s="414">
        <v>0</v>
      </c>
      <c r="F12" s="414">
        <f t="shared" si="0"/>
        <v>0</v>
      </c>
      <c r="G12" s="1039" t="s">
        <v>1028</v>
      </c>
      <c r="H12" s="414">
        <v>0</v>
      </c>
      <c r="I12" s="414">
        <v>0</v>
      </c>
      <c r="J12" s="414">
        <v>0</v>
      </c>
      <c r="K12" s="414">
        <v>0</v>
      </c>
      <c r="L12" s="414">
        <v>0</v>
      </c>
    </row>
    <row r="13" spans="1:12">
      <c r="A13" s="1039" t="s">
        <v>1029</v>
      </c>
      <c r="B13" s="414">
        <v>0</v>
      </c>
      <c r="C13" s="414">
        <v>0</v>
      </c>
      <c r="D13" s="414">
        <v>0</v>
      </c>
      <c r="E13" s="414">
        <v>0</v>
      </c>
      <c r="F13" s="414">
        <f t="shared" si="0"/>
        <v>0</v>
      </c>
      <c r="G13" s="1039" t="s">
        <v>1029</v>
      </c>
      <c r="H13" s="414">
        <v>0</v>
      </c>
      <c r="I13" s="414">
        <v>0</v>
      </c>
      <c r="J13" s="414">
        <v>0</v>
      </c>
      <c r="K13" s="414">
        <v>0</v>
      </c>
      <c r="L13" s="414">
        <v>0</v>
      </c>
    </row>
    <row r="14" spans="1:12">
      <c r="A14" s="1039" t="s">
        <v>1030</v>
      </c>
      <c r="B14" s="414">
        <v>0</v>
      </c>
      <c r="C14" s="414">
        <v>0</v>
      </c>
      <c r="D14" s="414">
        <v>0</v>
      </c>
      <c r="E14" s="414">
        <v>0</v>
      </c>
      <c r="F14" s="414">
        <f t="shared" si="0"/>
        <v>0</v>
      </c>
      <c r="G14" s="1039" t="s">
        <v>1030</v>
      </c>
      <c r="H14" s="414">
        <v>0</v>
      </c>
      <c r="I14" s="414">
        <v>0</v>
      </c>
      <c r="J14" s="414">
        <v>0</v>
      </c>
      <c r="K14" s="414">
        <v>0</v>
      </c>
      <c r="L14" s="414">
        <v>0</v>
      </c>
    </row>
    <row r="15" spans="1:12" ht="26">
      <c r="A15" s="1039" t="s">
        <v>1031</v>
      </c>
      <c r="B15" s="414">
        <v>0</v>
      </c>
      <c r="C15" s="414">
        <v>0</v>
      </c>
      <c r="D15" s="414">
        <v>0</v>
      </c>
      <c r="E15" s="414">
        <v>0</v>
      </c>
      <c r="F15" s="414">
        <f t="shared" si="0"/>
        <v>0</v>
      </c>
      <c r="G15" s="1039" t="s">
        <v>1031</v>
      </c>
      <c r="H15" s="414">
        <v>0</v>
      </c>
      <c r="I15" s="414">
        <v>0</v>
      </c>
      <c r="J15" s="414">
        <v>0</v>
      </c>
      <c r="K15" s="414">
        <v>0</v>
      </c>
      <c r="L15" s="414">
        <v>0</v>
      </c>
    </row>
    <row r="16" spans="1:12" ht="26">
      <c r="A16" s="1039" t="s">
        <v>1032</v>
      </c>
      <c r="B16" s="414">
        <v>0</v>
      </c>
      <c r="C16" s="414">
        <v>0</v>
      </c>
      <c r="D16" s="414">
        <v>0</v>
      </c>
      <c r="E16" s="414">
        <v>0</v>
      </c>
      <c r="F16" s="414">
        <f t="shared" si="0"/>
        <v>0</v>
      </c>
      <c r="G16" s="1039" t="s">
        <v>1032</v>
      </c>
      <c r="H16" s="414">
        <v>0</v>
      </c>
      <c r="I16" s="414">
        <v>0</v>
      </c>
      <c r="J16" s="414">
        <v>0</v>
      </c>
      <c r="K16" s="414">
        <v>0</v>
      </c>
      <c r="L16" s="414">
        <v>0</v>
      </c>
    </row>
    <row r="17" spans="1:12">
      <c r="A17" s="1039" t="s">
        <v>1033</v>
      </c>
      <c r="B17" s="414">
        <v>0</v>
      </c>
      <c r="C17" s="414">
        <v>0</v>
      </c>
      <c r="D17" s="414">
        <v>0</v>
      </c>
      <c r="E17" s="414">
        <v>0</v>
      </c>
      <c r="F17" s="414">
        <f t="shared" si="0"/>
        <v>0</v>
      </c>
      <c r="G17" s="1039" t="s">
        <v>1033</v>
      </c>
      <c r="H17" s="414">
        <v>0</v>
      </c>
      <c r="I17" s="414">
        <v>0</v>
      </c>
      <c r="J17" s="414">
        <v>0</v>
      </c>
      <c r="K17" s="414">
        <v>0</v>
      </c>
      <c r="L17" s="414">
        <v>0</v>
      </c>
    </row>
    <row r="18" spans="1:12">
      <c r="A18" s="1039" t="s">
        <v>1034</v>
      </c>
      <c r="B18" s="414">
        <v>0</v>
      </c>
      <c r="C18" s="414">
        <v>0</v>
      </c>
      <c r="D18" s="414">
        <v>0</v>
      </c>
      <c r="E18" s="414">
        <v>0</v>
      </c>
      <c r="F18" s="414">
        <f t="shared" si="0"/>
        <v>0</v>
      </c>
      <c r="G18" s="1039" t="s">
        <v>1034</v>
      </c>
      <c r="H18" s="414">
        <v>0</v>
      </c>
      <c r="I18" s="414">
        <v>0</v>
      </c>
      <c r="J18" s="414">
        <v>0</v>
      </c>
      <c r="K18" s="414">
        <v>0</v>
      </c>
      <c r="L18" s="414">
        <v>0</v>
      </c>
    </row>
    <row r="19" spans="1:12">
      <c r="A19" s="1039" t="s">
        <v>1035</v>
      </c>
      <c r="B19" s="414">
        <v>0</v>
      </c>
      <c r="C19" s="414">
        <v>0</v>
      </c>
      <c r="D19" s="414">
        <v>0</v>
      </c>
      <c r="E19" s="414">
        <v>0</v>
      </c>
      <c r="F19" s="414">
        <f t="shared" si="0"/>
        <v>0</v>
      </c>
      <c r="G19" s="1039" t="s">
        <v>1035</v>
      </c>
      <c r="H19" s="414">
        <v>0</v>
      </c>
      <c r="I19" s="414">
        <v>0</v>
      </c>
      <c r="J19" s="414">
        <v>0</v>
      </c>
      <c r="K19" s="414">
        <v>0</v>
      </c>
      <c r="L19" s="414">
        <v>0</v>
      </c>
    </row>
    <row r="20" spans="1:12">
      <c r="A20" s="1039" t="s">
        <v>41</v>
      </c>
      <c r="B20" s="414">
        <v>0</v>
      </c>
      <c r="C20" s="414">
        <v>0</v>
      </c>
      <c r="D20" s="414">
        <v>0</v>
      </c>
      <c r="E20" s="414">
        <v>0</v>
      </c>
      <c r="F20" s="414">
        <f t="shared" si="0"/>
        <v>0</v>
      </c>
      <c r="G20" s="1039" t="s">
        <v>41</v>
      </c>
      <c r="H20" s="414">
        <v>0</v>
      </c>
      <c r="I20" s="414">
        <v>0</v>
      </c>
      <c r="J20" s="414">
        <v>0</v>
      </c>
      <c r="K20" s="414">
        <v>0</v>
      </c>
      <c r="L20" s="414">
        <v>0</v>
      </c>
    </row>
    <row r="21" spans="1:12">
      <c r="A21" s="1041" t="s">
        <v>1038</v>
      </c>
      <c r="B21" s="1041"/>
      <c r="C21" s="1041"/>
      <c r="D21" s="1041"/>
      <c r="E21" s="1041"/>
      <c r="F21" s="1041"/>
      <c r="G21" s="1041" t="s">
        <v>1038</v>
      </c>
    </row>
    <row r="22" spans="1:12">
      <c r="A22" s="1392" t="s">
        <v>1043</v>
      </c>
      <c r="B22" s="1392"/>
      <c r="C22" s="1392"/>
      <c r="D22" s="1392"/>
      <c r="E22" s="1392"/>
      <c r="F22" s="1392"/>
      <c r="G22" s="1387" t="s">
        <v>1056</v>
      </c>
      <c r="H22" s="1387"/>
      <c r="I22" s="1387"/>
      <c r="J22" s="1387"/>
      <c r="K22" s="1387"/>
      <c r="L22" s="1387"/>
    </row>
    <row r="23" spans="1:12">
      <c r="A23" s="1392"/>
      <c r="B23" s="1392"/>
      <c r="C23" s="1392"/>
      <c r="D23" s="1392"/>
      <c r="E23" s="1392"/>
      <c r="F23" s="1392"/>
      <c r="G23" s="1387"/>
      <c r="H23" s="1387"/>
      <c r="I23" s="1387"/>
      <c r="J23" s="1387"/>
      <c r="K23" s="1387"/>
      <c r="L23" s="1387"/>
    </row>
    <row r="24" spans="1:12">
      <c r="A24" s="1392"/>
      <c r="B24" s="1392"/>
      <c r="C24" s="1392"/>
      <c r="D24" s="1392"/>
      <c r="E24" s="1392"/>
      <c r="F24" s="1392"/>
      <c r="G24" s="1387" t="s">
        <v>1057</v>
      </c>
      <c r="H24" s="1387"/>
      <c r="I24" s="1387"/>
      <c r="J24" s="1387"/>
      <c r="K24" s="1387"/>
      <c r="L24" s="1387"/>
    </row>
    <row r="25" spans="1:12">
      <c r="A25" s="1392" t="s">
        <v>1041</v>
      </c>
      <c r="B25" s="1392"/>
      <c r="C25" s="1392"/>
      <c r="D25" s="1392"/>
      <c r="E25" s="1392"/>
      <c r="F25" s="1392"/>
      <c r="G25" s="1387"/>
      <c r="H25" s="1387"/>
      <c r="I25" s="1387"/>
      <c r="J25" s="1387"/>
      <c r="K25" s="1387"/>
      <c r="L25" s="1387"/>
    </row>
    <row r="26" spans="1:12">
      <c r="A26" s="1392"/>
      <c r="B26" s="1392"/>
      <c r="C26" s="1392"/>
      <c r="D26" s="1392"/>
      <c r="E26" s="1392"/>
      <c r="F26" s="1392"/>
      <c r="G26" s="1387"/>
      <c r="H26" s="1387"/>
      <c r="I26" s="1387"/>
      <c r="J26" s="1387"/>
      <c r="K26" s="1387"/>
      <c r="L26" s="1387"/>
    </row>
    <row r="27" spans="1:12">
      <c r="A27" s="1392"/>
      <c r="B27" s="1392"/>
      <c r="C27" s="1392"/>
      <c r="D27" s="1392"/>
      <c r="E27" s="1392"/>
      <c r="F27" s="1392"/>
    </row>
    <row r="28" spans="1:12">
      <c r="A28" s="1392"/>
      <c r="B28" s="1392"/>
      <c r="C28" s="1392"/>
      <c r="D28" s="1392"/>
      <c r="E28" s="1392"/>
      <c r="F28" s="1392"/>
    </row>
    <row r="29" spans="1:12">
      <c r="A29" s="1392"/>
      <c r="B29" s="1392"/>
      <c r="C29" s="1392"/>
      <c r="D29" s="1392"/>
      <c r="E29" s="1392"/>
      <c r="F29" s="1392"/>
    </row>
    <row r="30" spans="1:12">
      <c r="A30" s="1392"/>
      <c r="B30" s="1392"/>
      <c r="C30" s="1392"/>
      <c r="D30" s="1392"/>
      <c r="E30" s="1392"/>
      <c r="F30" s="1392"/>
    </row>
  </sheetData>
  <mergeCells count="6">
    <mergeCell ref="G22:L23"/>
    <mergeCell ref="H1:L1"/>
    <mergeCell ref="G24:L26"/>
    <mergeCell ref="B1:F1"/>
    <mergeCell ref="A22:F24"/>
    <mergeCell ref="A25:F30"/>
  </mergeCells>
  <pageMargins left="0.7" right="0.7" top="0.75" bottom="0.75" header="0.3" footer="0.3"/>
  <pageSetup orientation="portrait" r:id="rId1"/>
  <headerFooter>
    <oddHeader>&amp;C&amp;"Aptos Narror,Bold"&amp;14&amp;A</oddHeader>
    <oddFooter xml:space="preserve">&amp;L&amp;"-,Regular"St. Paul Brass &amp; Aluminum Foundry (Facility ID: 12300001)
B2303515&amp;C&amp;"-,Regular"&amp;P of &amp;N&amp;R&amp;"-,Regular"&amp;D
aq5-41c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0629E-CA8B-43B2-9224-87D66122AD67}">
  <sheetPr codeName="Sheet16">
    <pageSetUpPr fitToPage="1"/>
  </sheetPr>
  <dimension ref="A1:G22"/>
  <sheetViews>
    <sheetView zoomScaleNormal="100" workbookViewId="0">
      <selection activeCell="C24" sqref="C24"/>
    </sheetView>
  </sheetViews>
  <sheetFormatPr defaultColWidth="9.1796875" defaultRowHeight="14.5"/>
  <cols>
    <col min="1" max="1" width="11.81640625" style="186" customWidth="1"/>
    <col min="2" max="2" width="12.7265625" style="186" customWidth="1"/>
    <col min="3" max="7" width="18.7265625" style="187" customWidth="1"/>
    <col min="8" max="8" width="18.7265625" style="186" customWidth="1"/>
    <col min="9" max="16384" width="9.1796875" style="186"/>
  </cols>
  <sheetData>
    <row r="1" spans="1:7" ht="18.5">
      <c r="A1" s="185" t="s">
        <v>612</v>
      </c>
    </row>
    <row r="2" spans="1:7">
      <c r="A2" s="189" t="s">
        <v>613</v>
      </c>
    </row>
    <row r="3" spans="1:7" ht="15" thickBot="1">
      <c r="A3" s="188"/>
    </row>
    <row r="4" spans="1:7" s="188" customFormat="1" ht="15" thickBot="1">
      <c r="A4" s="349" t="s">
        <v>617</v>
      </c>
      <c r="B4" s="350" t="s">
        <v>618</v>
      </c>
      <c r="C4" s="350" t="s">
        <v>637</v>
      </c>
      <c r="D4" s="350" t="s">
        <v>638</v>
      </c>
      <c r="E4" s="351" t="s">
        <v>639</v>
      </c>
      <c r="F4" s="339"/>
      <c r="G4" s="339"/>
    </row>
    <row r="5" spans="1:7">
      <c r="A5" s="340" t="s">
        <v>619</v>
      </c>
      <c r="B5" s="341" t="s">
        <v>616</v>
      </c>
      <c r="C5" s="341">
        <v>2.2500121944221281</v>
      </c>
      <c r="D5" s="341">
        <v>1.3750057385515895</v>
      </c>
      <c r="E5" s="342">
        <v>4.999713072420521E-4</v>
      </c>
    </row>
    <row r="6" spans="1:7">
      <c r="A6" s="343" t="s">
        <v>620</v>
      </c>
      <c r="B6" s="207" t="s">
        <v>616</v>
      </c>
      <c r="C6" s="207">
        <v>5</v>
      </c>
      <c r="D6" s="207">
        <v>0.5</v>
      </c>
      <c r="E6" s="344">
        <v>4.9817002431586923E-4</v>
      </c>
    </row>
    <row r="7" spans="1:7">
      <c r="A7" s="343" t="s">
        <v>621</v>
      </c>
      <c r="B7" s="207" t="s">
        <v>616</v>
      </c>
      <c r="C7" s="207">
        <v>0.1</v>
      </c>
      <c r="D7" s="207">
        <v>0.5</v>
      </c>
      <c r="E7" s="344">
        <v>3.7500713266761769</v>
      </c>
    </row>
    <row r="8" spans="1:7">
      <c r="A8" s="343" t="s">
        <v>622</v>
      </c>
      <c r="B8" s="207" t="s">
        <v>616</v>
      </c>
      <c r="C8" s="207">
        <v>1E-3</v>
      </c>
      <c r="D8" s="207">
        <v>5.0000000000000001E-3</v>
      </c>
      <c r="E8" s="344">
        <v>3.7500358491467899E-2</v>
      </c>
    </row>
    <row r="9" spans="1:7">
      <c r="A9" s="343" t="s">
        <v>623</v>
      </c>
      <c r="B9" s="207" t="s">
        <v>616</v>
      </c>
      <c r="C9" s="207">
        <v>1</v>
      </c>
      <c r="D9" s="207">
        <v>0.5</v>
      </c>
      <c r="E9" s="344">
        <v>0.55007985398129133</v>
      </c>
    </row>
    <row r="10" spans="1:7">
      <c r="A10" s="343" t="s">
        <v>624</v>
      </c>
      <c r="B10" s="207" t="s">
        <v>616</v>
      </c>
      <c r="C10" s="207">
        <v>0.2</v>
      </c>
      <c r="D10" s="207">
        <v>0.5</v>
      </c>
      <c r="E10" s="344">
        <v>0.8</v>
      </c>
    </row>
    <row r="11" spans="1:7">
      <c r="A11" s="343" t="s">
        <v>625</v>
      </c>
      <c r="B11" s="207" t="s">
        <v>616</v>
      </c>
      <c r="C11" s="207">
        <v>4.5032944754181452E-2</v>
      </c>
      <c r="D11" s="207">
        <v>4.3081601621895591E-4</v>
      </c>
      <c r="E11" s="344">
        <v>4.3081601621895591E-4</v>
      </c>
    </row>
    <row r="12" spans="1:7">
      <c r="A12" s="343" t="s">
        <v>626</v>
      </c>
      <c r="B12" s="207" t="s">
        <v>616</v>
      </c>
      <c r="C12" s="207">
        <v>0.15002273213521608</v>
      </c>
      <c r="D12" s="207">
        <v>0.5</v>
      </c>
      <c r="E12" s="344">
        <v>5.0010697475395805E-4</v>
      </c>
    </row>
    <row r="13" spans="1:7">
      <c r="A13" s="343" t="s">
        <v>627</v>
      </c>
      <c r="B13" s="207" t="s">
        <v>616</v>
      </c>
      <c r="C13" s="207">
        <v>0.1501775147928994</v>
      </c>
      <c r="D13" s="207">
        <v>0.5</v>
      </c>
      <c r="E13" s="344">
        <v>3.5502958579881655E-4</v>
      </c>
    </row>
    <row r="14" spans="1:7">
      <c r="A14" s="343" t="s">
        <v>628</v>
      </c>
      <c r="B14" s="207" t="s">
        <v>616</v>
      </c>
      <c r="C14" s="207">
        <v>0.25014841828513273</v>
      </c>
      <c r="D14" s="207">
        <v>0.25014841828513273</v>
      </c>
      <c r="E14" s="344">
        <v>5.0038164701891278E-4</v>
      </c>
    </row>
    <row r="15" spans="1:7">
      <c r="A15" s="343" t="s">
        <v>629</v>
      </c>
      <c r="B15" s="207" t="s">
        <v>616</v>
      </c>
      <c r="C15" s="207">
        <v>1.5</v>
      </c>
      <c r="D15" s="207">
        <v>0.5</v>
      </c>
      <c r="E15" s="344">
        <v>5.0819554792069278E-4</v>
      </c>
    </row>
    <row r="16" spans="1:7">
      <c r="A16" s="343" t="s">
        <v>630</v>
      </c>
      <c r="B16" s="207" t="s">
        <v>616</v>
      </c>
      <c r="C16" s="207">
        <v>0</v>
      </c>
      <c r="D16" s="207">
        <v>0</v>
      </c>
      <c r="E16" s="344">
        <v>0</v>
      </c>
    </row>
    <row r="17" spans="1:5">
      <c r="A17" s="343" t="s">
        <v>631</v>
      </c>
      <c r="B17" s="207" t="s">
        <v>616</v>
      </c>
      <c r="C17" s="207">
        <v>0</v>
      </c>
      <c r="D17" s="207">
        <v>0</v>
      </c>
      <c r="E17" s="344">
        <v>0</v>
      </c>
    </row>
    <row r="18" spans="1:5">
      <c r="A18" s="343" t="s">
        <v>632</v>
      </c>
      <c r="B18" s="207" t="s">
        <v>616</v>
      </c>
      <c r="C18" s="207">
        <v>4.9984016738833506E-4</v>
      </c>
      <c r="D18" s="207">
        <v>0.750021795356136</v>
      </c>
      <c r="E18" s="344">
        <v>0.25002179535613611</v>
      </c>
    </row>
    <row r="19" spans="1:5">
      <c r="A19" s="343" t="s">
        <v>633</v>
      </c>
      <c r="B19" s="207" t="s">
        <v>616</v>
      </c>
      <c r="C19" s="207">
        <v>4.985848746133088E-4</v>
      </c>
      <c r="D19" s="207">
        <v>4.2500055946817614</v>
      </c>
      <c r="E19" s="344">
        <v>1.7500055946817614</v>
      </c>
    </row>
    <row r="20" spans="1:5">
      <c r="A20" s="343" t="s">
        <v>634</v>
      </c>
      <c r="B20" s="207" t="s">
        <v>616</v>
      </c>
      <c r="C20" s="207">
        <v>1.497927767910006E-2</v>
      </c>
      <c r="D20" s="207">
        <v>4.5</v>
      </c>
      <c r="E20" s="344">
        <v>1.1500296033155712</v>
      </c>
    </row>
    <row r="21" spans="1:5" ht="15" thickBot="1">
      <c r="A21" s="345" t="s">
        <v>635</v>
      </c>
      <c r="B21" s="346" t="s">
        <v>616</v>
      </c>
      <c r="C21" s="346">
        <v>0.12505938242280285</v>
      </c>
      <c r="D21" s="346">
        <v>4.5</v>
      </c>
      <c r="E21" s="347">
        <v>0.25011876484560569</v>
      </c>
    </row>
    <row r="22" spans="1:5" ht="15" thickBot="1">
      <c r="A22" s="1559" t="s">
        <v>636</v>
      </c>
      <c r="B22" s="1560"/>
      <c r="C22" s="348">
        <v>5</v>
      </c>
      <c r="D22" s="348">
        <v>4.5</v>
      </c>
      <c r="E22" s="353">
        <v>3.7500713266761769</v>
      </c>
    </row>
  </sheetData>
  <mergeCells count="1">
    <mergeCell ref="A22:B22"/>
  </mergeCells>
  <pageMargins left="0.7" right="0.7" top="0.75" bottom="0.75" header="0.3" footer="0.3"/>
  <pageSetup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D0FE9-69F8-4742-B780-E9F56F2C182C}">
  <sheetPr codeName="Sheet10">
    <tabColor theme="7" tint="0.79998168889431442"/>
  </sheetPr>
  <dimension ref="A1:T44"/>
  <sheetViews>
    <sheetView zoomScaleNormal="100" workbookViewId="0">
      <selection activeCell="G19" sqref="G19"/>
    </sheetView>
  </sheetViews>
  <sheetFormatPr defaultColWidth="8.81640625" defaultRowHeight="14.5"/>
  <cols>
    <col min="1" max="1" width="28.7265625" style="383" customWidth="1"/>
    <col min="2" max="8" width="15.7265625" style="383" customWidth="1"/>
    <col min="9" max="9" width="12.7265625" style="382" customWidth="1"/>
    <col min="10" max="10" width="12.7265625" style="383" customWidth="1"/>
    <col min="11" max="11" width="12.7265625" style="382" customWidth="1"/>
    <col min="12" max="15" width="12.7265625" style="383" customWidth="1"/>
    <col min="16" max="22" width="9" style="383" bestFit="1" customWidth="1"/>
    <col min="23" max="16384" width="8.81640625" style="383"/>
  </cols>
  <sheetData>
    <row r="1" spans="1:18" s="220" customFormat="1" ht="18.5">
      <c r="A1" s="221" t="s">
        <v>55</v>
      </c>
      <c r="B1" s="221"/>
      <c r="D1" s="221" t="s">
        <v>799</v>
      </c>
    </row>
    <row r="2" spans="1:18" s="220" customFormat="1" ht="18.5">
      <c r="A2" s="221"/>
      <c r="B2" s="221"/>
      <c r="D2" s="221" t="s">
        <v>800</v>
      </c>
    </row>
    <row r="3" spans="1:18" s="220" customFormat="1" ht="13">
      <c r="A3" s="261"/>
      <c r="B3" s="261"/>
      <c r="D3" s="261"/>
    </row>
    <row r="4" spans="1:18" s="220" customFormat="1" ht="13">
      <c r="A4" s="1561" t="s">
        <v>881</v>
      </c>
      <c r="B4" s="1561"/>
      <c r="C4" s="1561"/>
      <c r="D4" s="1561"/>
      <c r="E4" s="1561"/>
      <c r="F4" s="1561"/>
      <c r="G4" s="1561"/>
      <c r="H4" s="1561"/>
      <c r="I4" s="377"/>
      <c r="J4" s="377"/>
      <c r="K4" s="377"/>
      <c r="L4" s="377"/>
      <c r="M4" s="377"/>
    </row>
    <row r="5" spans="1:18" s="220" customFormat="1" ht="13">
      <c r="A5" s="1561"/>
      <c r="B5" s="1561"/>
      <c r="C5" s="1561"/>
      <c r="D5" s="1561"/>
      <c r="E5" s="1561"/>
      <c r="F5" s="1561"/>
      <c r="G5" s="1561"/>
      <c r="H5" s="1561"/>
      <c r="I5" s="377"/>
      <c r="J5" s="377"/>
      <c r="K5" s="377"/>
      <c r="L5" s="377"/>
      <c r="M5" s="377"/>
    </row>
    <row r="6" spans="1:18" s="220" customFormat="1" ht="13">
      <c r="A6" s="1561"/>
      <c r="B6" s="1561"/>
      <c r="C6" s="1561"/>
      <c r="D6" s="1561"/>
      <c r="E6" s="1561"/>
      <c r="F6" s="1561"/>
      <c r="G6" s="1561"/>
      <c r="H6" s="1561"/>
      <c r="I6" s="377"/>
      <c r="J6" s="377"/>
      <c r="K6" s="377"/>
      <c r="L6" s="377"/>
      <c r="M6" s="377"/>
    </row>
    <row r="7" spans="1:18" s="220" customFormat="1" ht="19" thickBot="1">
      <c r="A7" s="221"/>
      <c r="B7" s="221"/>
      <c r="D7" s="221"/>
      <c r="I7" s="377"/>
      <c r="J7" s="377"/>
      <c r="K7" s="377"/>
      <c r="L7" s="377"/>
      <c r="M7" s="377"/>
    </row>
    <row r="8" spans="1:18" s="220" customFormat="1" ht="26">
      <c r="A8" s="378" t="s">
        <v>343</v>
      </c>
      <c r="B8" s="379"/>
      <c r="C8" s="380" t="s">
        <v>344</v>
      </c>
      <c r="D8" s="379" t="s">
        <v>1</v>
      </c>
      <c r="E8" s="380" t="s">
        <v>345</v>
      </c>
      <c r="F8" s="379" t="s">
        <v>1</v>
      </c>
      <c r="G8" s="380" t="s">
        <v>346</v>
      </c>
      <c r="H8" s="381" t="s">
        <v>1</v>
      </c>
      <c r="I8" s="423"/>
    </row>
    <row r="9" spans="1:18" s="220" customFormat="1" ht="13">
      <c r="A9" s="384" t="s">
        <v>347</v>
      </c>
      <c r="B9" s="385"/>
      <c r="C9" s="236">
        <f>5*0.3</f>
        <v>1.5</v>
      </c>
      <c r="D9" s="234" t="s">
        <v>236</v>
      </c>
      <c r="E9" s="236">
        <f>C9*8760</f>
        <v>13140</v>
      </c>
      <c r="F9" s="234" t="s">
        <v>228</v>
      </c>
      <c r="G9" s="636">
        <v>1000</v>
      </c>
      <c r="H9" s="238" t="s">
        <v>228</v>
      </c>
      <c r="I9" s="423"/>
    </row>
    <row r="10" spans="1:18" s="220" customFormat="1" ht="13">
      <c r="A10" s="386" t="s">
        <v>348</v>
      </c>
      <c r="B10" s="387"/>
      <c r="C10" s="236">
        <f>1+1+0.3</f>
        <v>2.2999999999999998</v>
      </c>
      <c r="D10" s="234" t="s">
        <v>236</v>
      </c>
      <c r="E10" s="236">
        <f>C10*8760</f>
        <v>20148</v>
      </c>
      <c r="F10" s="234" t="s">
        <v>228</v>
      </c>
      <c r="G10" s="636">
        <v>2000</v>
      </c>
      <c r="H10" s="238" t="s">
        <v>228</v>
      </c>
      <c r="I10" s="423"/>
    </row>
    <row r="11" spans="1:18" s="220" customFormat="1" ht="13.5" thickBot="1">
      <c r="A11" s="895" t="s">
        <v>349</v>
      </c>
      <c r="B11" s="389"/>
      <c r="C11" s="242">
        <f>C10+C9</f>
        <v>3.8</v>
      </c>
      <c r="D11" s="240" t="s">
        <v>236</v>
      </c>
      <c r="E11" s="242">
        <f>E9+E10</f>
        <v>33288</v>
      </c>
      <c r="F11" s="240" t="s">
        <v>228</v>
      </c>
      <c r="G11" s="896">
        <f>G9+G10</f>
        <v>3000</v>
      </c>
      <c r="H11" s="244" t="s">
        <v>228</v>
      </c>
      <c r="I11" s="423"/>
    </row>
    <row r="12" spans="1:18" s="220" customFormat="1" ht="13">
      <c r="A12" s="1566" t="s">
        <v>135</v>
      </c>
      <c r="B12" s="1567"/>
      <c r="C12" s="1567"/>
      <c r="D12" s="1567"/>
      <c r="E12" s="664">
        <v>2200</v>
      </c>
      <c r="F12" s="875" t="s">
        <v>240</v>
      </c>
      <c r="G12" s="949"/>
      <c r="H12" s="950"/>
      <c r="I12"/>
      <c r="J12"/>
      <c r="K12" s="423"/>
      <c r="M12" s="423"/>
    </row>
    <row r="13" spans="1:18" s="220" customFormat="1" ht="13.5" thickBot="1">
      <c r="A13" s="1568" t="s">
        <v>350</v>
      </c>
      <c r="B13" s="1569"/>
      <c r="C13" s="1569"/>
      <c r="D13" s="1569"/>
      <c r="E13" s="390">
        <v>8760</v>
      </c>
      <c r="F13" s="391" t="s">
        <v>240</v>
      </c>
      <c r="G13" s="951"/>
      <c r="H13" s="952"/>
      <c r="I13"/>
      <c r="J13"/>
      <c r="L13" s="423"/>
      <c r="N13" s="423"/>
      <c r="R13" s="259"/>
    </row>
    <row r="14" spans="1:18" s="396" customFormat="1" ht="13">
      <c r="A14" s="1562" t="s">
        <v>351</v>
      </c>
      <c r="B14" s="1562"/>
      <c r="C14" s="1562"/>
      <c r="D14" s="1562"/>
      <c r="E14" s="1562"/>
      <c r="F14" s="1562"/>
      <c r="G14" s="1562"/>
      <c r="H14" s="1562"/>
      <c r="I14" s="357"/>
      <c r="J14" s="357"/>
      <c r="K14" s="357"/>
      <c r="L14" s="357"/>
      <c r="M14" s="357"/>
    </row>
    <row r="15" spans="1:18" s="396" customFormat="1" ht="13">
      <c r="A15" s="1562"/>
      <c r="B15" s="1562"/>
      <c r="C15" s="1562"/>
      <c r="D15" s="1562"/>
      <c r="E15" s="1562"/>
      <c r="F15" s="1562"/>
      <c r="G15" s="1562"/>
      <c r="H15" s="1562"/>
      <c r="I15" s="357"/>
      <c r="J15" s="357"/>
      <c r="K15" s="357"/>
      <c r="L15" s="357"/>
      <c r="M15" s="357"/>
    </row>
    <row r="16" spans="1:18" s="396" customFormat="1" ht="13">
      <c r="A16" s="1562"/>
      <c r="B16" s="1562"/>
      <c r="C16" s="1562"/>
      <c r="D16" s="1562"/>
      <c r="E16" s="1562"/>
      <c r="F16" s="1562"/>
      <c r="G16" s="1562"/>
      <c r="H16" s="1562"/>
      <c r="I16" s="357"/>
      <c r="J16" s="357"/>
      <c r="K16" s="357"/>
      <c r="L16" s="357"/>
      <c r="M16" s="357"/>
    </row>
    <row r="17" spans="1:20" s="220" customFormat="1" ht="13.5" thickBot="1">
      <c r="C17" s="397"/>
      <c r="D17" s="398"/>
      <c r="E17" s="396"/>
      <c r="F17" s="396"/>
      <c r="G17" s="396"/>
      <c r="I17" s="423"/>
      <c r="M17" s="259"/>
    </row>
    <row r="18" spans="1:20" s="220" customFormat="1" ht="13.5" thickBot="1">
      <c r="A18" s="723"/>
      <c r="C18" s="399"/>
      <c r="D18" s="400"/>
      <c r="E18" s="1563" t="s">
        <v>352</v>
      </c>
      <c r="F18" s="1564"/>
      <c r="G18" s="1565"/>
      <c r="I18" s="423"/>
      <c r="M18" s="259"/>
    </row>
    <row r="19" spans="1:20" s="220" customFormat="1" ht="26.5" thickBot="1">
      <c r="A19" s="401" t="s">
        <v>70</v>
      </c>
      <c r="B19" s="402" t="s">
        <v>353</v>
      </c>
      <c r="C19" s="402" t="s">
        <v>1</v>
      </c>
      <c r="D19" s="403" t="s">
        <v>254</v>
      </c>
      <c r="E19" s="404" t="s">
        <v>354</v>
      </c>
      <c r="F19" s="403" t="s">
        <v>355</v>
      </c>
      <c r="G19" s="673" t="s">
        <v>356</v>
      </c>
      <c r="H19" s="423"/>
      <c r="L19" s="724"/>
      <c r="M19" s="258"/>
      <c r="N19" s="258"/>
      <c r="O19" s="258"/>
      <c r="P19" s="258"/>
      <c r="Q19" s="258"/>
      <c r="R19" s="258"/>
      <c r="S19" s="429"/>
    </row>
    <row r="20" spans="1:20" s="220" customFormat="1" ht="13">
      <c r="A20" s="408" t="s">
        <v>19</v>
      </c>
      <c r="B20" s="409">
        <v>4.2</v>
      </c>
      <c r="C20" s="409" t="s">
        <v>258</v>
      </c>
      <c r="D20" s="410" t="s">
        <v>357</v>
      </c>
      <c r="E20" s="277">
        <f t="shared" ref="E20:E26" si="0">$C$11*B20</f>
        <v>15.959999999999999</v>
      </c>
      <c r="F20" s="280">
        <f t="shared" ref="F20:F26" si="1">E20*8760/2000</f>
        <v>69.904800000000009</v>
      </c>
      <c r="G20" s="737">
        <f t="shared" ref="G20:G26" si="2">$G$11*B20/2000</f>
        <v>6.3</v>
      </c>
      <c r="H20" s="423"/>
      <c r="I20" s="722"/>
      <c r="L20" s="259"/>
      <c r="M20" s="259"/>
      <c r="N20" s="259"/>
      <c r="O20" s="259"/>
      <c r="P20" s="259"/>
      <c r="Q20" s="259"/>
      <c r="R20" s="259"/>
      <c r="S20" s="429"/>
    </row>
    <row r="21" spans="1:20" s="220" customFormat="1" ht="13">
      <c r="A21" s="413" t="s">
        <v>77</v>
      </c>
      <c r="B21" s="414">
        <f>ROUND(B20*49%,2)</f>
        <v>2.06</v>
      </c>
      <c r="C21" s="415" t="s">
        <v>258</v>
      </c>
      <c r="D21" s="286" t="s">
        <v>358</v>
      </c>
      <c r="E21" s="320">
        <f t="shared" si="0"/>
        <v>7.8279999999999994</v>
      </c>
      <c r="F21" s="289">
        <f t="shared" si="1"/>
        <v>34.286639999999998</v>
      </c>
      <c r="G21" s="738">
        <f t="shared" si="2"/>
        <v>3.09</v>
      </c>
      <c r="H21" s="423"/>
      <c r="L21" s="259"/>
      <c r="M21" s="259"/>
      <c r="N21" s="259"/>
      <c r="O21" s="259"/>
      <c r="P21" s="259"/>
      <c r="Q21" s="259"/>
      <c r="R21" s="259"/>
      <c r="S21" s="429"/>
    </row>
    <row r="22" spans="1:20" s="220" customFormat="1" ht="13">
      <c r="A22" s="413" t="s">
        <v>78</v>
      </c>
      <c r="B22" s="414">
        <f>ROUND(B20*24%,2)</f>
        <v>1.01</v>
      </c>
      <c r="C22" s="415" t="s">
        <v>258</v>
      </c>
      <c r="D22" s="286" t="s">
        <v>358</v>
      </c>
      <c r="E22" s="320">
        <f t="shared" si="0"/>
        <v>3.8379999999999996</v>
      </c>
      <c r="F22" s="289">
        <f t="shared" si="1"/>
        <v>16.81044</v>
      </c>
      <c r="G22" s="738">
        <f t="shared" si="2"/>
        <v>1.5149999999999999</v>
      </c>
      <c r="H22" s="423"/>
      <c r="L22" s="259"/>
      <c r="M22" s="259"/>
      <c r="N22" s="259"/>
      <c r="O22" s="259"/>
      <c r="P22" s="259"/>
      <c r="Q22" s="259"/>
      <c r="R22" s="259"/>
      <c r="S22" s="259"/>
      <c r="T22" s="429"/>
    </row>
    <row r="23" spans="1:20" s="220" customFormat="1" ht="13">
      <c r="A23" s="413" t="s">
        <v>79</v>
      </c>
      <c r="B23" s="417">
        <v>0.01</v>
      </c>
      <c r="C23" s="415" t="s">
        <v>258</v>
      </c>
      <c r="D23" s="418" t="s">
        <v>259</v>
      </c>
      <c r="E23" s="320">
        <f t="shared" si="0"/>
        <v>3.7999999999999999E-2</v>
      </c>
      <c r="F23" s="418">
        <f>E23*8760/2000</f>
        <v>0.16644</v>
      </c>
      <c r="G23" s="738">
        <f t="shared" si="2"/>
        <v>1.4999999999999999E-2</v>
      </c>
      <c r="H23" s="423"/>
      <c r="L23" s="724"/>
      <c r="M23" s="258"/>
      <c r="N23" s="258"/>
      <c r="O23" s="258"/>
      <c r="P23" s="258"/>
      <c r="Q23" s="258"/>
      <c r="R23" s="258"/>
      <c r="S23" s="258"/>
      <c r="T23" s="429"/>
    </row>
    <row r="24" spans="1:20" s="220" customFormat="1" ht="13">
      <c r="A24" s="413" t="s">
        <v>81</v>
      </c>
      <c r="B24" s="415">
        <v>0.02</v>
      </c>
      <c r="C24" s="415" t="s">
        <v>258</v>
      </c>
      <c r="D24" s="418" t="s">
        <v>259</v>
      </c>
      <c r="E24" s="320">
        <f>$C$11*B24</f>
        <v>7.5999999999999998E-2</v>
      </c>
      <c r="F24" s="289">
        <f t="shared" si="1"/>
        <v>0.33288000000000001</v>
      </c>
      <c r="G24" s="738">
        <f t="shared" si="2"/>
        <v>0.03</v>
      </c>
      <c r="H24" s="423"/>
      <c r="L24" s="259"/>
      <c r="M24" s="259"/>
      <c r="N24" s="259"/>
      <c r="O24" s="259"/>
      <c r="P24" s="259"/>
      <c r="Q24" s="259"/>
      <c r="R24" s="259"/>
      <c r="S24" s="259"/>
      <c r="T24" s="429"/>
    </row>
    <row r="25" spans="1:20" s="220" customFormat="1" ht="13">
      <c r="A25" s="413" t="s">
        <v>82</v>
      </c>
      <c r="B25" s="414">
        <v>0.14000000000000001</v>
      </c>
      <c r="C25" s="415" t="s">
        <v>258</v>
      </c>
      <c r="D25" s="418" t="s">
        <v>259</v>
      </c>
      <c r="E25" s="320">
        <f>$C$11*B25</f>
        <v>0.53200000000000003</v>
      </c>
      <c r="F25" s="289">
        <f t="shared" ref="F25" si="3">E25*8760/2000</f>
        <v>2.3301600000000002</v>
      </c>
      <c r="G25" s="738">
        <f t="shared" ref="G25" si="4">$G$11*B25/2000</f>
        <v>0.21000000000000002</v>
      </c>
      <c r="H25" s="423"/>
      <c r="L25" s="259"/>
      <c r="M25" s="259"/>
      <c r="N25" s="259"/>
      <c r="O25" s="259"/>
      <c r="P25" s="259"/>
      <c r="Q25" s="259"/>
      <c r="R25" s="259"/>
      <c r="S25" s="259"/>
      <c r="T25" s="429"/>
    </row>
    <row r="26" spans="1:20" s="220" customFormat="1" ht="13">
      <c r="A26" s="413" t="s">
        <v>83</v>
      </c>
      <c r="B26" s="415">
        <f>ROUND(B39/100*$B$20,2)</f>
        <v>0.21</v>
      </c>
      <c r="C26" s="415" t="s">
        <v>258</v>
      </c>
      <c r="D26" s="286" t="s">
        <v>336</v>
      </c>
      <c r="E26" s="320">
        <f t="shared" si="0"/>
        <v>0.79799999999999993</v>
      </c>
      <c r="F26" s="289">
        <f t="shared" si="1"/>
        <v>3.4952399999999999</v>
      </c>
      <c r="G26" s="738">
        <f t="shared" si="2"/>
        <v>0.315</v>
      </c>
      <c r="H26" s="423"/>
    </row>
    <row r="27" spans="1:20" s="220" customFormat="1" ht="13">
      <c r="A27" s="408" t="s">
        <v>84</v>
      </c>
      <c r="B27" s="711"/>
      <c r="C27" s="711"/>
      <c r="D27" s="1202"/>
      <c r="E27" s="277">
        <f>SUM(E28:E32)+E26</f>
        <v>2.1314693837375178</v>
      </c>
      <c r="F27" s="280">
        <f>SUM(F28:F32)+F26</f>
        <v>9.3358359007703271</v>
      </c>
      <c r="G27" s="278">
        <f>SUM(G28:G32)+G26</f>
        <v>0.84136949358059909</v>
      </c>
      <c r="H27" s="423"/>
      <c r="J27" s="423"/>
    </row>
    <row r="28" spans="1:20" s="220" customFormat="1" ht="13">
      <c r="A28" s="283" t="s">
        <v>265</v>
      </c>
      <c r="B28" s="415">
        <f>B40/100*$B$20</f>
        <v>1.6800000000000002E-4</v>
      </c>
      <c r="C28" s="415" t="s">
        <v>258</v>
      </c>
      <c r="D28" s="286" t="s">
        <v>336</v>
      </c>
      <c r="E28" s="297">
        <f t="shared" ref="E28:E32" si="5">$C$11*B28</f>
        <v>6.3840000000000001E-4</v>
      </c>
      <c r="F28" s="295">
        <f t="shared" ref="F28:F31" si="6">E28*8760/2000</f>
        <v>2.7961919999999999E-3</v>
      </c>
      <c r="G28" s="293">
        <f t="shared" ref="G28:G32" si="7">$G$11*B28/2000</f>
        <v>2.52E-4</v>
      </c>
      <c r="H28" s="423"/>
      <c r="J28" s="423"/>
    </row>
    <row r="29" spans="1:20" s="220" customFormat="1" ht="13">
      <c r="A29" s="283" t="s">
        <v>266</v>
      </c>
      <c r="B29" s="415">
        <f>B41/100*$B$20</f>
        <v>4.2000000000000004E-5</v>
      </c>
      <c r="C29" s="415" t="s">
        <v>258</v>
      </c>
      <c r="D29" s="286" t="s">
        <v>336</v>
      </c>
      <c r="E29" s="297">
        <f t="shared" si="5"/>
        <v>1.596E-4</v>
      </c>
      <c r="F29" s="295">
        <f t="shared" si="6"/>
        <v>6.9904799999999997E-4</v>
      </c>
      <c r="G29" s="293">
        <f t="shared" si="7"/>
        <v>6.3E-5</v>
      </c>
      <c r="H29" s="423"/>
      <c r="J29" s="423"/>
    </row>
    <row r="30" spans="1:20" s="220" customFormat="1" ht="13">
      <c r="A30" s="283" t="s">
        <v>267</v>
      </c>
      <c r="B30" s="415">
        <f>B42/100*$B$20</f>
        <v>4.2000000000000006E-3</v>
      </c>
      <c r="C30" s="415" t="s">
        <v>258</v>
      </c>
      <c r="D30" s="286" t="s">
        <v>336</v>
      </c>
      <c r="E30" s="297">
        <f t="shared" si="5"/>
        <v>1.5960000000000002E-2</v>
      </c>
      <c r="F30" s="295">
        <f t="shared" si="6"/>
        <v>6.9904800000000003E-2</v>
      </c>
      <c r="G30" s="293">
        <f t="shared" si="7"/>
        <v>6.3000000000000009E-3</v>
      </c>
      <c r="H30" s="423"/>
    </row>
    <row r="31" spans="1:20" s="220" customFormat="1" ht="13">
      <c r="A31" s="283" t="s">
        <v>268</v>
      </c>
      <c r="B31" s="415">
        <f>B43/100*$B$20</f>
        <v>0.15750299572039944</v>
      </c>
      <c r="C31" s="415" t="s">
        <v>258</v>
      </c>
      <c r="D31" s="286" t="s">
        <v>336</v>
      </c>
      <c r="E31" s="320">
        <f t="shared" si="5"/>
        <v>0.59851138373751789</v>
      </c>
      <c r="F31" s="289">
        <f t="shared" si="6"/>
        <v>2.6214798607703282</v>
      </c>
      <c r="G31" s="287">
        <f t="shared" si="7"/>
        <v>0.23625449358059916</v>
      </c>
    </row>
    <row r="32" spans="1:20" s="220" customFormat="1" ht="13.5" thickBot="1">
      <c r="A32" s="298" t="s">
        <v>269</v>
      </c>
      <c r="B32" s="654">
        <f>B44/100*$B$20</f>
        <v>0.189</v>
      </c>
      <c r="C32" s="654" t="s">
        <v>258</v>
      </c>
      <c r="D32" s="301" t="s">
        <v>336</v>
      </c>
      <c r="E32" s="323">
        <f t="shared" si="5"/>
        <v>0.71819999999999995</v>
      </c>
      <c r="F32" s="627">
        <f>E32*8760/2000</f>
        <v>3.1457159999999997</v>
      </c>
      <c r="G32" s="324">
        <f t="shared" si="7"/>
        <v>0.28349999999999997</v>
      </c>
    </row>
    <row r="33" spans="1:11" s="220" customFormat="1" ht="13">
      <c r="A33" s="1387" t="s">
        <v>361</v>
      </c>
      <c r="B33" s="1387"/>
      <c r="C33" s="1387"/>
      <c r="D33" s="1387"/>
      <c r="E33" s="1387"/>
      <c r="F33" s="1387"/>
      <c r="G33" s="1387"/>
      <c r="H33" s="1387"/>
      <c r="I33" s="352"/>
      <c r="J33" s="352"/>
      <c r="K33" s="352"/>
    </row>
    <row r="34" spans="1:11" s="220" customFormat="1" ht="13">
      <c r="A34" s="1387"/>
      <c r="B34" s="1387"/>
      <c r="C34" s="1387"/>
      <c r="D34" s="1387"/>
      <c r="E34" s="1387"/>
      <c r="F34" s="1387"/>
      <c r="G34" s="1387"/>
      <c r="H34" s="1387"/>
      <c r="I34" s="352"/>
      <c r="J34" s="352"/>
      <c r="K34" s="352"/>
    </row>
    <row r="35" spans="1:11" s="424" customFormat="1" ht="13">
      <c r="A35" s="424" t="s">
        <v>362</v>
      </c>
    </row>
    <row r="36" spans="1:11" s="220" customFormat="1" ht="13">
      <c r="A36" s="1387" t="s">
        <v>363</v>
      </c>
      <c r="B36" s="1387"/>
      <c r="C36" s="1387"/>
      <c r="D36" s="1387"/>
      <c r="E36" s="1387"/>
      <c r="F36" s="1387"/>
      <c r="G36" s="1387"/>
      <c r="H36" s="1387"/>
      <c r="I36" s="423"/>
      <c r="K36" s="423"/>
    </row>
    <row r="37" spans="1:11" s="220" customFormat="1" ht="13">
      <c r="A37" s="1387"/>
      <c r="B37" s="1387"/>
      <c r="C37" s="1387"/>
      <c r="D37" s="1387"/>
      <c r="E37" s="1387"/>
      <c r="F37" s="1387"/>
      <c r="G37" s="1387"/>
      <c r="H37" s="1387"/>
      <c r="I37" s="423"/>
      <c r="K37" s="423"/>
    </row>
    <row r="38" spans="1:11" s="220" customFormat="1" ht="13">
      <c r="A38" s="424" t="s">
        <v>364</v>
      </c>
      <c r="I38" s="423"/>
      <c r="K38" s="423"/>
    </row>
    <row r="39" spans="1:11" s="220" customFormat="1" ht="13">
      <c r="A39" s="307" t="s">
        <v>40</v>
      </c>
      <c r="B39" s="220">
        <f>MAX('AL Alloy'!H14,'Brass Alloy'!C22)</f>
        <v>5</v>
      </c>
      <c r="C39" s="220" t="s">
        <v>272</v>
      </c>
      <c r="I39" s="423"/>
      <c r="K39" s="423"/>
    </row>
    <row r="40" spans="1:11" s="220" customFormat="1" ht="13">
      <c r="A40" s="307" t="s">
        <v>265</v>
      </c>
      <c r="B40" s="220">
        <f>'AL Melting'!B50</f>
        <v>4.0000000000000001E-3</v>
      </c>
      <c r="C40" s="220" t="s">
        <v>272</v>
      </c>
      <c r="I40" s="423"/>
      <c r="K40" s="423"/>
    </row>
    <row r="41" spans="1:11" s="220" customFormat="1" ht="13">
      <c r="A41" s="307" t="s">
        <v>266</v>
      </c>
      <c r="B41" s="220">
        <f>'AL Melting'!B51</f>
        <v>1E-3</v>
      </c>
      <c r="C41" s="220" t="s">
        <v>272</v>
      </c>
      <c r="I41" s="423"/>
      <c r="K41" s="423"/>
    </row>
    <row r="42" spans="1:11" s="220" customFormat="1" ht="13">
      <c r="A42" s="307" t="s">
        <v>267</v>
      </c>
      <c r="B42" s="220">
        <f>'AL Melting'!B52</f>
        <v>0.1</v>
      </c>
      <c r="C42" s="220" t="s">
        <v>272</v>
      </c>
      <c r="I42" s="423"/>
      <c r="K42" s="423"/>
    </row>
    <row r="43" spans="1:11" s="220" customFormat="1" ht="13">
      <c r="A43" s="307" t="s">
        <v>268</v>
      </c>
      <c r="B43" s="425">
        <f>MAX('AL Alloy'!H9,'Brass Alloy'!E22)</f>
        <v>3.7500713266761769</v>
      </c>
      <c r="C43" s="220" t="s">
        <v>272</v>
      </c>
      <c r="I43" s="423"/>
      <c r="K43" s="423"/>
    </row>
    <row r="44" spans="1:11" s="220" customFormat="1" ht="13">
      <c r="A44" s="307" t="s">
        <v>269</v>
      </c>
      <c r="B44" s="220">
        <f>MAX('AL Alloy'!H11,'Brass Alloy'!D22)</f>
        <v>4.5</v>
      </c>
      <c r="C44" s="220" t="s">
        <v>272</v>
      </c>
      <c r="I44" s="423"/>
      <c r="K44" s="423"/>
    </row>
  </sheetData>
  <mergeCells count="7">
    <mergeCell ref="A4:H6"/>
    <mergeCell ref="A14:H16"/>
    <mergeCell ref="A33:H34"/>
    <mergeCell ref="A36:H37"/>
    <mergeCell ref="E18:G18"/>
    <mergeCell ref="A12:D12"/>
    <mergeCell ref="A13:D13"/>
  </mergeCells>
  <pageMargins left="0.7" right="0.7" top="0.75" bottom="0.75" header="0.3" footer="0.3"/>
  <pageSetup scale="80"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0B069-B206-41B4-8296-669FA3860DCA}">
  <sheetPr>
    <tabColor theme="7" tint="0.79998168889431442"/>
  </sheetPr>
  <dimension ref="A1:T241"/>
  <sheetViews>
    <sheetView topLeftCell="A173" zoomScale="85" zoomScaleNormal="85" workbookViewId="0">
      <selection activeCell="F173" sqref="F173"/>
    </sheetView>
  </sheetViews>
  <sheetFormatPr defaultColWidth="8.81640625" defaultRowHeight="14.5"/>
  <cols>
    <col min="1" max="8" width="12.7265625" style="383" customWidth="1"/>
    <col min="9" max="10" width="12.7265625" style="382" customWidth="1"/>
    <col min="11" max="11" width="12.7265625" style="383" customWidth="1"/>
    <col min="12" max="12" width="14" style="382" customWidth="1"/>
    <col min="13" max="16" width="12.7265625" style="383" customWidth="1"/>
    <col min="17" max="22" width="9" style="383" bestFit="1" customWidth="1"/>
    <col min="23" max="16384" width="8.81640625" style="383"/>
  </cols>
  <sheetData>
    <row r="1" spans="1:16" s="220" customFormat="1" ht="18.5">
      <c r="A1" s="221" t="s">
        <v>994</v>
      </c>
      <c r="B1" s="221"/>
      <c r="C1" s="221"/>
      <c r="D1" s="221"/>
      <c r="F1" s="221"/>
      <c r="I1" s="221"/>
      <c r="J1" s="221"/>
    </row>
    <row r="2" spans="1:16" s="220" customFormat="1" ht="18.5">
      <c r="A2" s="221"/>
      <c r="B2" s="221"/>
      <c r="C2" s="221"/>
      <c r="D2" s="221"/>
      <c r="F2" s="221"/>
      <c r="I2" s="221"/>
      <c r="J2" s="221"/>
    </row>
    <row r="3" spans="1:16" s="220" customFormat="1" ht="18.5">
      <c r="A3" s="221" t="s">
        <v>988</v>
      </c>
      <c r="B3" s="221"/>
      <c r="D3" s="221" t="s">
        <v>990</v>
      </c>
      <c r="G3" s="221" t="s">
        <v>992</v>
      </c>
    </row>
    <row r="4" spans="1:16" s="220" customFormat="1" ht="18.75" customHeight="1">
      <c r="A4" s="221" t="s">
        <v>989</v>
      </c>
      <c r="B4" s="221"/>
      <c r="D4" s="221" t="s">
        <v>991</v>
      </c>
      <c r="G4" s="221" t="s">
        <v>993</v>
      </c>
    </row>
    <row r="5" spans="1:16" s="220" customFormat="1" ht="15.75" customHeight="1">
      <c r="A5" s="221"/>
      <c r="B5" s="221"/>
      <c r="D5" s="221"/>
      <c r="G5" s="221"/>
    </row>
    <row r="6" spans="1:16" s="220" customFormat="1" ht="13.75" customHeight="1">
      <c r="A6" s="1573" t="s">
        <v>1020</v>
      </c>
      <c r="B6" s="1573"/>
      <c r="C6" s="1573"/>
      <c r="D6" s="1573"/>
      <c r="E6" s="1573"/>
      <c r="F6" s="1573"/>
      <c r="G6" s="1573"/>
      <c r="H6" s="1573"/>
      <c r="I6" s="1573"/>
      <c r="J6" s="1573"/>
      <c r="K6" s="1573"/>
      <c r="L6" s="1573"/>
    </row>
    <row r="7" spans="1:16" s="220" customFormat="1" ht="13.75" customHeight="1">
      <c r="A7" s="1573"/>
      <c r="B7" s="1573"/>
      <c r="C7" s="1573"/>
      <c r="D7" s="1573"/>
      <c r="E7" s="1573"/>
      <c r="F7" s="1573"/>
      <c r="G7" s="1573"/>
      <c r="H7" s="1573"/>
      <c r="I7" s="1573"/>
      <c r="J7" s="1573"/>
      <c r="K7" s="1573"/>
      <c r="L7" s="1573"/>
    </row>
    <row r="8" spans="1:16" s="220" customFormat="1" ht="13.75" customHeight="1">
      <c r="A8" s="1573"/>
      <c r="B8" s="1573"/>
      <c r="C8" s="1573"/>
      <c r="D8" s="1573"/>
      <c r="E8" s="1573"/>
      <c r="F8" s="1573"/>
      <c r="G8" s="1573"/>
      <c r="H8" s="1573"/>
      <c r="I8" s="1573"/>
      <c r="J8" s="1573"/>
      <c r="K8" s="1573"/>
      <c r="L8" s="1573"/>
    </row>
    <row r="9" spans="1:16" s="220" customFormat="1" ht="13.75" customHeight="1" thickBot="1">
      <c r="A9" s="221"/>
      <c r="B9" s="221"/>
      <c r="D9" s="221"/>
      <c r="I9" s="377"/>
      <c r="J9" s="377"/>
      <c r="K9" s="377"/>
    </row>
    <row r="10" spans="1:16" s="220" customFormat="1" ht="39">
      <c r="A10" s="616" t="s">
        <v>220</v>
      </c>
      <c r="B10" s="1022" t="s">
        <v>221</v>
      </c>
      <c r="C10" s="1023" t="s">
        <v>1019</v>
      </c>
      <c r="D10" s="379"/>
      <c r="E10" s="1024"/>
      <c r="F10" s="380" t="s">
        <v>344</v>
      </c>
      <c r="G10" s="379" t="s">
        <v>1</v>
      </c>
      <c r="H10" s="380" t="s">
        <v>1241</v>
      </c>
      <c r="I10" s="379" t="s">
        <v>1</v>
      </c>
      <c r="J10" s="1346" t="s">
        <v>1260</v>
      </c>
      <c r="K10" s="1332" t="s">
        <v>954</v>
      </c>
      <c r="L10" s="1315"/>
      <c r="M10" s="1315"/>
      <c r="N10" s="381"/>
    </row>
    <row r="11" spans="1:16" s="220" customFormat="1" ht="13">
      <c r="A11" s="233" t="s">
        <v>126</v>
      </c>
      <c r="B11" s="236" t="s">
        <v>1022</v>
      </c>
      <c r="C11" s="1025" t="s">
        <v>822</v>
      </c>
      <c r="D11" s="385"/>
      <c r="E11" s="1026"/>
      <c r="F11" s="580">
        <f>H11/$F$16</f>
        <v>2.0547945205479454</v>
      </c>
      <c r="G11" s="234" t="s">
        <v>1016</v>
      </c>
      <c r="H11" s="583">
        <f>'Sand Handling (incl Mold&amp;Core)'!F14</f>
        <v>18000</v>
      </c>
      <c r="I11" s="235" t="s">
        <v>1017</v>
      </c>
      <c r="J11" s="1586">
        <f>'Sand Handling (incl Mold&amp;Core)'!G17</f>
        <v>0.125</v>
      </c>
      <c r="K11" s="1330" t="s">
        <v>1231</v>
      </c>
      <c r="L11" s="250"/>
      <c r="M11" s="250"/>
      <c r="N11" s="238"/>
    </row>
    <row r="12" spans="1:16" s="220" customFormat="1" ht="13">
      <c r="A12" s="233" t="s">
        <v>133</v>
      </c>
      <c r="B12" s="236" t="s">
        <v>1023</v>
      </c>
      <c r="C12" s="1027" t="s">
        <v>823</v>
      </c>
      <c r="D12" s="387"/>
      <c r="E12" s="1028"/>
      <c r="F12" s="580">
        <f>H12/$F$16</f>
        <v>5.6278538812785391E-2</v>
      </c>
      <c r="G12" s="234" t="s">
        <v>1016</v>
      </c>
      <c r="H12" s="583">
        <f>'Sand Handling (incl Mold&amp;Core)'!F15</f>
        <v>493</v>
      </c>
      <c r="I12" s="235" t="s">
        <v>1017</v>
      </c>
      <c r="J12" s="1587"/>
      <c r="K12" s="1330" t="s">
        <v>1238</v>
      </c>
      <c r="L12" s="250"/>
      <c r="M12" s="250"/>
      <c r="N12" s="238"/>
    </row>
    <row r="13" spans="1:16" s="220" customFormat="1" ht="13">
      <c r="A13" s="233" t="s">
        <v>134</v>
      </c>
      <c r="B13" s="236" t="s">
        <v>1024</v>
      </c>
      <c r="C13" s="1027" t="s">
        <v>824</v>
      </c>
      <c r="D13" s="387"/>
      <c r="E13" s="1026"/>
      <c r="F13" s="580">
        <f>H13/$F$16</f>
        <v>5.6278538812785391E-2</v>
      </c>
      <c r="G13" s="234" t="s">
        <v>1016</v>
      </c>
      <c r="H13" s="583">
        <f>'Sand Handling (incl Mold&amp;Core)'!F16</f>
        <v>493</v>
      </c>
      <c r="I13" s="235" t="s">
        <v>1017</v>
      </c>
      <c r="J13" s="1587"/>
      <c r="K13" s="1330" t="s">
        <v>1239</v>
      </c>
      <c r="L13" s="250"/>
      <c r="M13" s="250"/>
      <c r="N13" s="238"/>
    </row>
    <row r="14" spans="1:16" s="220" customFormat="1" ht="13.5" thickBot="1">
      <c r="A14" s="239" t="s">
        <v>690</v>
      </c>
      <c r="B14" s="242" t="s">
        <v>310</v>
      </c>
      <c r="C14" s="1029" t="s">
        <v>1018</v>
      </c>
      <c r="D14" s="1021"/>
      <c r="E14" s="1030"/>
      <c r="F14" s="1006">
        <f>H14/$F$16</f>
        <v>5.6278538812785391E-2</v>
      </c>
      <c r="G14" s="669" t="s">
        <v>1016</v>
      </c>
      <c r="H14" s="586">
        <f>'Sand Handling (incl Mold&amp;Core)'!F96</f>
        <v>493</v>
      </c>
      <c r="I14" s="604" t="s">
        <v>1017</v>
      </c>
      <c r="J14" s="1588"/>
      <c r="K14" s="1331" t="s">
        <v>1230</v>
      </c>
      <c r="L14" s="585"/>
      <c r="M14" s="585"/>
      <c r="N14" s="609"/>
    </row>
    <row r="15" spans="1:16" s="220" customFormat="1" ht="13.5" customHeight="1">
      <c r="A15" s="1576" t="s">
        <v>135</v>
      </c>
      <c r="B15" s="1577"/>
      <c r="C15" s="1577"/>
      <c r="D15" s="1577"/>
      <c r="E15" s="1578"/>
      <c r="F15" s="230">
        <v>2200</v>
      </c>
      <c r="G15" s="232" t="s">
        <v>240</v>
      </c>
      <c r="H15" s="423"/>
      <c r="K15" s="423"/>
    </row>
    <row r="16" spans="1:16" s="220" customFormat="1" ht="13.5" thickBot="1">
      <c r="A16" s="1579" t="s">
        <v>350</v>
      </c>
      <c r="B16" s="1580"/>
      <c r="C16" s="1580"/>
      <c r="D16" s="1580"/>
      <c r="E16" s="1581"/>
      <c r="F16" s="1031">
        <v>8760</v>
      </c>
      <c r="G16" s="1032" t="s">
        <v>240</v>
      </c>
      <c r="I16" s="423"/>
      <c r="J16" s="423"/>
      <c r="L16" s="423"/>
      <c r="P16" s="259"/>
    </row>
    <row r="17" spans="1:18" s="220" customFormat="1" ht="13">
      <c r="C17" s="397"/>
      <c r="D17" s="398"/>
      <c r="E17" s="396"/>
      <c r="F17" s="396"/>
      <c r="G17" s="396"/>
      <c r="I17" s="423"/>
      <c r="J17" s="423"/>
      <c r="N17" s="259"/>
    </row>
    <row r="18" spans="1:18" s="220" customFormat="1" ht="18.75" customHeight="1">
      <c r="A18" s="1582" t="s">
        <v>1251</v>
      </c>
      <c r="B18" s="1582"/>
      <c r="C18" s="1582"/>
      <c r="D18" s="1582"/>
      <c r="E18" s="1582"/>
      <c r="F18" s="1582"/>
      <c r="G18" s="1582"/>
      <c r="H18" s="1582"/>
      <c r="I18" s="1582"/>
      <c r="J18" s="1582"/>
      <c r="K18" s="1582"/>
      <c r="L18" s="1582"/>
      <c r="M18" s="1582"/>
      <c r="N18" s="1582"/>
    </row>
    <row r="19" spans="1:18" s="220" customFormat="1" ht="18.75" customHeight="1">
      <c r="A19" s="1582"/>
      <c r="B19" s="1582"/>
      <c r="C19" s="1582"/>
      <c r="D19" s="1582"/>
      <c r="E19" s="1582"/>
      <c r="F19" s="1582"/>
      <c r="G19" s="1582"/>
      <c r="H19" s="1582"/>
      <c r="I19" s="1582"/>
      <c r="J19" s="1582"/>
      <c r="K19" s="1582"/>
      <c r="L19" s="1582"/>
      <c r="M19" s="1582"/>
      <c r="N19" s="1582"/>
    </row>
    <row r="20" spans="1:18" s="220" customFormat="1" ht="18.75" customHeight="1">
      <c r="A20" s="1582"/>
      <c r="B20" s="1582"/>
      <c r="C20" s="1582"/>
      <c r="D20" s="1582"/>
      <c r="E20" s="1582"/>
      <c r="F20" s="1582"/>
      <c r="G20" s="1582"/>
      <c r="H20" s="1582"/>
      <c r="I20" s="1582"/>
      <c r="J20" s="1582"/>
      <c r="K20" s="1582"/>
      <c r="L20" s="1582"/>
      <c r="M20" s="1582"/>
      <c r="N20" s="1582"/>
    </row>
    <row r="21" spans="1:18" s="220" customFormat="1" ht="13.5" thickBot="1">
      <c r="C21" s="397"/>
      <c r="D21" s="398"/>
      <c r="E21" s="396"/>
      <c r="F21" s="396"/>
      <c r="G21" s="396"/>
      <c r="I21" s="423"/>
      <c r="J21" s="423"/>
      <c r="N21" s="259"/>
    </row>
    <row r="22" spans="1:18" s="220" customFormat="1" ht="19" thickBot="1">
      <c r="A22" s="221" t="s">
        <v>1150</v>
      </c>
      <c r="C22" s="397"/>
      <c r="D22" s="398"/>
      <c r="E22"/>
      <c r="F22" s="1583" t="s">
        <v>352</v>
      </c>
      <c r="G22" s="1584"/>
      <c r="H22" s="1585"/>
      <c r="M22" s="259"/>
    </row>
    <row r="23" spans="1:18" s="220" customFormat="1" ht="39.5" thickBot="1">
      <c r="A23" s="1238" t="s">
        <v>70</v>
      </c>
      <c r="B23" s="1011"/>
      <c r="C23" s="402" t="s">
        <v>353</v>
      </c>
      <c r="D23" s="402" t="s">
        <v>1</v>
      </c>
      <c r="E23" s="403" t="s">
        <v>254</v>
      </c>
      <c r="F23" s="404" t="s">
        <v>354</v>
      </c>
      <c r="G23" s="402" t="s">
        <v>355</v>
      </c>
      <c r="H23" s="673" t="s">
        <v>356</v>
      </c>
      <c r="L23" s="724"/>
      <c r="M23" s="258"/>
      <c r="N23" s="258"/>
      <c r="O23" s="258"/>
      <c r="P23" s="258"/>
      <c r="Q23" s="258"/>
      <c r="R23" s="429"/>
    </row>
    <row r="24" spans="1:18" s="220" customFormat="1" ht="13">
      <c r="A24" s="644" t="s">
        <v>19</v>
      </c>
      <c r="B24" s="1232"/>
      <c r="C24" s="1233" t="s">
        <v>262</v>
      </c>
      <c r="D24" s="645" t="s">
        <v>1021</v>
      </c>
      <c r="E24" s="675" t="s">
        <v>262</v>
      </c>
      <c r="F24" s="1229">
        <v>0</v>
      </c>
      <c r="G24" s="1230">
        <v>0</v>
      </c>
      <c r="H24" s="1231">
        <v>0</v>
      </c>
      <c r="J24" s="259"/>
      <c r="K24" s="259"/>
      <c r="L24" s="259"/>
      <c r="M24" s="259"/>
      <c r="N24" s="259"/>
      <c r="O24" s="259"/>
      <c r="P24" s="429"/>
    </row>
    <row r="25" spans="1:18" s="220" customFormat="1" ht="13">
      <c r="A25" s="649" t="s">
        <v>77</v>
      </c>
      <c r="B25" s="1013"/>
      <c r="C25" s="683" t="s">
        <v>262</v>
      </c>
      <c r="D25" s="415" t="s">
        <v>1021</v>
      </c>
      <c r="E25" s="286" t="s">
        <v>262</v>
      </c>
      <c r="F25" s="1000">
        <v>0</v>
      </c>
      <c r="G25" s="973">
        <v>0</v>
      </c>
      <c r="H25" s="974">
        <v>0</v>
      </c>
      <c r="J25" s="259"/>
      <c r="K25" s="259"/>
      <c r="L25" s="259"/>
      <c r="M25" s="259"/>
      <c r="N25" s="259"/>
      <c r="O25" s="259"/>
      <c r="P25" s="429"/>
    </row>
    <row r="26" spans="1:18" s="220" customFormat="1" ht="13">
      <c r="A26" s="649" t="s">
        <v>78</v>
      </c>
      <c r="B26" s="1013"/>
      <c r="C26" s="683" t="s">
        <v>262</v>
      </c>
      <c r="D26" s="415" t="s">
        <v>1021</v>
      </c>
      <c r="E26" s="286" t="s">
        <v>262</v>
      </c>
      <c r="F26" s="1000">
        <v>0</v>
      </c>
      <c r="G26" s="973">
        <v>0</v>
      </c>
      <c r="H26" s="974">
        <v>0</v>
      </c>
      <c r="J26" s="259"/>
      <c r="K26" s="259"/>
      <c r="L26" s="259"/>
      <c r="M26" s="259"/>
      <c r="N26" s="259"/>
      <c r="O26" s="259"/>
      <c r="P26" s="259"/>
      <c r="Q26" s="429"/>
    </row>
    <row r="27" spans="1:18" s="220" customFormat="1" ht="13">
      <c r="A27" s="649" t="s">
        <v>79</v>
      </c>
      <c r="B27" s="1013"/>
      <c r="C27" s="683" t="s">
        <v>262</v>
      </c>
      <c r="D27" s="415" t="s">
        <v>1021</v>
      </c>
      <c r="E27" s="418" t="s">
        <v>262</v>
      </c>
      <c r="F27" s="1000">
        <v>0</v>
      </c>
      <c r="G27" s="973">
        <v>0</v>
      </c>
      <c r="H27" s="974">
        <v>0</v>
      </c>
      <c r="J27" s="724"/>
      <c r="K27" s="258"/>
      <c r="L27" s="258"/>
      <c r="M27" s="258"/>
      <c r="N27" s="258"/>
      <c r="O27" s="258"/>
      <c r="P27" s="258"/>
      <c r="Q27" s="429"/>
    </row>
    <row r="28" spans="1:18" s="220" customFormat="1" ht="13">
      <c r="A28" s="649" t="s">
        <v>81</v>
      </c>
      <c r="B28" s="1013"/>
      <c r="C28" s="683" t="s">
        <v>262</v>
      </c>
      <c r="D28" s="415" t="s">
        <v>1021</v>
      </c>
      <c r="E28" s="418" t="s">
        <v>262</v>
      </c>
      <c r="F28" s="1000">
        <v>0</v>
      </c>
      <c r="G28" s="973">
        <v>0</v>
      </c>
      <c r="H28" s="974">
        <v>0</v>
      </c>
      <c r="J28" s="259"/>
      <c r="K28" s="259"/>
      <c r="L28" s="259"/>
      <c r="M28" s="259"/>
      <c r="N28" s="259"/>
      <c r="O28" s="259"/>
      <c r="P28" s="259"/>
      <c r="Q28" s="429"/>
    </row>
    <row r="29" spans="1:18" s="220" customFormat="1" ht="13">
      <c r="A29" s="649" t="s">
        <v>82</v>
      </c>
      <c r="B29" s="1013"/>
      <c r="C29" s="414">
        <f>1.19</f>
        <v>1.19</v>
      </c>
      <c r="D29" s="415" t="s">
        <v>1021</v>
      </c>
      <c r="E29" s="418" t="s">
        <v>696</v>
      </c>
      <c r="F29" s="320">
        <f>$F$11*C29</f>
        <v>2.445205479452055</v>
      </c>
      <c r="G29" s="414">
        <f>F29*8760/2000</f>
        <v>10.710000000000003</v>
      </c>
      <c r="H29" s="287">
        <f t="shared" ref="H29:H46" si="0">G29*$J$11</f>
        <v>1.3387500000000003</v>
      </c>
      <c r="J29" s="259"/>
      <c r="K29" s="259"/>
      <c r="L29" s="259"/>
      <c r="M29" s="259"/>
      <c r="N29" s="259"/>
      <c r="O29" s="259"/>
      <c r="P29" s="259"/>
      <c r="Q29" s="429"/>
    </row>
    <row r="30" spans="1:18" s="220" customFormat="1" ht="13">
      <c r="A30" s="649" t="s">
        <v>83</v>
      </c>
      <c r="B30" s="1013"/>
      <c r="C30" s="683" t="s">
        <v>262</v>
      </c>
      <c r="D30" s="415" t="s">
        <v>1021</v>
      </c>
      <c r="E30" s="286" t="s">
        <v>262</v>
      </c>
      <c r="F30" s="1000">
        <v>0</v>
      </c>
      <c r="G30" s="973">
        <v>0</v>
      </c>
      <c r="H30" s="974">
        <v>0</v>
      </c>
    </row>
    <row r="31" spans="1:18" s="220" customFormat="1" ht="13">
      <c r="A31" s="1336" t="s">
        <v>1233</v>
      </c>
      <c r="B31" s="1337"/>
      <c r="C31" s="711"/>
      <c r="D31" s="711"/>
      <c r="E31" s="1202"/>
      <c r="F31" s="1000">
        <f>F47+F48</f>
        <v>0</v>
      </c>
      <c r="G31" s="973">
        <f>G47+G48</f>
        <v>0</v>
      </c>
      <c r="H31" s="974">
        <f>H47+H48</f>
        <v>0</v>
      </c>
    </row>
    <row r="32" spans="1:18" s="220" customFormat="1" ht="13">
      <c r="A32" s="1017" t="s">
        <v>84</v>
      </c>
      <c r="B32" s="1012"/>
      <c r="C32" s="711"/>
      <c r="D32" s="711"/>
      <c r="E32" s="713"/>
      <c r="F32" s="320">
        <f>SUM(F33:F50)+F30</f>
        <v>1.6461123287671235</v>
      </c>
      <c r="G32" s="414">
        <f>SUM(G33:G50)+G30</f>
        <v>7.2099720000000014</v>
      </c>
      <c r="H32" s="738">
        <f>G32*$J$11</f>
        <v>0.90124650000000017</v>
      </c>
    </row>
    <row r="33" spans="1:8" s="220" customFormat="1" ht="13">
      <c r="A33" s="1018" t="s">
        <v>265</v>
      </c>
      <c r="B33" s="1014"/>
      <c r="C33" s="683" t="s">
        <v>262</v>
      </c>
      <c r="D33" s="415" t="s">
        <v>1021</v>
      </c>
      <c r="E33" s="286" t="s">
        <v>262</v>
      </c>
      <c r="F33" s="1000">
        <v>0</v>
      </c>
      <c r="G33" s="973">
        <v>0</v>
      </c>
      <c r="H33" s="974">
        <v>0</v>
      </c>
    </row>
    <row r="34" spans="1:8" s="220" customFormat="1" ht="13">
      <c r="A34" s="1018" t="s">
        <v>266</v>
      </c>
      <c r="B34" s="1014"/>
      <c r="C34" s="683" t="s">
        <v>262</v>
      </c>
      <c r="D34" s="415" t="s">
        <v>1021</v>
      </c>
      <c r="E34" s="286" t="s">
        <v>262</v>
      </c>
      <c r="F34" s="1000">
        <v>0</v>
      </c>
      <c r="G34" s="973">
        <v>0</v>
      </c>
      <c r="H34" s="974">
        <v>0</v>
      </c>
    </row>
    <row r="35" spans="1:8" s="220" customFormat="1" ht="13">
      <c r="A35" s="1018" t="s">
        <v>267</v>
      </c>
      <c r="B35" s="1014"/>
      <c r="C35" s="683" t="s">
        <v>262</v>
      </c>
      <c r="D35" s="415" t="s">
        <v>1021</v>
      </c>
      <c r="E35" s="286" t="s">
        <v>262</v>
      </c>
      <c r="F35" s="1000">
        <v>0</v>
      </c>
      <c r="G35" s="973">
        <v>0</v>
      </c>
      <c r="H35" s="974">
        <v>0</v>
      </c>
    </row>
    <row r="36" spans="1:8" s="220" customFormat="1" ht="13">
      <c r="A36" s="1018" t="s">
        <v>268</v>
      </c>
      <c r="B36" s="1014"/>
      <c r="C36" s="683" t="s">
        <v>262</v>
      </c>
      <c r="D36" s="415" t="s">
        <v>1021</v>
      </c>
      <c r="E36" s="286" t="s">
        <v>262</v>
      </c>
      <c r="F36" s="1000">
        <v>0</v>
      </c>
      <c r="G36" s="973">
        <v>0</v>
      </c>
      <c r="H36" s="974">
        <v>0</v>
      </c>
    </row>
    <row r="37" spans="1:8" s="220" customFormat="1" ht="13">
      <c r="A37" s="1018" t="s">
        <v>269</v>
      </c>
      <c r="B37" s="1014"/>
      <c r="C37" s="683" t="s">
        <v>262</v>
      </c>
      <c r="D37" s="415" t="s">
        <v>1021</v>
      </c>
      <c r="E37" s="286" t="s">
        <v>262</v>
      </c>
      <c r="F37" s="1000">
        <v>0</v>
      </c>
      <c r="G37" s="973">
        <v>0</v>
      </c>
      <c r="H37" s="974">
        <v>0</v>
      </c>
    </row>
    <row r="38" spans="1:8" s="220" customFormat="1" ht="13">
      <c r="A38" s="1019" t="s">
        <v>971</v>
      </c>
      <c r="B38" s="1015"/>
      <c r="C38" s="420">
        <f>$C$29*E59%</f>
        <v>0.59499999999999997</v>
      </c>
      <c r="D38" s="415" t="s">
        <v>1021</v>
      </c>
      <c r="E38" s="286" t="s">
        <v>357</v>
      </c>
      <c r="F38" s="320">
        <f t="shared" ref="F38:F46" si="1">$F$11*C38</f>
        <v>1.2226027397260275</v>
      </c>
      <c r="G38" s="414">
        <f t="shared" ref="G38:G46" si="2">F38*8760/2000</f>
        <v>5.3550000000000013</v>
      </c>
      <c r="H38" s="738">
        <f t="shared" si="0"/>
        <v>0.66937500000000016</v>
      </c>
    </row>
    <row r="39" spans="1:8" s="220" customFormat="1" ht="13">
      <c r="A39" s="1234" t="s">
        <v>1156</v>
      </c>
      <c r="B39" s="1015"/>
      <c r="C39" s="683" t="s">
        <v>262</v>
      </c>
      <c r="D39" s="415" t="s">
        <v>1021</v>
      </c>
      <c r="E39" s="418" t="s">
        <v>262</v>
      </c>
      <c r="F39" s="1000">
        <v>0</v>
      </c>
      <c r="G39" s="973">
        <v>0</v>
      </c>
      <c r="H39" s="974">
        <v>0</v>
      </c>
    </row>
    <row r="40" spans="1:8" s="220" customFormat="1" ht="13">
      <c r="A40" s="1235" t="s">
        <v>554</v>
      </c>
      <c r="B40" s="1015"/>
      <c r="C40" s="683" t="s">
        <v>262</v>
      </c>
      <c r="D40" s="415" t="s">
        <v>1021</v>
      </c>
      <c r="E40" s="286" t="s">
        <v>262</v>
      </c>
      <c r="F40" s="1000">
        <v>0</v>
      </c>
      <c r="G40" s="973">
        <v>0</v>
      </c>
      <c r="H40" s="974">
        <v>0</v>
      </c>
    </row>
    <row r="41" spans="1:8" s="220" customFormat="1" ht="13">
      <c r="A41" s="1235" t="s">
        <v>91</v>
      </c>
      <c r="B41" s="1015"/>
      <c r="C41" s="683" t="s">
        <v>262</v>
      </c>
      <c r="D41" s="415" t="s">
        <v>1021</v>
      </c>
      <c r="E41" s="286" t="s">
        <v>262</v>
      </c>
      <c r="F41" s="1000">
        <v>0</v>
      </c>
      <c r="G41" s="973">
        <v>0</v>
      </c>
      <c r="H41" s="974">
        <v>0</v>
      </c>
    </row>
    <row r="42" spans="1:8" s="220" customFormat="1" ht="13">
      <c r="A42" s="1235" t="s">
        <v>1009</v>
      </c>
      <c r="B42" s="1015"/>
      <c r="C42" s="683" t="s">
        <v>262</v>
      </c>
      <c r="D42" s="415" t="s">
        <v>1021</v>
      </c>
      <c r="E42" s="286" t="s">
        <v>262</v>
      </c>
      <c r="F42" s="1000">
        <v>0</v>
      </c>
      <c r="G42" s="973">
        <v>0</v>
      </c>
      <c r="H42" s="974">
        <v>0</v>
      </c>
    </row>
    <row r="43" spans="1:8" s="220" customFormat="1" ht="13">
      <c r="A43" s="1018" t="s">
        <v>359</v>
      </c>
      <c r="B43" s="1014"/>
      <c r="C43" s="420">
        <f>$C$29*E60%</f>
        <v>1.1899999999999999E-2</v>
      </c>
      <c r="D43" s="415" t="s">
        <v>1021</v>
      </c>
      <c r="E43" s="286" t="s">
        <v>357</v>
      </c>
      <c r="F43" s="320">
        <f t="shared" si="1"/>
        <v>2.4452054794520547E-2</v>
      </c>
      <c r="G43" s="414">
        <f t="shared" si="2"/>
        <v>0.1071</v>
      </c>
      <c r="H43" s="738">
        <f t="shared" si="0"/>
        <v>1.33875E-2</v>
      </c>
    </row>
    <row r="44" spans="1:8" s="220" customFormat="1" ht="13">
      <c r="A44" s="1018" t="s">
        <v>100</v>
      </c>
      <c r="B44" s="1014"/>
      <c r="C44" s="420">
        <f>$C$29*E61%</f>
        <v>0.11899999999999999</v>
      </c>
      <c r="D44" s="415" t="s">
        <v>1021</v>
      </c>
      <c r="E44" s="286" t="s">
        <v>357</v>
      </c>
      <c r="F44" s="320">
        <f t="shared" si="1"/>
        <v>0.2445205479452055</v>
      </c>
      <c r="G44" s="414">
        <f t="shared" si="2"/>
        <v>1.071</v>
      </c>
      <c r="H44" s="738">
        <f t="shared" si="0"/>
        <v>0.13387499999999999</v>
      </c>
    </row>
    <row r="45" spans="1:8" s="220" customFormat="1" ht="13">
      <c r="A45" s="1018" t="s">
        <v>96</v>
      </c>
      <c r="B45" s="1014"/>
      <c r="C45" s="420">
        <f>$C$29*E62%</f>
        <v>1.1899999999999999E-3</v>
      </c>
      <c r="D45" s="415" t="s">
        <v>1021</v>
      </c>
      <c r="E45" s="286" t="s">
        <v>357</v>
      </c>
      <c r="F45" s="320">
        <f t="shared" si="1"/>
        <v>2.4452054794520547E-3</v>
      </c>
      <c r="G45" s="414">
        <f t="shared" si="2"/>
        <v>1.0709999999999999E-2</v>
      </c>
      <c r="H45" s="738">
        <f t="shared" si="0"/>
        <v>1.3387499999999999E-3</v>
      </c>
    </row>
    <row r="46" spans="1:8" s="220" customFormat="1" ht="13">
      <c r="A46" s="1367" t="s">
        <v>360</v>
      </c>
      <c r="B46" s="1368"/>
      <c r="C46" s="1369">
        <f>$C$29*E63%</f>
        <v>7.4018E-2</v>
      </c>
      <c r="D46" s="757" t="s">
        <v>1021</v>
      </c>
      <c r="E46" s="1370" t="s">
        <v>357</v>
      </c>
      <c r="F46" s="1371">
        <f t="shared" si="1"/>
        <v>0.15209178082191782</v>
      </c>
      <c r="G46" s="1372">
        <f t="shared" si="2"/>
        <v>0.66616200000000003</v>
      </c>
      <c r="H46" s="763">
        <f t="shared" si="0"/>
        <v>8.3270250000000004E-2</v>
      </c>
    </row>
    <row r="47" spans="1:8" s="220" customFormat="1" ht="13">
      <c r="A47" s="1018" t="s">
        <v>1234</v>
      </c>
      <c r="B47" s="1014"/>
      <c r="C47" s="683" t="s">
        <v>262</v>
      </c>
      <c r="D47" s="415" t="s">
        <v>1021</v>
      </c>
      <c r="E47" s="286" t="s">
        <v>262</v>
      </c>
      <c r="F47" s="1000">
        <v>0</v>
      </c>
      <c r="G47" s="973">
        <v>0</v>
      </c>
      <c r="H47" s="974">
        <v>0</v>
      </c>
    </row>
    <row r="48" spans="1:8" s="220" customFormat="1" ht="13">
      <c r="A48" s="1018" t="s">
        <v>1242</v>
      </c>
      <c r="B48" s="1014"/>
      <c r="C48" s="683" t="s">
        <v>262</v>
      </c>
      <c r="D48" s="415" t="s">
        <v>1021</v>
      </c>
      <c r="E48" s="286" t="s">
        <v>262</v>
      </c>
      <c r="F48" s="1000">
        <v>0</v>
      </c>
      <c r="G48" s="973">
        <v>0</v>
      </c>
      <c r="H48" s="974">
        <v>0</v>
      </c>
    </row>
    <row r="49" spans="1:20" s="220" customFormat="1" ht="13">
      <c r="A49" s="1018" t="s">
        <v>1258</v>
      </c>
      <c r="B49" s="1014"/>
      <c r="C49" s="683" t="s">
        <v>262</v>
      </c>
      <c r="D49" s="415" t="s">
        <v>1021</v>
      </c>
      <c r="E49" s="286" t="s">
        <v>262</v>
      </c>
      <c r="F49" s="1000">
        <v>0</v>
      </c>
      <c r="G49" s="973">
        <v>0</v>
      </c>
      <c r="H49" s="974">
        <v>0</v>
      </c>
    </row>
    <row r="50" spans="1:20" s="220" customFormat="1" ht="13.5" thickBot="1">
      <c r="A50" s="1020" t="s">
        <v>663</v>
      </c>
      <c r="B50" s="1016"/>
      <c r="C50" s="1241" t="s">
        <v>262</v>
      </c>
      <c r="D50" s="654" t="s">
        <v>1021</v>
      </c>
      <c r="E50" s="301" t="s">
        <v>262</v>
      </c>
      <c r="F50" s="1001">
        <v>0</v>
      </c>
      <c r="G50" s="980">
        <v>0</v>
      </c>
      <c r="H50" s="982">
        <v>0</v>
      </c>
    </row>
    <row r="51" spans="1:20" s="423" customFormat="1" ht="13">
      <c r="A51" s="423" t="s">
        <v>1240</v>
      </c>
      <c r="B51" s="373"/>
      <c r="C51" s="220"/>
      <c r="D51" s="834"/>
      <c r="E51" s="372"/>
      <c r="F51" s="424"/>
      <c r="G51" s="220"/>
      <c r="H51" s="220"/>
      <c r="I51" s="220"/>
    </row>
    <row r="52" spans="1:20" s="423" customFormat="1" ht="13">
      <c r="A52" s="1392" t="s">
        <v>1247</v>
      </c>
      <c r="B52" s="1392"/>
      <c r="C52" s="1392"/>
      <c r="D52" s="1392"/>
      <c r="E52" s="1392"/>
      <c r="F52" s="1392"/>
      <c r="G52" s="1392"/>
      <c r="H52" s="1392"/>
      <c r="I52" s="426"/>
      <c r="J52" s="220"/>
      <c r="K52" s="220"/>
      <c r="L52" s="220"/>
      <c r="M52" s="220"/>
      <c r="N52" s="220"/>
      <c r="O52" s="220"/>
      <c r="P52" s="220"/>
      <c r="Q52" s="220"/>
      <c r="R52" s="220"/>
      <c r="S52" s="220"/>
      <c r="T52" s="220"/>
    </row>
    <row r="53" spans="1:20" s="423" customFormat="1" ht="13">
      <c r="A53" s="1392"/>
      <c r="B53" s="1392"/>
      <c r="C53" s="1392"/>
      <c r="D53" s="1392"/>
      <c r="E53" s="1392"/>
      <c r="F53" s="1392"/>
      <c r="G53" s="1392"/>
      <c r="H53" s="1392"/>
      <c r="I53" s="352"/>
      <c r="J53" s="220"/>
      <c r="K53" s="220"/>
      <c r="L53" s="220"/>
      <c r="M53" s="220"/>
    </row>
    <row r="54" spans="1:20" s="423" customFormat="1" ht="13">
      <c r="A54" s="1392"/>
      <c r="B54" s="1392"/>
      <c r="C54" s="1392"/>
      <c r="D54" s="1392"/>
      <c r="E54" s="1392"/>
      <c r="F54" s="1392"/>
      <c r="G54" s="1392"/>
      <c r="H54" s="1392"/>
      <c r="I54" s="352"/>
      <c r="J54" s="220"/>
      <c r="K54" s="220"/>
      <c r="L54" s="220"/>
      <c r="M54" s="220"/>
    </row>
    <row r="55" spans="1:20" s="423" customFormat="1" ht="13">
      <c r="A55" s="1392"/>
      <c r="B55" s="1392"/>
      <c r="C55" s="1392"/>
      <c r="D55" s="1392"/>
      <c r="E55" s="1392"/>
      <c r="F55" s="1392"/>
      <c r="G55" s="1392"/>
      <c r="H55" s="1392"/>
      <c r="I55" s="352"/>
      <c r="J55" s="352"/>
      <c r="K55" s="220"/>
      <c r="L55" s="220"/>
      <c r="M55" s="220"/>
      <c r="N55" s="220"/>
    </row>
    <row r="56" spans="1:20" s="423" customFormat="1" ht="13">
      <c r="A56" s="1392"/>
      <c r="B56" s="1392"/>
      <c r="C56" s="1392"/>
      <c r="D56" s="1392"/>
      <c r="E56" s="1392"/>
      <c r="F56" s="1392"/>
      <c r="G56" s="1392"/>
      <c r="H56" s="1392"/>
      <c r="I56" s="352"/>
      <c r="J56" s="352"/>
      <c r="K56" s="220"/>
      <c r="L56" s="220"/>
      <c r="M56" s="220"/>
      <c r="N56" s="220"/>
      <c r="O56" s="220"/>
      <c r="P56" s="220"/>
    </row>
    <row r="57" spans="1:20" s="423" customFormat="1" ht="13">
      <c r="A57" s="1392"/>
      <c r="B57" s="1392"/>
      <c r="C57" s="1392"/>
      <c r="D57" s="1392"/>
      <c r="E57" s="1392"/>
      <c r="F57" s="1392"/>
      <c r="G57" s="1392"/>
      <c r="H57" s="1392"/>
      <c r="I57" s="352"/>
      <c r="J57" s="352"/>
      <c r="K57" s="220"/>
      <c r="L57" s="220"/>
      <c r="M57" s="220"/>
      <c r="N57" s="220"/>
      <c r="O57" s="220"/>
      <c r="P57" s="220"/>
    </row>
    <row r="58" spans="1:20" s="423" customFormat="1" ht="30" customHeight="1">
      <c r="B58" s="957"/>
      <c r="C58" s="958"/>
      <c r="D58" s="961" t="s">
        <v>973</v>
      </c>
      <c r="E58" s="1574" t="s">
        <v>953</v>
      </c>
      <c r="F58" s="1575"/>
      <c r="G58" s="220"/>
      <c r="H58" s="220"/>
      <c r="I58" s="220"/>
      <c r="J58" s="220"/>
    </row>
    <row r="59" spans="1:20" s="423" customFormat="1" ht="13">
      <c r="B59" s="835"/>
      <c r="C59" s="246"/>
      <c r="D59" s="959" t="s">
        <v>971</v>
      </c>
      <c r="E59" s="947">
        <f>MAX('SDS Summary'!D29:F29)</f>
        <v>50</v>
      </c>
      <c r="F59" s="1034" t="s">
        <v>952</v>
      </c>
      <c r="G59" s="220"/>
      <c r="H59" s="220"/>
      <c r="I59" s="220"/>
      <c r="J59" s="220"/>
    </row>
    <row r="60" spans="1:20" s="423" customFormat="1" ht="13">
      <c r="B60" s="835"/>
      <c r="C60" s="246"/>
      <c r="D60" s="959" t="s">
        <v>359</v>
      </c>
      <c r="E60" s="946">
        <f>MAX('SDS Summary'!D34:F34)</f>
        <v>1</v>
      </c>
      <c r="F60" s="1034" t="s">
        <v>952</v>
      </c>
      <c r="G60" s="220"/>
      <c r="H60" s="220"/>
      <c r="I60" s="220"/>
      <c r="J60" s="220"/>
    </row>
    <row r="61" spans="1:20" s="423" customFormat="1" ht="13">
      <c r="B61" s="835"/>
      <c r="C61" s="246"/>
      <c r="D61" s="960" t="s">
        <v>100</v>
      </c>
      <c r="E61" s="946">
        <f>MAX('SDS Summary'!D35:F35)</f>
        <v>10</v>
      </c>
      <c r="F61" s="1034" t="s">
        <v>952</v>
      </c>
      <c r="G61" s="220"/>
      <c r="H61" s="220"/>
      <c r="I61" s="220"/>
      <c r="J61" s="220"/>
    </row>
    <row r="62" spans="1:20" s="423" customFormat="1" ht="13">
      <c r="B62" s="835"/>
      <c r="C62" s="246"/>
      <c r="D62" s="960" t="s">
        <v>96</v>
      </c>
      <c r="E62" s="946">
        <f>MAX('SDS Summary'!D41:F41)</f>
        <v>0.1</v>
      </c>
      <c r="F62" s="1034" t="s">
        <v>952</v>
      </c>
      <c r="G62" s="220"/>
      <c r="H62" s="220"/>
      <c r="I62" s="220"/>
      <c r="J62" s="220"/>
    </row>
    <row r="63" spans="1:20" s="423" customFormat="1" ht="13">
      <c r="B63" s="835"/>
      <c r="C63" s="246"/>
      <c r="D63" s="960" t="s">
        <v>360</v>
      </c>
      <c r="E63" s="946">
        <f>MAX('SDS Summary'!D42:F42)</f>
        <v>6.22</v>
      </c>
      <c r="F63" s="1034" t="s">
        <v>952</v>
      </c>
      <c r="G63" s="220"/>
      <c r="H63" s="220"/>
      <c r="I63" s="220"/>
      <c r="J63" s="220"/>
    </row>
    <row r="64" spans="1:20" s="423" customFormat="1" ht="13.5" thickBot="1">
      <c r="B64" s="373"/>
      <c r="C64" s="220"/>
      <c r="D64" s="834"/>
      <c r="E64" s="836"/>
      <c r="F64" s="424"/>
      <c r="G64" s="836"/>
      <c r="H64" s="836"/>
      <c r="I64" s="220"/>
      <c r="J64" s="220"/>
    </row>
    <row r="65" spans="1:12" ht="19" thickBot="1">
      <c r="A65" s="221" t="s">
        <v>1158</v>
      </c>
      <c r="B65" s="220"/>
      <c r="C65" s="399"/>
      <c r="D65" s="400"/>
      <c r="E65"/>
      <c r="F65" s="1563" t="s">
        <v>352</v>
      </c>
      <c r="G65" s="1564"/>
      <c r="H65" s="1565"/>
      <c r="I65" s="383"/>
      <c r="J65" s="383"/>
      <c r="L65" s="383"/>
    </row>
    <row r="66" spans="1:12" ht="40" thickBot="1">
      <c r="A66" s="1238" t="s">
        <v>70</v>
      </c>
      <c r="B66" s="1011"/>
      <c r="C66" s="402" t="s">
        <v>353</v>
      </c>
      <c r="D66" s="402" t="s">
        <v>1</v>
      </c>
      <c r="E66" s="643" t="s">
        <v>254</v>
      </c>
      <c r="F66" s="1347" t="s">
        <v>354</v>
      </c>
      <c r="G66" s="1348" t="s">
        <v>355</v>
      </c>
      <c r="H66" s="673" t="s">
        <v>356</v>
      </c>
      <c r="I66" s="383"/>
      <c r="J66" s="383"/>
      <c r="L66" s="383"/>
    </row>
    <row r="67" spans="1:12">
      <c r="A67" s="1017" t="s">
        <v>19</v>
      </c>
      <c r="B67" s="1012"/>
      <c r="C67" s="683" t="s">
        <v>262</v>
      </c>
      <c r="D67" s="409" t="s">
        <v>1021</v>
      </c>
      <c r="E67" s="410" t="s">
        <v>262</v>
      </c>
      <c r="F67" s="1229">
        <v>0</v>
      </c>
      <c r="G67" s="1349">
        <v>0</v>
      </c>
      <c r="H67" s="1231">
        <v>0</v>
      </c>
      <c r="I67" s="383"/>
      <c r="J67" s="383"/>
      <c r="L67" s="383"/>
    </row>
    <row r="68" spans="1:12">
      <c r="A68" s="649" t="s">
        <v>77</v>
      </c>
      <c r="B68" s="1013"/>
      <c r="C68" s="683" t="s">
        <v>262</v>
      </c>
      <c r="D68" s="415" t="s">
        <v>1021</v>
      </c>
      <c r="E68" s="286" t="s">
        <v>262</v>
      </c>
      <c r="F68" s="1000">
        <v>0</v>
      </c>
      <c r="G68" s="992">
        <v>0</v>
      </c>
      <c r="H68" s="974">
        <v>0</v>
      </c>
      <c r="I68" s="383"/>
      <c r="J68" s="383"/>
      <c r="L68" s="383"/>
    </row>
    <row r="69" spans="1:12">
      <c r="A69" s="649" t="s">
        <v>78</v>
      </c>
      <c r="B69" s="1013"/>
      <c r="C69" s="683" t="s">
        <v>262</v>
      </c>
      <c r="D69" s="415" t="s">
        <v>1021</v>
      </c>
      <c r="E69" s="286" t="s">
        <v>262</v>
      </c>
      <c r="F69" s="1000">
        <v>0</v>
      </c>
      <c r="G69" s="992">
        <v>0</v>
      </c>
      <c r="H69" s="974">
        <v>0</v>
      </c>
      <c r="I69" s="383"/>
      <c r="J69" s="383"/>
      <c r="L69" s="383"/>
    </row>
    <row r="70" spans="1:12">
      <c r="A70" s="649" t="s">
        <v>79</v>
      </c>
      <c r="B70" s="1013"/>
      <c r="C70" s="683" t="s">
        <v>262</v>
      </c>
      <c r="D70" s="415" t="s">
        <v>1021</v>
      </c>
      <c r="E70" s="418" t="s">
        <v>262</v>
      </c>
      <c r="F70" s="1000">
        <v>0</v>
      </c>
      <c r="G70" s="992">
        <v>0</v>
      </c>
      <c r="H70" s="974">
        <v>0</v>
      </c>
      <c r="I70" s="383"/>
      <c r="J70" s="383"/>
      <c r="K70" s="382"/>
      <c r="L70" s="383"/>
    </row>
    <row r="71" spans="1:12">
      <c r="A71" s="649" t="s">
        <v>81</v>
      </c>
      <c r="B71" s="1013"/>
      <c r="C71" s="683" t="s">
        <v>262</v>
      </c>
      <c r="D71" s="415" t="s">
        <v>1021</v>
      </c>
      <c r="E71" s="418" t="s">
        <v>262</v>
      </c>
      <c r="F71" s="1000">
        <v>0</v>
      </c>
      <c r="G71" s="992">
        <v>0</v>
      </c>
      <c r="H71" s="974">
        <v>0</v>
      </c>
      <c r="I71" s="383"/>
      <c r="J71" s="383"/>
      <c r="K71" s="382"/>
      <c r="L71" s="383"/>
    </row>
    <row r="72" spans="1:12">
      <c r="A72" s="649" t="s">
        <v>82</v>
      </c>
      <c r="B72" s="1013"/>
      <c r="C72" s="414">
        <f>F98</f>
        <v>14.399999999999999</v>
      </c>
      <c r="D72" s="415" t="s">
        <v>1021</v>
      </c>
      <c r="E72" s="1009" t="s">
        <v>357</v>
      </c>
      <c r="F72" s="320">
        <f>$F$12*C72</f>
        <v>0.81041095890410952</v>
      </c>
      <c r="G72" s="289">
        <f>F72*8760/2000</f>
        <v>3.5495999999999999</v>
      </c>
      <c r="H72" s="287">
        <f>G72*$J$11</f>
        <v>0.44369999999999998</v>
      </c>
      <c r="I72" s="383"/>
      <c r="J72" s="383"/>
      <c r="K72" s="382"/>
      <c r="L72" s="383"/>
    </row>
    <row r="73" spans="1:12">
      <c r="A73" s="649" t="s">
        <v>83</v>
      </c>
      <c r="B73" s="1013"/>
      <c r="C73" s="683" t="s">
        <v>262</v>
      </c>
      <c r="D73" s="415" t="s">
        <v>1021</v>
      </c>
      <c r="E73" s="418" t="s">
        <v>262</v>
      </c>
      <c r="F73" s="1000">
        <v>0</v>
      </c>
      <c r="G73" s="992">
        <v>0</v>
      </c>
      <c r="H73" s="974">
        <v>0</v>
      </c>
      <c r="I73" s="383"/>
      <c r="J73" s="383"/>
      <c r="K73" s="382"/>
      <c r="L73" s="383"/>
    </row>
    <row r="74" spans="1:12">
      <c r="A74" s="1336" t="s">
        <v>1233</v>
      </c>
      <c r="B74" s="1337"/>
      <c r="C74" s="711"/>
      <c r="D74" s="711"/>
      <c r="E74" s="1202"/>
      <c r="F74" s="277">
        <f>F90+F91</f>
        <v>0.16883561643835618</v>
      </c>
      <c r="G74" s="280">
        <f>G90+G91</f>
        <v>0.73950000000000005</v>
      </c>
      <c r="H74" s="287">
        <f>H90+H91</f>
        <v>9.2437500000000006E-2</v>
      </c>
      <c r="I74" s="383"/>
      <c r="J74" s="383"/>
      <c r="L74" s="383"/>
    </row>
    <row r="75" spans="1:12">
      <c r="A75" s="1017" t="s">
        <v>84</v>
      </c>
      <c r="B75" s="1012"/>
      <c r="C75" s="711"/>
      <c r="D75" s="711"/>
      <c r="E75" s="1202"/>
      <c r="F75" s="320">
        <f>SUM(F76:F93)+F73</f>
        <v>1.3731963470319637</v>
      </c>
      <c r="G75" s="289">
        <f>SUM(G76:G93)+G73</f>
        <v>6.0146000000000015</v>
      </c>
      <c r="H75" s="287">
        <f>SUM(H76:H93)+H73</f>
        <v>0.75182500000000019</v>
      </c>
      <c r="I75" s="383"/>
      <c r="J75" s="383"/>
      <c r="K75" s="382"/>
      <c r="L75" s="383"/>
    </row>
    <row r="76" spans="1:12">
      <c r="A76" s="1018" t="s">
        <v>265</v>
      </c>
      <c r="B76" s="1014"/>
      <c r="C76" s="683" t="s">
        <v>262</v>
      </c>
      <c r="D76" s="415" t="s">
        <v>1021</v>
      </c>
      <c r="E76" s="418" t="s">
        <v>262</v>
      </c>
      <c r="F76" s="1000">
        <v>0</v>
      </c>
      <c r="G76" s="992">
        <v>0</v>
      </c>
      <c r="H76" s="974">
        <v>0</v>
      </c>
      <c r="I76" s="383"/>
      <c r="J76" s="383"/>
      <c r="K76" s="382"/>
      <c r="L76" s="383"/>
    </row>
    <row r="77" spans="1:12">
      <c r="A77" s="1018" t="s">
        <v>266</v>
      </c>
      <c r="B77" s="1014"/>
      <c r="C77" s="683" t="s">
        <v>262</v>
      </c>
      <c r="D77" s="415" t="s">
        <v>1021</v>
      </c>
      <c r="E77" s="418" t="s">
        <v>262</v>
      </c>
      <c r="F77" s="1000">
        <v>0</v>
      </c>
      <c r="G77" s="992">
        <v>0</v>
      </c>
      <c r="H77" s="974">
        <v>0</v>
      </c>
      <c r="I77" s="383"/>
      <c r="J77" s="383"/>
      <c r="K77" s="382"/>
      <c r="L77" s="383"/>
    </row>
    <row r="78" spans="1:12">
      <c r="A78" s="1018" t="s">
        <v>267</v>
      </c>
      <c r="B78" s="1014"/>
      <c r="C78" s="683" t="s">
        <v>262</v>
      </c>
      <c r="D78" s="415" t="s">
        <v>1021</v>
      </c>
      <c r="E78" s="418" t="s">
        <v>262</v>
      </c>
      <c r="F78" s="1000">
        <v>0</v>
      </c>
      <c r="G78" s="992">
        <v>0</v>
      </c>
      <c r="H78" s="974">
        <v>0</v>
      </c>
      <c r="I78" s="383"/>
      <c r="J78" s="383"/>
      <c r="K78" s="382"/>
      <c r="L78" s="383"/>
    </row>
    <row r="79" spans="1:12">
      <c r="A79" s="1018" t="s">
        <v>268</v>
      </c>
      <c r="B79" s="1014"/>
      <c r="C79" s="683" t="s">
        <v>262</v>
      </c>
      <c r="D79" s="415" t="s">
        <v>1021</v>
      </c>
      <c r="E79" s="418" t="s">
        <v>262</v>
      </c>
      <c r="F79" s="1000">
        <v>0</v>
      </c>
      <c r="G79" s="992">
        <v>0</v>
      </c>
      <c r="H79" s="974">
        <v>0</v>
      </c>
      <c r="I79" s="383"/>
      <c r="J79" s="383"/>
      <c r="K79" s="382"/>
      <c r="L79" s="383"/>
    </row>
    <row r="80" spans="1:12">
      <c r="A80" s="1018" t="s">
        <v>269</v>
      </c>
      <c r="B80" s="1014"/>
      <c r="C80" s="683" t="s">
        <v>262</v>
      </c>
      <c r="D80" s="415" t="s">
        <v>1021</v>
      </c>
      <c r="E80" s="418" t="s">
        <v>262</v>
      </c>
      <c r="F80" s="1000">
        <v>0</v>
      </c>
      <c r="G80" s="992">
        <v>0</v>
      </c>
      <c r="H80" s="974">
        <v>0</v>
      </c>
      <c r="I80" s="383"/>
      <c r="J80" s="383"/>
      <c r="K80" s="382"/>
      <c r="L80" s="383"/>
    </row>
    <row r="81" spans="1:12">
      <c r="A81" s="1019" t="s">
        <v>971</v>
      </c>
      <c r="B81" s="1015"/>
      <c r="C81" s="1373">
        <f>F99</f>
        <v>10</v>
      </c>
      <c r="D81" s="415" t="s">
        <v>1021</v>
      </c>
      <c r="E81" s="527" t="s">
        <v>357</v>
      </c>
      <c r="F81" s="320">
        <f>$F$12*C81</f>
        <v>0.56278538812785395</v>
      </c>
      <c r="G81" s="289">
        <f>F81*8760/2000</f>
        <v>2.4650000000000003</v>
      </c>
      <c r="H81" s="287">
        <f>G81*$J$11</f>
        <v>0.30812500000000004</v>
      </c>
      <c r="I81" s="383"/>
      <c r="J81" s="383"/>
      <c r="K81" s="382"/>
      <c r="L81" s="383"/>
    </row>
    <row r="82" spans="1:12">
      <c r="A82" s="1234" t="s">
        <v>1156</v>
      </c>
      <c r="B82" s="1015"/>
      <c r="C82" s="1373" t="s">
        <v>262</v>
      </c>
      <c r="D82" s="415" t="s">
        <v>1021</v>
      </c>
      <c r="E82" s="527" t="s">
        <v>357</v>
      </c>
      <c r="F82" s="1000">
        <v>0</v>
      </c>
      <c r="G82" s="992">
        <v>0</v>
      </c>
      <c r="H82" s="974">
        <v>0</v>
      </c>
      <c r="I82" s="383"/>
      <c r="J82" s="383"/>
      <c r="K82" s="382"/>
      <c r="L82" s="383"/>
    </row>
    <row r="83" spans="1:12">
      <c r="A83" s="1033" t="s">
        <v>554</v>
      </c>
      <c r="B83" s="1015"/>
      <c r="C83" s="1373" t="s">
        <v>262</v>
      </c>
      <c r="D83" s="415" t="s">
        <v>1021</v>
      </c>
      <c r="E83" s="418" t="s">
        <v>262</v>
      </c>
      <c r="F83" s="1000">
        <v>0</v>
      </c>
      <c r="G83" s="992">
        <v>0</v>
      </c>
      <c r="H83" s="974">
        <v>0</v>
      </c>
      <c r="I83" s="383"/>
      <c r="J83" s="383"/>
      <c r="K83" s="382"/>
      <c r="L83" s="383"/>
    </row>
    <row r="84" spans="1:12">
      <c r="A84" s="1033" t="s">
        <v>91</v>
      </c>
      <c r="B84" s="1015"/>
      <c r="C84" s="1373" t="s">
        <v>262</v>
      </c>
      <c r="D84" s="415" t="s">
        <v>1021</v>
      </c>
      <c r="E84" s="418" t="s">
        <v>262</v>
      </c>
      <c r="F84" s="1000">
        <v>0</v>
      </c>
      <c r="G84" s="992">
        <v>0</v>
      </c>
      <c r="H84" s="974">
        <v>0</v>
      </c>
      <c r="I84" s="383"/>
      <c r="J84" s="383"/>
      <c r="K84" s="382"/>
      <c r="L84" s="383"/>
    </row>
    <row r="85" spans="1:12">
      <c r="A85" s="1033" t="s">
        <v>1009</v>
      </c>
      <c r="B85" s="1015"/>
      <c r="C85" s="1373" t="s">
        <v>262</v>
      </c>
      <c r="D85" s="415" t="s">
        <v>1021</v>
      </c>
      <c r="E85" s="418" t="s">
        <v>262</v>
      </c>
      <c r="F85" s="1000">
        <v>0</v>
      </c>
      <c r="G85" s="992">
        <v>0</v>
      </c>
      <c r="H85" s="974">
        <v>0</v>
      </c>
      <c r="I85" s="383"/>
      <c r="J85" s="383"/>
      <c r="K85" s="382"/>
      <c r="L85" s="383"/>
    </row>
    <row r="86" spans="1:12">
      <c r="A86" s="1018" t="s">
        <v>359</v>
      </c>
      <c r="B86" s="1014"/>
      <c r="C86" s="414">
        <f>F101</f>
        <v>0.2</v>
      </c>
      <c r="D86" s="415" t="s">
        <v>1021</v>
      </c>
      <c r="E86" s="527" t="s">
        <v>357</v>
      </c>
      <c r="F86" s="320">
        <f>$F$12*C86</f>
        <v>1.1255707762557078E-2</v>
      </c>
      <c r="G86" s="289">
        <f>F86*8760/2000</f>
        <v>4.9300000000000004E-2</v>
      </c>
      <c r="H86" s="287">
        <f>G86*$J$11</f>
        <v>6.1625000000000004E-3</v>
      </c>
      <c r="I86" s="383"/>
      <c r="J86" s="383"/>
      <c r="K86" s="382"/>
      <c r="L86" s="383"/>
    </row>
    <row r="87" spans="1:12">
      <c r="A87" s="1018" t="s">
        <v>100</v>
      </c>
      <c r="B87" s="1014"/>
      <c r="C87" s="414">
        <f>F102</f>
        <v>0.2</v>
      </c>
      <c r="D87" s="415" t="s">
        <v>1021</v>
      </c>
      <c r="E87" s="527" t="s">
        <v>357</v>
      </c>
      <c r="F87" s="320">
        <f>$F$12*C87</f>
        <v>1.1255707762557078E-2</v>
      </c>
      <c r="G87" s="289">
        <f>F87*8760/2000</f>
        <v>4.9300000000000004E-2</v>
      </c>
      <c r="H87" s="287">
        <f>G87*$J$11</f>
        <v>6.1625000000000004E-3</v>
      </c>
      <c r="I87" s="383"/>
      <c r="J87" s="383"/>
      <c r="L87" s="383"/>
    </row>
    <row r="88" spans="1:12">
      <c r="A88" s="1018" t="s">
        <v>96</v>
      </c>
      <c r="B88" s="1014"/>
      <c r="C88" s="1374" t="s">
        <v>262</v>
      </c>
      <c r="D88" s="415" t="s">
        <v>1021</v>
      </c>
      <c r="E88" s="418" t="s">
        <v>262</v>
      </c>
      <c r="F88" s="1000">
        <v>0</v>
      </c>
      <c r="G88" s="992">
        <v>0</v>
      </c>
      <c r="H88" s="974">
        <v>0</v>
      </c>
      <c r="I88" s="383"/>
      <c r="J88" s="383"/>
      <c r="L88" s="383"/>
    </row>
    <row r="89" spans="1:12">
      <c r="A89" s="1018" t="s">
        <v>360</v>
      </c>
      <c r="B89" s="1014"/>
      <c r="C89" s="414">
        <f>F103</f>
        <v>1</v>
      </c>
      <c r="D89" s="415" t="s">
        <v>1021</v>
      </c>
      <c r="E89" s="527" t="s">
        <v>357</v>
      </c>
      <c r="F89" s="320">
        <f>$F$12*C89</f>
        <v>5.6278538812785391E-2</v>
      </c>
      <c r="G89" s="289">
        <f t="shared" ref="G89" si="3">F89*8760/2000</f>
        <v>0.2465</v>
      </c>
      <c r="H89" s="287">
        <f>G89*$J$11</f>
        <v>3.08125E-2</v>
      </c>
      <c r="I89" s="383"/>
      <c r="J89" s="383"/>
      <c r="L89" s="383"/>
    </row>
    <row r="90" spans="1:12">
      <c r="A90" s="1018" t="s">
        <v>1234</v>
      </c>
      <c r="B90" s="1014"/>
      <c r="C90" s="414">
        <f>F105</f>
        <v>2</v>
      </c>
      <c r="D90" s="415" t="s">
        <v>1021</v>
      </c>
      <c r="E90" s="527" t="s">
        <v>357</v>
      </c>
      <c r="F90" s="320">
        <f t="shared" ref="F90:F93" si="4">$F$12*C90</f>
        <v>0.11255707762557078</v>
      </c>
      <c r="G90" s="289">
        <f t="shared" ref="G90:G93" si="5">F90*8760/2000</f>
        <v>0.49299999999999999</v>
      </c>
      <c r="H90" s="287">
        <f>G90*$J$11</f>
        <v>6.1624999999999999E-2</v>
      </c>
      <c r="I90" s="383"/>
      <c r="J90" s="383"/>
      <c r="L90" s="383"/>
    </row>
    <row r="91" spans="1:12">
      <c r="A91" s="1018" t="s">
        <v>1242</v>
      </c>
      <c r="B91" s="1014"/>
      <c r="C91" s="1374">
        <f>F106</f>
        <v>1</v>
      </c>
      <c r="D91" s="415" t="s">
        <v>1021</v>
      </c>
      <c r="E91" s="418" t="s">
        <v>357</v>
      </c>
      <c r="F91" s="1338">
        <f t="shared" si="4"/>
        <v>5.6278538812785391E-2</v>
      </c>
      <c r="G91" s="1350">
        <f t="shared" si="5"/>
        <v>0.2465</v>
      </c>
      <c r="H91" s="287">
        <f>G91*$J$11</f>
        <v>3.08125E-2</v>
      </c>
      <c r="I91" s="383"/>
      <c r="J91" s="383"/>
      <c r="L91" s="383"/>
    </row>
    <row r="92" spans="1:12">
      <c r="A92" s="1018" t="s">
        <v>1258</v>
      </c>
      <c r="B92" s="1014"/>
      <c r="C92" s="1373" t="s">
        <v>262</v>
      </c>
      <c r="D92" s="415" t="s">
        <v>1021</v>
      </c>
      <c r="E92" s="418" t="s">
        <v>262</v>
      </c>
      <c r="F92" s="1000">
        <v>0</v>
      </c>
      <c r="G92" s="992">
        <v>0</v>
      </c>
      <c r="H92" s="974">
        <v>0</v>
      </c>
      <c r="I92" s="383"/>
      <c r="J92" s="383"/>
      <c r="L92" s="383"/>
    </row>
    <row r="93" spans="1:12" ht="15" thickBot="1">
      <c r="A93" s="1020" t="s">
        <v>663</v>
      </c>
      <c r="B93" s="1016"/>
      <c r="C93" s="1375">
        <f>F107</f>
        <v>10</v>
      </c>
      <c r="D93" s="654" t="s">
        <v>1021</v>
      </c>
      <c r="E93" s="1010" t="s">
        <v>357</v>
      </c>
      <c r="F93" s="1339">
        <f t="shared" si="4"/>
        <v>0.56278538812785395</v>
      </c>
      <c r="G93" s="1351">
        <f t="shared" si="5"/>
        <v>2.4650000000000003</v>
      </c>
      <c r="H93" s="1340">
        <f>G93*$J$11</f>
        <v>0.30812500000000004</v>
      </c>
      <c r="I93" s="383"/>
      <c r="J93" s="383"/>
      <c r="L93" s="383"/>
    </row>
    <row r="94" spans="1:12" ht="15" customHeight="1">
      <c r="A94" s="1570" t="s">
        <v>1248</v>
      </c>
      <c r="B94" s="1570"/>
      <c r="C94" s="1570"/>
      <c r="D94" s="1570"/>
      <c r="E94" s="1570"/>
      <c r="F94" s="1570"/>
      <c r="G94" s="1570"/>
      <c r="H94" s="1570"/>
      <c r="L94" s="383"/>
    </row>
    <row r="95" spans="1:12" ht="15" customHeight="1">
      <c r="A95" s="1392"/>
      <c r="B95" s="1392"/>
      <c r="C95" s="1392"/>
      <c r="D95" s="1392"/>
      <c r="E95" s="1392"/>
      <c r="F95" s="1392"/>
      <c r="G95" s="1392"/>
      <c r="H95" s="1392"/>
      <c r="L95" s="383"/>
    </row>
    <row r="96" spans="1:12">
      <c r="A96" s="1228"/>
      <c r="B96" s="1227"/>
      <c r="C96" s="1227"/>
      <c r="D96" s="1226"/>
      <c r="E96" s="1221" t="s">
        <v>1159</v>
      </c>
      <c r="F96" s="1222"/>
      <c r="G96" s="1219"/>
      <c r="H96" s="382"/>
      <c r="I96" s="383"/>
      <c r="J96" s="383"/>
      <c r="L96" s="383"/>
    </row>
    <row r="97" spans="1:14">
      <c r="A97" s="1228"/>
      <c r="B97" s="1227"/>
      <c r="C97" s="1227"/>
      <c r="D97" s="1220"/>
      <c r="E97" s="1223" t="s">
        <v>1160</v>
      </c>
      <c r="F97" s="1224">
        <f>ROUND('Sand Handling (incl Mold&amp;Core)'!L63/'Sand Handling (incl Mold&amp;Core)'!L62,2)</f>
        <v>20</v>
      </c>
      <c r="G97" s="1219"/>
      <c r="H97" s="1219"/>
      <c r="I97" s="1219"/>
      <c r="J97" s="1219"/>
      <c r="L97" s="383"/>
    </row>
    <row r="98" spans="1:14">
      <c r="A98" s="1228"/>
      <c r="B98" s="1227"/>
      <c r="C98" s="1227"/>
      <c r="D98" s="1226"/>
      <c r="E98" s="1225" t="s">
        <v>1161</v>
      </c>
      <c r="F98" s="1209">
        <f>'SDS Summary'!L3%*F97</f>
        <v>14.399999999999999</v>
      </c>
      <c r="G98" s="1219"/>
      <c r="H98" s="1219"/>
      <c r="I98" s="1219"/>
      <c r="J98" s="1219"/>
      <c r="L98" s="383"/>
    </row>
    <row r="99" spans="1:14">
      <c r="A99" s="1228"/>
      <c r="B99" s="1227"/>
      <c r="C99" s="1227"/>
      <c r="D99" s="1226"/>
      <c r="E99" s="1225" t="s">
        <v>1162</v>
      </c>
      <c r="F99" s="1209">
        <f>MAX('SDS Summary'!J29:L29)%*'Core Making VOC-HAP'!F97</f>
        <v>10</v>
      </c>
      <c r="G99" s="1219"/>
      <c r="H99" s="1219"/>
      <c r="I99" s="1219"/>
      <c r="J99" s="1219"/>
      <c r="K99" s="1219"/>
      <c r="L99" s="1219"/>
    </row>
    <row r="100" spans="1:14">
      <c r="A100" s="1228"/>
      <c r="B100" s="1227"/>
      <c r="C100" s="1227"/>
      <c r="D100" s="1226"/>
      <c r="E100" s="1225" t="s">
        <v>1163</v>
      </c>
      <c r="F100" s="1209">
        <v>0</v>
      </c>
      <c r="G100" s="1219"/>
      <c r="H100" s="1219"/>
      <c r="I100" s="1219"/>
      <c r="J100" s="1219"/>
      <c r="K100" s="1219"/>
      <c r="L100" s="1219"/>
    </row>
    <row r="101" spans="1:14">
      <c r="A101" s="1228"/>
      <c r="B101" s="1227"/>
      <c r="C101" s="1227"/>
      <c r="D101" s="1226"/>
      <c r="E101" s="1225" t="s">
        <v>1165</v>
      </c>
      <c r="F101" s="1209">
        <f>MAX('SDS Summary'!J34:L34)%*'Core Making VOC-HAP'!F97</f>
        <v>0.2</v>
      </c>
      <c r="G101" s="1219"/>
      <c r="H101" s="1219"/>
      <c r="I101" s="1219"/>
      <c r="J101" s="1219"/>
      <c r="L101" s="383"/>
    </row>
    <row r="102" spans="1:14">
      <c r="A102" s="1228"/>
      <c r="B102" s="1227"/>
      <c r="C102" s="1227"/>
      <c r="D102" s="1226"/>
      <c r="E102" s="1225" t="s">
        <v>1164</v>
      </c>
      <c r="F102" s="1209">
        <f>MAX('SDS Summary'!J35:L35)%*'Core Making VOC-HAP'!F97</f>
        <v>0.2</v>
      </c>
      <c r="G102" s="1219"/>
      <c r="H102" s="1219"/>
      <c r="I102" s="1219"/>
      <c r="J102" s="1219"/>
      <c r="L102" s="383"/>
    </row>
    <row r="103" spans="1:14">
      <c r="A103" s="1228"/>
      <c r="B103" s="1227"/>
      <c r="C103" s="1227"/>
      <c r="D103" s="1226"/>
      <c r="E103" s="1225" t="s">
        <v>1166</v>
      </c>
      <c r="F103" s="1209">
        <f>MAX('SDS Summary'!J39:L39)%*'Core Making VOC-HAP'!F97</f>
        <v>1</v>
      </c>
      <c r="G103" s="1219"/>
      <c r="H103" s="1219"/>
      <c r="I103" s="1219"/>
      <c r="J103" s="1219"/>
      <c r="L103" s="383"/>
    </row>
    <row r="104" spans="1:14">
      <c r="A104" s="1228"/>
      <c r="B104" s="1227"/>
      <c r="C104" s="1227"/>
      <c r="D104" s="1226"/>
      <c r="E104" s="1225" t="s">
        <v>1243</v>
      </c>
      <c r="F104" s="1209">
        <f>SUM(F105:F106)</f>
        <v>3</v>
      </c>
      <c r="G104" s="1219"/>
      <c r="H104" s="1219"/>
      <c r="I104" s="1219"/>
      <c r="J104" s="1219"/>
      <c r="L104" s="383"/>
    </row>
    <row r="105" spans="1:14">
      <c r="A105" s="1228"/>
      <c r="B105" s="1227"/>
      <c r="C105" s="1227"/>
      <c r="D105" s="1226"/>
      <c r="E105" s="1225" t="s">
        <v>1244</v>
      </c>
      <c r="F105" s="1209">
        <f>MAX('SDS Summary'!J44:L44)%*'Core Making VOC-HAP'!F97</f>
        <v>2</v>
      </c>
      <c r="G105" s="1219"/>
      <c r="H105" s="1219"/>
      <c r="I105" s="1219"/>
      <c r="J105" s="1219"/>
      <c r="L105" s="383"/>
    </row>
    <row r="106" spans="1:14">
      <c r="A106" s="1228"/>
      <c r="B106" s="1227"/>
      <c r="C106" s="1227"/>
      <c r="D106" s="1226"/>
      <c r="E106" s="1225" t="s">
        <v>1245</v>
      </c>
      <c r="F106" s="1209">
        <f>MAX('SDS Summary'!J45:L45)%*'Core Making VOC-HAP'!F97</f>
        <v>1</v>
      </c>
      <c r="G106" s="1219"/>
      <c r="H106" s="1219"/>
      <c r="I106" s="1219"/>
      <c r="J106" s="1219"/>
      <c r="L106" s="383"/>
    </row>
    <row r="107" spans="1:14">
      <c r="A107" s="1228"/>
      <c r="B107" s="1227"/>
      <c r="C107" s="1227"/>
      <c r="D107" s="1226"/>
      <c r="E107" s="1225" t="s">
        <v>1246</v>
      </c>
      <c r="F107" s="1209">
        <f>MAX('SDS Summary'!J53:L53)%*'Core Making VOC-HAP'!F97</f>
        <v>10</v>
      </c>
      <c r="G107" s="1219"/>
      <c r="H107" s="1219"/>
      <c r="I107" s="1219"/>
      <c r="J107" s="1219"/>
      <c r="L107" s="383"/>
    </row>
    <row r="108" spans="1:14" ht="15" thickBot="1">
      <c r="A108" s="1219"/>
      <c r="B108" s="1219"/>
      <c r="C108" s="1219"/>
      <c r="D108" s="1219"/>
      <c r="E108" s="1219"/>
      <c r="F108" s="1219"/>
      <c r="G108" s="1219"/>
      <c r="H108" s="1219"/>
      <c r="L108" s="383"/>
    </row>
    <row r="109" spans="1:14" ht="19" thickBot="1">
      <c r="A109" s="221" t="s">
        <v>1188</v>
      </c>
      <c r="B109" s="220"/>
      <c r="C109" s="399"/>
      <c r="D109" s="400"/>
      <c r="E109"/>
      <c r="F109" s="1563" t="s">
        <v>352</v>
      </c>
      <c r="G109" s="1564"/>
      <c r="H109" s="1565"/>
      <c r="I109" s="383"/>
      <c r="J109" s="383"/>
    </row>
    <row r="110" spans="1:14" ht="40" thickBot="1">
      <c r="A110" s="1238" t="s">
        <v>70</v>
      </c>
      <c r="B110" s="1011"/>
      <c r="C110" s="402" t="s">
        <v>353</v>
      </c>
      <c r="D110" s="402" t="s">
        <v>1</v>
      </c>
      <c r="E110" s="643" t="s">
        <v>254</v>
      </c>
      <c r="F110" s="404" t="s">
        <v>354</v>
      </c>
      <c r="G110" s="403" t="s">
        <v>355</v>
      </c>
      <c r="H110" s="673" t="s">
        <v>356</v>
      </c>
      <c r="L110" s="383"/>
      <c r="N110" s="382"/>
    </row>
    <row r="111" spans="1:14">
      <c r="A111" s="1017" t="s">
        <v>19</v>
      </c>
      <c r="B111" s="1012"/>
      <c r="C111" s="683" t="s">
        <v>262</v>
      </c>
      <c r="D111" s="409" t="s">
        <v>1021</v>
      </c>
      <c r="E111" s="410" t="s">
        <v>262</v>
      </c>
      <c r="F111" s="1229">
        <v>0</v>
      </c>
      <c r="G111" s="1230">
        <v>0</v>
      </c>
      <c r="H111" s="1231">
        <v>0</v>
      </c>
      <c r="L111" s="383"/>
      <c r="N111" s="382"/>
    </row>
    <row r="112" spans="1:14">
      <c r="A112" s="649" t="s">
        <v>77</v>
      </c>
      <c r="B112" s="1013"/>
      <c r="C112" s="683" t="s">
        <v>262</v>
      </c>
      <c r="D112" s="415" t="s">
        <v>1021</v>
      </c>
      <c r="E112" s="286" t="s">
        <v>262</v>
      </c>
      <c r="F112" s="1000">
        <v>0</v>
      </c>
      <c r="G112" s="973">
        <v>0</v>
      </c>
      <c r="H112" s="974">
        <v>0</v>
      </c>
      <c r="L112" s="383"/>
      <c r="N112" s="382"/>
    </row>
    <row r="113" spans="1:14">
      <c r="A113" s="649" t="s">
        <v>78</v>
      </c>
      <c r="B113" s="1013"/>
      <c r="C113" s="683" t="s">
        <v>262</v>
      </c>
      <c r="D113" s="415" t="s">
        <v>1021</v>
      </c>
      <c r="E113" s="286" t="s">
        <v>262</v>
      </c>
      <c r="F113" s="1000">
        <v>0</v>
      </c>
      <c r="G113" s="973">
        <v>0</v>
      </c>
      <c r="H113" s="974">
        <v>0</v>
      </c>
      <c r="L113" s="383"/>
      <c r="N113" s="382"/>
    </row>
    <row r="114" spans="1:14">
      <c r="A114" s="649" t="s">
        <v>79</v>
      </c>
      <c r="B114" s="1013"/>
      <c r="C114" s="683" t="s">
        <v>262</v>
      </c>
      <c r="D114" s="415" t="s">
        <v>1021</v>
      </c>
      <c r="E114" s="418" t="s">
        <v>262</v>
      </c>
      <c r="F114" s="1000">
        <v>0</v>
      </c>
      <c r="G114" s="973">
        <v>0</v>
      </c>
      <c r="H114" s="974">
        <v>0</v>
      </c>
      <c r="N114" s="382"/>
    </row>
    <row r="115" spans="1:14">
      <c r="A115" s="649" t="s">
        <v>81</v>
      </c>
      <c r="B115" s="1013"/>
      <c r="C115" s="683" t="s">
        <v>262</v>
      </c>
      <c r="D115" s="415" t="s">
        <v>1021</v>
      </c>
      <c r="E115" s="418" t="s">
        <v>262</v>
      </c>
      <c r="F115" s="1000">
        <v>0</v>
      </c>
      <c r="G115" s="973">
        <v>0</v>
      </c>
      <c r="H115" s="974">
        <v>0</v>
      </c>
      <c r="N115" s="382"/>
    </row>
    <row r="116" spans="1:14">
      <c r="A116" s="649" t="s">
        <v>82</v>
      </c>
      <c r="B116" s="1013"/>
      <c r="C116" s="1373">
        <f>F142</f>
        <v>0.21559999999999999</v>
      </c>
      <c r="D116" s="415" t="s">
        <v>1021</v>
      </c>
      <c r="E116" s="1009" t="s">
        <v>357</v>
      </c>
      <c r="F116" s="761">
        <f>$F$12*C116</f>
        <v>1.2133652968036529E-2</v>
      </c>
      <c r="G116" s="1377">
        <f>F116*8760/2000</f>
        <v>5.3145400000000002E-2</v>
      </c>
      <c r="H116" s="738">
        <f>G116*$J$11</f>
        <v>6.6431750000000003E-3</v>
      </c>
      <c r="N116" s="382"/>
    </row>
    <row r="117" spans="1:14">
      <c r="A117" s="649" t="s">
        <v>83</v>
      </c>
      <c r="B117" s="1013"/>
      <c r="C117" s="683" t="s">
        <v>262</v>
      </c>
      <c r="D117" s="415" t="s">
        <v>1021</v>
      </c>
      <c r="E117" s="418" t="s">
        <v>262</v>
      </c>
      <c r="F117" s="1000">
        <v>0</v>
      </c>
      <c r="G117" s="973">
        <v>0</v>
      </c>
      <c r="H117" s="974">
        <v>0</v>
      </c>
      <c r="N117" s="382"/>
    </row>
    <row r="118" spans="1:14">
      <c r="A118" s="1336" t="s">
        <v>1233</v>
      </c>
      <c r="B118" s="1337"/>
      <c r="C118" s="711"/>
      <c r="D118" s="711"/>
      <c r="E118" s="1202"/>
      <c r="F118" s="1000">
        <f>F134+F135</f>
        <v>0</v>
      </c>
      <c r="G118" s="973">
        <f>G134+G135</f>
        <v>0</v>
      </c>
      <c r="H118" s="974">
        <f>H134+H135</f>
        <v>0</v>
      </c>
      <c r="N118" s="382"/>
    </row>
    <row r="119" spans="1:14">
      <c r="A119" s="1017" t="s">
        <v>84</v>
      </c>
      <c r="B119" s="1012"/>
      <c r="C119" s="711"/>
      <c r="D119" s="711"/>
      <c r="E119" s="1202"/>
      <c r="F119" s="297">
        <f>SUM(F120:F137)+F117</f>
        <v>9.1002397260273975E-3</v>
      </c>
      <c r="G119" s="420">
        <f>SUM(G120:G137)+G117</f>
        <v>3.985905E-2</v>
      </c>
      <c r="H119" s="293">
        <f>SUM(H120:H137)+H117</f>
        <v>4.98238125E-3</v>
      </c>
    </row>
    <row r="120" spans="1:14">
      <c r="A120" s="1018" t="s">
        <v>265</v>
      </c>
      <c r="B120" s="1014"/>
      <c r="C120" s="683" t="s">
        <v>262</v>
      </c>
      <c r="D120" s="415" t="s">
        <v>1021</v>
      </c>
      <c r="E120" s="418" t="s">
        <v>262</v>
      </c>
      <c r="F120" s="1000">
        <v>0</v>
      </c>
      <c r="G120" s="973">
        <v>0</v>
      </c>
      <c r="H120" s="974">
        <v>0</v>
      </c>
    </row>
    <row r="121" spans="1:14">
      <c r="A121" s="1018" t="s">
        <v>266</v>
      </c>
      <c r="B121" s="1014"/>
      <c r="C121" s="683" t="s">
        <v>262</v>
      </c>
      <c r="D121" s="415" t="s">
        <v>1021</v>
      </c>
      <c r="E121" s="418" t="s">
        <v>262</v>
      </c>
      <c r="F121" s="1000">
        <v>0</v>
      </c>
      <c r="G121" s="973">
        <v>0</v>
      </c>
      <c r="H121" s="974">
        <v>0</v>
      </c>
    </row>
    <row r="122" spans="1:14">
      <c r="A122" s="1018" t="s">
        <v>267</v>
      </c>
      <c r="B122" s="1014"/>
      <c r="C122" s="683" t="s">
        <v>262</v>
      </c>
      <c r="D122" s="415" t="s">
        <v>1021</v>
      </c>
      <c r="E122" s="418" t="s">
        <v>262</v>
      </c>
      <c r="F122" s="1000">
        <v>0</v>
      </c>
      <c r="G122" s="973">
        <v>0</v>
      </c>
      <c r="H122" s="974">
        <v>0</v>
      </c>
    </row>
    <row r="123" spans="1:14">
      <c r="A123" s="1018" t="s">
        <v>268</v>
      </c>
      <c r="B123" s="1014"/>
      <c r="C123" s="683" t="s">
        <v>262</v>
      </c>
      <c r="D123" s="415" t="s">
        <v>1021</v>
      </c>
      <c r="E123" s="418" t="s">
        <v>262</v>
      </c>
      <c r="F123" s="1000">
        <v>0</v>
      </c>
      <c r="G123" s="973">
        <v>0</v>
      </c>
      <c r="H123" s="974">
        <v>0</v>
      </c>
    </row>
    <row r="124" spans="1:14">
      <c r="A124" s="1018" t="s">
        <v>269</v>
      </c>
      <c r="B124" s="1014"/>
      <c r="C124" s="683" t="s">
        <v>262</v>
      </c>
      <c r="D124" s="415" t="s">
        <v>1021</v>
      </c>
      <c r="E124" s="418" t="s">
        <v>262</v>
      </c>
      <c r="F124" s="1000">
        <v>0</v>
      </c>
      <c r="G124" s="973">
        <v>0</v>
      </c>
      <c r="H124" s="974">
        <v>0</v>
      </c>
    </row>
    <row r="125" spans="1:14">
      <c r="A125" s="1019" t="s">
        <v>971</v>
      </c>
      <c r="B125" s="1015"/>
      <c r="C125" s="683" t="s">
        <v>262</v>
      </c>
      <c r="D125" s="415" t="s">
        <v>1021</v>
      </c>
      <c r="E125" s="418" t="s">
        <v>262</v>
      </c>
      <c r="F125" s="1000">
        <v>0</v>
      </c>
      <c r="G125" s="973">
        <v>0</v>
      </c>
      <c r="H125" s="974">
        <v>0</v>
      </c>
    </row>
    <row r="126" spans="1:14">
      <c r="A126" s="1234" t="s">
        <v>1156</v>
      </c>
      <c r="B126" s="1015"/>
      <c r="C126" s="683" t="s">
        <v>262</v>
      </c>
      <c r="D126" s="415" t="s">
        <v>1021</v>
      </c>
      <c r="E126" s="418" t="s">
        <v>262</v>
      </c>
      <c r="F126" s="1000">
        <v>0</v>
      </c>
      <c r="G126" s="973">
        <v>0</v>
      </c>
      <c r="H126" s="974">
        <v>0</v>
      </c>
    </row>
    <row r="127" spans="1:14">
      <c r="A127" s="1033" t="s">
        <v>554</v>
      </c>
      <c r="B127" s="1015"/>
      <c r="C127" s="683" t="s">
        <v>262</v>
      </c>
      <c r="D127" s="415" t="s">
        <v>1021</v>
      </c>
      <c r="E127" s="418" t="s">
        <v>262</v>
      </c>
      <c r="F127" s="1000">
        <v>0</v>
      </c>
      <c r="G127" s="973">
        <v>0</v>
      </c>
      <c r="H127" s="974">
        <v>0</v>
      </c>
    </row>
    <row r="128" spans="1:14">
      <c r="A128" s="1033" t="s">
        <v>91</v>
      </c>
      <c r="B128" s="1015"/>
      <c r="C128" s="683" t="s">
        <v>262</v>
      </c>
      <c r="D128" s="415" t="s">
        <v>1021</v>
      </c>
      <c r="E128" s="418" t="s">
        <v>262</v>
      </c>
      <c r="F128" s="1000">
        <v>0</v>
      </c>
      <c r="G128" s="973">
        <v>0</v>
      </c>
      <c r="H128" s="974">
        <v>0</v>
      </c>
    </row>
    <row r="129" spans="1:12">
      <c r="A129" s="1033" t="s">
        <v>1009</v>
      </c>
      <c r="B129" s="1015"/>
      <c r="C129" s="683" t="s">
        <v>262</v>
      </c>
      <c r="D129" s="415" t="s">
        <v>1021</v>
      </c>
      <c r="E129" s="418" t="s">
        <v>262</v>
      </c>
      <c r="F129" s="1000">
        <v>0</v>
      </c>
      <c r="G129" s="973">
        <v>0</v>
      </c>
      <c r="H129" s="974">
        <v>0</v>
      </c>
    </row>
    <row r="130" spans="1:12">
      <c r="A130" s="1018" t="s">
        <v>359</v>
      </c>
      <c r="B130" s="1014"/>
      <c r="C130" s="683" t="s">
        <v>262</v>
      </c>
      <c r="D130" s="415" t="s">
        <v>1021</v>
      </c>
      <c r="E130" s="418" t="s">
        <v>262</v>
      </c>
      <c r="F130" s="1000">
        <v>0</v>
      </c>
      <c r="G130" s="973">
        <v>0</v>
      </c>
      <c r="H130" s="974">
        <v>0</v>
      </c>
    </row>
    <row r="131" spans="1:12">
      <c r="A131" s="1018" t="s">
        <v>100</v>
      </c>
      <c r="B131" s="1014"/>
      <c r="C131" s="683" t="s">
        <v>262</v>
      </c>
      <c r="D131" s="415" t="s">
        <v>1021</v>
      </c>
      <c r="E131" s="418" t="s">
        <v>262</v>
      </c>
      <c r="F131" s="1000">
        <v>0</v>
      </c>
      <c r="G131" s="973">
        <v>0</v>
      </c>
      <c r="H131" s="974">
        <v>0</v>
      </c>
    </row>
    <row r="132" spans="1:12">
      <c r="A132" s="1018" t="s">
        <v>96</v>
      </c>
      <c r="B132" s="1014"/>
      <c r="C132" s="683" t="s">
        <v>262</v>
      </c>
      <c r="D132" s="415" t="s">
        <v>1021</v>
      </c>
      <c r="E132" s="418" t="s">
        <v>262</v>
      </c>
      <c r="F132" s="1000">
        <v>0</v>
      </c>
      <c r="G132" s="973">
        <v>0</v>
      </c>
      <c r="H132" s="974">
        <v>0</v>
      </c>
    </row>
    <row r="133" spans="1:12">
      <c r="A133" s="1018" t="s">
        <v>360</v>
      </c>
      <c r="B133" s="1014"/>
      <c r="C133" s="683" t="s">
        <v>262</v>
      </c>
      <c r="D133" s="415" t="s">
        <v>1021</v>
      </c>
      <c r="E133" s="418" t="s">
        <v>262</v>
      </c>
      <c r="F133" s="1000">
        <v>0</v>
      </c>
      <c r="G133" s="973">
        <v>0</v>
      </c>
      <c r="H133" s="974">
        <v>0</v>
      </c>
    </row>
    <row r="134" spans="1:12">
      <c r="A134" s="1018" t="s">
        <v>1234</v>
      </c>
      <c r="B134" s="1014"/>
      <c r="C134" s="683" t="s">
        <v>262</v>
      </c>
      <c r="D134" s="415" t="s">
        <v>1021</v>
      </c>
      <c r="E134" s="418" t="s">
        <v>262</v>
      </c>
      <c r="F134" s="1000">
        <v>0</v>
      </c>
      <c r="G134" s="973">
        <v>0</v>
      </c>
      <c r="H134" s="974">
        <v>0</v>
      </c>
    </row>
    <row r="135" spans="1:12">
      <c r="A135" s="1018" t="s">
        <v>1242</v>
      </c>
      <c r="B135" s="1014"/>
      <c r="C135" s="683" t="s">
        <v>262</v>
      </c>
      <c r="D135" s="415" t="s">
        <v>1021</v>
      </c>
      <c r="E135" s="418" t="s">
        <v>262</v>
      </c>
      <c r="F135" s="1000">
        <v>0</v>
      </c>
      <c r="G135" s="973">
        <v>0</v>
      </c>
      <c r="H135" s="974">
        <v>0</v>
      </c>
    </row>
    <row r="136" spans="1:12">
      <c r="A136" s="1018" t="s">
        <v>1258</v>
      </c>
      <c r="B136" s="1014"/>
      <c r="C136" s="1376">
        <f>F143</f>
        <v>0.16169999999999998</v>
      </c>
      <c r="D136" s="415" t="s">
        <v>1021</v>
      </c>
      <c r="E136" s="1009" t="s">
        <v>357</v>
      </c>
      <c r="F136" s="1242">
        <f>$F$13*C136</f>
        <v>9.1002397260273975E-3</v>
      </c>
      <c r="G136" s="1243">
        <f>F136*8760/2000</f>
        <v>3.985905E-2</v>
      </c>
      <c r="H136" s="1244">
        <f>G136*$J$11</f>
        <v>4.98238125E-3</v>
      </c>
    </row>
    <row r="137" spans="1:12" ht="15" thickBot="1">
      <c r="A137" s="1020" t="s">
        <v>663</v>
      </c>
      <c r="B137" s="1016"/>
      <c r="C137" s="683" t="s">
        <v>262</v>
      </c>
      <c r="D137" s="415" t="s">
        <v>1021</v>
      </c>
      <c r="E137" s="418" t="s">
        <v>262</v>
      </c>
      <c r="F137" s="1000">
        <v>0</v>
      </c>
      <c r="G137" s="973">
        <v>0</v>
      </c>
      <c r="H137" s="974">
        <v>0</v>
      </c>
    </row>
    <row r="138" spans="1:12" ht="15" customHeight="1">
      <c r="A138" s="1570" t="s">
        <v>1248</v>
      </c>
      <c r="B138" s="1570"/>
      <c r="C138" s="1570"/>
      <c r="D138" s="1570"/>
      <c r="E138" s="1570"/>
      <c r="F138" s="1570"/>
      <c r="G138" s="1570"/>
      <c r="H138" s="1570"/>
    </row>
    <row r="139" spans="1:12" ht="15" customHeight="1">
      <c r="A139" s="1392"/>
      <c r="B139" s="1392"/>
      <c r="C139" s="1392"/>
      <c r="D139" s="1392"/>
      <c r="E139" s="1392"/>
      <c r="F139" s="1392"/>
      <c r="G139" s="1392"/>
      <c r="H139" s="1392"/>
    </row>
    <row r="140" spans="1:12">
      <c r="A140" s="1228"/>
      <c r="B140" s="1227"/>
      <c r="C140" s="1227"/>
      <c r="D140" s="1226"/>
      <c r="E140" s="1221" t="s">
        <v>1159</v>
      </c>
      <c r="F140" s="1222"/>
      <c r="G140" s="1219"/>
      <c r="H140" s="382"/>
      <c r="I140" s="383"/>
      <c r="J140" s="383"/>
      <c r="L140" s="383"/>
    </row>
    <row r="141" spans="1:12">
      <c r="A141" s="1228"/>
      <c r="B141" s="1227"/>
      <c r="C141" s="1227"/>
      <c r="D141" s="1220"/>
      <c r="E141" s="1223" t="s">
        <v>1160</v>
      </c>
      <c r="F141" s="1224">
        <f>ROUND('Sand Handling (incl Mold&amp;Core)'!F68/'Sand Handling (incl Mold&amp;Core)'!F67,2)</f>
        <v>5.39</v>
      </c>
      <c r="G141" s="1219"/>
      <c r="H141" s="1219"/>
      <c r="I141" s="1219"/>
      <c r="J141" s="1219"/>
      <c r="L141" s="383"/>
    </row>
    <row r="142" spans="1:12">
      <c r="A142" s="1228"/>
      <c r="B142" s="1227"/>
      <c r="C142" s="1227"/>
      <c r="D142" s="1226"/>
      <c r="E142" s="1225" t="s">
        <v>1161</v>
      </c>
      <c r="F142" s="1209">
        <f>'SDS Summary'!M3%*F141</f>
        <v>0.21559999999999999</v>
      </c>
      <c r="G142" s="1219"/>
      <c r="H142" s="1219"/>
      <c r="I142" s="1219"/>
      <c r="J142" s="1219"/>
      <c r="L142" s="383"/>
    </row>
    <row r="143" spans="1:12">
      <c r="A143" s="1228"/>
      <c r="B143" s="1227"/>
      <c r="C143" s="1227"/>
      <c r="D143" s="1226"/>
      <c r="E143" s="1225" t="s">
        <v>1259</v>
      </c>
      <c r="F143" s="1209">
        <f>'SDS Summary'!N52%*'Core Making VOC-HAP'!F141</f>
        <v>0.16169999999999998</v>
      </c>
      <c r="G143" s="1219"/>
      <c r="H143" s="1219"/>
      <c r="I143" s="1219"/>
      <c r="J143" s="1219"/>
      <c r="L143" s="383"/>
    </row>
    <row r="144" spans="1:12">
      <c r="A144" s="1219"/>
      <c r="B144" s="1219"/>
      <c r="C144" s="1219"/>
      <c r="D144" s="1219"/>
      <c r="E144" s="1219"/>
      <c r="F144" s="1219"/>
      <c r="G144" s="1219"/>
      <c r="H144" s="1219"/>
    </row>
    <row r="145" spans="1:12" ht="19" thickBot="1">
      <c r="A145" s="221" t="s">
        <v>1167</v>
      </c>
    </row>
    <row r="146" spans="1:12" ht="19" thickBot="1">
      <c r="A146" s="221"/>
      <c r="B146" s="220"/>
      <c r="C146"/>
      <c r="D146" s="1563" t="s">
        <v>352</v>
      </c>
      <c r="E146" s="1564"/>
      <c r="F146" s="1565"/>
      <c r="G146" s="382"/>
      <c r="L146" s="383"/>
    </row>
    <row r="147" spans="1:12" ht="40" thickBot="1">
      <c r="A147" s="1238" t="s">
        <v>70</v>
      </c>
      <c r="B147" s="1011"/>
      <c r="C147" s="403" t="s">
        <v>836</v>
      </c>
      <c r="D147" s="404" t="s">
        <v>354</v>
      </c>
      <c r="E147" s="403" t="s">
        <v>355</v>
      </c>
      <c r="F147" s="673" t="s">
        <v>356</v>
      </c>
      <c r="G147" s="382"/>
      <c r="L147" s="383"/>
    </row>
    <row r="148" spans="1:12">
      <c r="A148" s="1017" t="s">
        <v>19</v>
      </c>
      <c r="B148" s="1012"/>
      <c r="C148" s="410" t="s">
        <v>262</v>
      </c>
      <c r="D148" s="1343">
        <f t="shared" ref="D148:D174" si="6">F24+F67+F111</f>
        <v>0</v>
      </c>
      <c r="E148" s="1344">
        <f t="shared" ref="E148:E174" si="7">G24+G67+G111</f>
        <v>0</v>
      </c>
      <c r="F148" s="1345">
        <f t="shared" ref="F148:F174" si="8">H24+H67+H111</f>
        <v>0</v>
      </c>
      <c r="G148" s="382"/>
      <c r="L148" s="383"/>
    </row>
    <row r="149" spans="1:12">
      <c r="A149" s="649" t="s">
        <v>77</v>
      </c>
      <c r="B149" s="1013"/>
      <c r="C149" s="418" t="s">
        <v>262</v>
      </c>
      <c r="D149" s="1000">
        <f t="shared" si="6"/>
        <v>0</v>
      </c>
      <c r="E149" s="973">
        <f t="shared" si="7"/>
        <v>0</v>
      </c>
      <c r="F149" s="974">
        <f t="shared" si="8"/>
        <v>0</v>
      </c>
      <c r="G149" s="382"/>
      <c r="L149" s="383"/>
    </row>
    <row r="150" spans="1:12">
      <c r="A150" s="649" t="s">
        <v>78</v>
      </c>
      <c r="B150" s="1013"/>
      <c r="C150" s="418" t="s">
        <v>262</v>
      </c>
      <c r="D150" s="1000">
        <f t="shared" si="6"/>
        <v>0</v>
      </c>
      <c r="E150" s="973">
        <f t="shared" si="7"/>
        <v>0</v>
      </c>
      <c r="F150" s="974">
        <f t="shared" si="8"/>
        <v>0</v>
      </c>
      <c r="G150" s="382"/>
      <c r="L150" s="383"/>
    </row>
    <row r="151" spans="1:12">
      <c r="A151" s="649" t="s">
        <v>79</v>
      </c>
      <c r="B151" s="1013"/>
      <c r="C151" s="418" t="s">
        <v>262</v>
      </c>
      <c r="D151" s="1000">
        <f t="shared" si="6"/>
        <v>0</v>
      </c>
      <c r="E151" s="973">
        <f t="shared" si="7"/>
        <v>0</v>
      </c>
      <c r="F151" s="974">
        <f t="shared" si="8"/>
        <v>0</v>
      </c>
      <c r="G151" s="382"/>
      <c r="L151" s="383"/>
    </row>
    <row r="152" spans="1:12">
      <c r="A152" s="649" t="s">
        <v>81</v>
      </c>
      <c r="B152" s="1013"/>
      <c r="C152" s="418" t="s">
        <v>262</v>
      </c>
      <c r="D152" s="1000">
        <f t="shared" si="6"/>
        <v>0</v>
      </c>
      <c r="E152" s="973">
        <f t="shared" si="7"/>
        <v>0</v>
      </c>
      <c r="F152" s="974">
        <f t="shared" si="8"/>
        <v>0</v>
      </c>
      <c r="G152" s="382"/>
      <c r="L152" s="383"/>
    </row>
    <row r="153" spans="1:12">
      <c r="A153" s="649" t="s">
        <v>82</v>
      </c>
      <c r="B153" s="1013"/>
      <c r="C153" s="418" t="s">
        <v>262</v>
      </c>
      <c r="D153" s="320">
        <f t="shared" si="6"/>
        <v>3.267750091324201</v>
      </c>
      <c r="E153" s="414">
        <f t="shared" si="7"/>
        <v>14.312745400000003</v>
      </c>
      <c r="F153" s="287">
        <f t="shared" si="8"/>
        <v>1.7890931750000003</v>
      </c>
      <c r="G153" s="382"/>
      <c r="L153" s="383"/>
    </row>
    <row r="154" spans="1:12">
      <c r="A154" s="649" t="s">
        <v>83</v>
      </c>
      <c r="B154" s="1013"/>
      <c r="C154" s="418" t="s">
        <v>262</v>
      </c>
      <c r="D154" s="1000">
        <f t="shared" si="6"/>
        <v>0</v>
      </c>
      <c r="E154" s="973">
        <f t="shared" si="7"/>
        <v>0</v>
      </c>
      <c r="F154" s="974">
        <f t="shared" si="8"/>
        <v>0</v>
      </c>
      <c r="G154" s="382"/>
      <c r="L154" s="383"/>
    </row>
    <row r="155" spans="1:12">
      <c r="A155" s="1336" t="s">
        <v>1233</v>
      </c>
      <c r="B155" s="1012"/>
      <c r="C155" s="418" t="s">
        <v>262</v>
      </c>
      <c r="D155" s="1236">
        <f t="shared" si="6"/>
        <v>0.16883561643835618</v>
      </c>
      <c r="E155" s="978">
        <f t="shared" si="7"/>
        <v>0.73950000000000005</v>
      </c>
      <c r="F155" s="1237">
        <f t="shared" si="8"/>
        <v>9.2437500000000006E-2</v>
      </c>
      <c r="G155" s="382"/>
      <c r="L155" s="383"/>
    </row>
    <row r="156" spans="1:12">
      <c r="A156" s="1017" t="s">
        <v>84</v>
      </c>
      <c r="B156" s="1012"/>
      <c r="C156" s="418" t="s">
        <v>262</v>
      </c>
      <c r="D156" s="320">
        <f t="shared" si="6"/>
        <v>3.028408915525115</v>
      </c>
      <c r="E156" s="414">
        <f t="shared" si="7"/>
        <v>13.264431050000002</v>
      </c>
      <c r="F156" s="287">
        <f t="shared" si="8"/>
        <v>1.6580538812500003</v>
      </c>
      <c r="G156" s="382"/>
      <c r="L156" s="383"/>
    </row>
    <row r="157" spans="1:12">
      <c r="A157" s="1018" t="s">
        <v>265</v>
      </c>
      <c r="B157" s="1014"/>
      <c r="C157" s="418" t="s">
        <v>262</v>
      </c>
      <c r="D157" s="1000">
        <f t="shared" si="6"/>
        <v>0</v>
      </c>
      <c r="E157" s="973">
        <f t="shared" si="7"/>
        <v>0</v>
      </c>
      <c r="F157" s="974">
        <f t="shared" si="8"/>
        <v>0</v>
      </c>
      <c r="G157" s="382"/>
      <c r="L157" s="383"/>
    </row>
    <row r="158" spans="1:12">
      <c r="A158" s="1018" t="s">
        <v>266</v>
      </c>
      <c r="B158" s="1014"/>
      <c r="C158" s="418" t="s">
        <v>262</v>
      </c>
      <c r="D158" s="1000">
        <f t="shared" si="6"/>
        <v>0</v>
      </c>
      <c r="E158" s="973">
        <f t="shared" si="7"/>
        <v>0</v>
      </c>
      <c r="F158" s="974">
        <f t="shared" si="8"/>
        <v>0</v>
      </c>
      <c r="G158" s="382"/>
      <c r="L158" s="383"/>
    </row>
    <row r="159" spans="1:12">
      <c r="A159" s="1018" t="s">
        <v>267</v>
      </c>
      <c r="B159" s="1014"/>
      <c r="C159" s="418" t="s">
        <v>262</v>
      </c>
      <c r="D159" s="1000">
        <f t="shared" si="6"/>
        <v>0</v>
      </c>
      <c r="E159" s="973">
        <f t="shared" si="7"/>
        <v>0</v>
      </c>
      <c r="F159" s="974">
        <f t="shared" si="8"/>
        <v>0</v>
      </c>
      <c r="G159" s="382"/>
      <c r="L159" s="383"/>
    </row>
    <row r="160" spans="1:12">
      <c r="A160" s="1018" t="s">
        <v>268</v>
      </c>
      <c r="B160" s="1014"/>
      <c r="C160" s="418" t="s">
        <v>262</v>
      </c>
      <c r="D160" s="1000">
        <f t="shared" si="6"/>
        <v>0</v>
      </c>
      <c r="E160" s="973">
        <f t="shared" si="7"/>
        <v>0</v>
      </c>
      <c r="F160" s="974">
        <f t="shared" si="8"/>
        <v>0</v>
      </c>
      <c r="G160" s="382"/>
      <c r="L160" s="383"/>
    </row>
    <row r="161" spans="1:12">
      <c r="A161" s="1018" t="s">
        <v>269</v>
      </c>
      <c r="B161" s="1014"/>
      <c r="C161" s="418" t="s">
        <v>262</v>
      </c>
      <c r="D161" s="1000">
        <f t="shared" si="6"/>
        <v>0</v>
      </c>
      <c r="E161" s="973">
        <f t="shared" si="7"/>
        <v>0</v>
      </c>
      <c r="F161" s="974">
        <f t="shared" si="8"/>
        <v>0</v>
      </c>
      <c r="G161" s="382"/>
      <c r="L161" s="383"/>
    </row>
    <row r="162" spans="1:12">
      <c r="A162" s="1019" t="s">
        <v>971</v>
      </c>
      <c r="B162" s="1015"/>
      <c r="C162" s="418" t="s">
        <v>357</v>
      </c>
      <c r="D162" s="1236">
        <f t="shared" si="6"/>
        <v>1.7853881278538815</v>
      </c>
      <c r="E162" s="978">
        <f t="shared" si="7"/>
        <v>7.8200000000000021</v>
      </c>
      <c r="F162" s="1237">
        <f t="shared" si="8"/>
        <v>0.97750000000000026</v>
      </c>
      <c r="G162" s="382"/>
      <c r="L162" s="383"/>
    </row>
    <row r="163" spans="1:12">
      <c r="A163" s="1234" t="s">
        <v>1156</v>
      </c>
      <c r="B163" s="1015"/>
      <c r="C163" s="418" t="s">
        <v>262</v>
      </c>
      <c r="D163" s="1000">
        <f t="shared" si="6"/>
        <v>0</v>
      </c>
      <c r="E163" s="973">
        <f t="shared" si="7"/>
        <v>0</v>
      </c>
      <c r="F163" s="974">
        <f t="shared" si="8"/>
        <v>0</v>
      </c>
      <c r="G163" s="382"/>
      <c r="L163" s="383"/>
    </row>
    <row r="164" spans="1:12">
      <c r="A164" s="1235" t="s">
        <v>554</v>
      </c>
      <c r="B164" s="1015"/>
      <c r="C164" s="418" t="s">
        <v>262</v>
      </c>
      <c r="D164" s="1000">
        <f t="shared" si="6"/>
        <v>0</v>
      </c>
      <c r="E164" s="973">
        <f t="shared" si="7"/>
        <v>0</v>
      </c>
      <c r="F164" s="974">
        <f t="shared" si="8"/>
        <v>0</v>
      </c>
      <c r="G164" s="382"/>
      <c r="L164" s="383"/>
    </row>
    <row r="165" spans="1:12">
      <c r="A165" s="1235" t="s">
        <v>91</v>
      </c>
      <c r="B165" s="1015"/>
      <c r="C165" s="418" t="s">
        <v>262</v>
      </c>
      <c r="D165" s="1000">
        <f t="shared" si="6"/>
        <v>0</v>
      </c>
      <c r="E165" s="973">
        <f t="shared" si="7"/>
        <v>0</v>
      </c>
      <c r="F165" s="974">
        <f t="shared" si="8"/>
        <v>0</v>
      </c>
      <c r="G165" s="382"/>
      <c r="L165" s="383"/>
    </row>
    <row r="166" spans="1:12">
      <c r="A166" s="1235" t="s">
        <v>1009</v>
      </c>
      <c r="B166" s="1015"/>
      <c r="C166" s="418" t="s">
        <v>262</v>
      </c>
      <c r="D166" s="1000">
        <f t="shared" si="6"/>
        <v>0</v>
      </c>
      <c r="E166" s="973">
        <f t="shared" si="7"/>
        <v>0</v>
      </c>
      <c r="F166" s="974">
        <f t="shared" si="8"/>
        <v>0</v>
      </c>
      <c r="G166" s="382"/>
      <c r="L166" s="383"/>
    </row>
    <row r="167" spans="1:12">
      <c r="A167" s="1018" t="s">
        <v>359</v>
      </c>
      <c r="B167" s="1014"/>
      <c r="C167" s="418" t="s">
        <v>262</v>
      </c>
      <c r="D167" s="1242">
        <f t="shared" si="6"/>
        <v>3.5707762557077624E-2</v>
      </c>
      <c r="E167" s="1243">
        <f t="shared" si="7"/>
        <v>0.15640000000000001</v>
      </c>
      <c r="F167" s="1244">
        <f t="shared" si="8"/>
        <v>1.9550000000000001E-2</v>
      </c>
      <c r="G167" s="382"/>
      <c r="L167" s="383"/>
    </row>
    <row r="168" spans="1:12">
      <c r="A168" s="1018" t="s">
        <v>100</v>
      </c>
      <c r="B168" s="1014"/>
      <c r="C168" s="418" t="s">
        <v>262</v>
      </c>
      <c r="D168" s="297">
        <f t="shared" si="6"/>
        <v>0.25577625570776258</v>
      </c>
      <c r="E168" s="420">
        <f t="shared" si="7"/>
        <v>1.1202999999999999</v>
      </c>
      <c r="F168" s="293">
        <f t="shared" si="8"/>
        <v>0.14003749999999998</v>
      </c>
      <c r="G168" s="382"/>
      <c r="L168" s="383"/>
    </row>
    <row r="169" spans="1:12">
      <c r="A169" s="1018" t="s">
        <v>96</v>
      </c>
      <c r="B169" s="1014"/>
      <c r="C169" s="418" t="s">
        <v>262</v>
      </c>
      <c r="D169" s="297">
        <f t="shared" si="6"/>
        <v>2.4452054794520547E-3</v>
      </c>
      <c r="E169" s="420">
        <f t="shared" si="7"/>
        <v>1.0709999999999999E-2</v>
      </c>
      <c r="F169" s="293">
        <f t="shared" si="8"/>
        <v>1.3387499999999999E-3</v>
      </c>
      <c r="G169" s="382"/>
      <c r="L169" s="383"/>
    </row>
    <row r="170" spans="1:12">
      <c r="A170" s="1018" t="s">
        <v>360</v>
      </c>
      <c r="B170" s="1014"/>
      <c r="C170" s="625" t="s">
        <v>262</v>
      </c>
      <c r="D170" s="297">
        <f t="shared" si="6"/>
        <v>0.2083703196347032</v>
      </c>
      <c r="E170" s="420">
        <f t="shared" si="7"/>
        <v>0.91266200000000008</v>
      </c>
      <c r="F170" s="293">
        <f t="shared" si="8"/>
        <v>0.11408275000000001</v>
      </c>
      <c r="G170" s="382"/>
      <c r="L170" s="383"/>
    </row>
    <row r="171" spans="1:12">
      <c r="A171" s="1018" t="s">
        <v>1234</v>
      </c>
      <c r="B171" s="1014"/>
      <c r="C171" s="625" t="s">
        <v>262</v>
      </c>
      <c r="D171" s="297">
        <f t="shared" si="6"/>
        <v>0.11255707762557078</v>
      </c>
      <c r="E171" s="420">
        <f t="shared" si="7"/>
        <v>0.49299999999999999</v>
      </c>
      <c r="F171" s="293">
        <f t="shared" si="8"/>
        <v>6.1624999999999999E-2</v>
      </c>
      <c r="G171" s="382"/>
      <c r="L171" s="383"/>
    </row>
    <row r="172" spans="1:12">
      <c r="A172" s="1018" t="s">
        <v>1242</v>
      </c>
      <c r="B172" s="1014"/>
      <c r="C172" s="625" t="s">
        <v>262</v>
      </c>
      <c r="D172" s="297">
        <f t="shared" si="6"/>
        <v>5.6278538812785391E-2</v>
      </c>
      <c r="E172" s="420">
        <f t="shared" si="7"/>
        <v>0.2465</v>
      </c>
      <c r="F172" s="293">
        <f t="shared" si="8"/>
        <v>3.08125E-2</v>
      </c>
      <c r="G172" s="382"/>
      <c r="L172" s="383"/>
    </row>
    <row r="173" spans="1:12">
      <c r="A173" s="1018" t="s">
        <v>1258</v>
      </c>
      <c r="B173" s="1014"/>
      <c r="C173" s="625" t="s">
        <v>262</v>
      </c>
      <c r="D173" s="297">
        <f t="shared" si="6"/>
        <v>9.1002397260273975E-3</v>
      </c>
      <c r="E173" s="420">
        <f t="shared" si="7"/>
        <v>3.985905E-2</v>
      </c>
      <c r="F173" s="293">
        <f t="shared" si="8"/>
        <v>4.98238125E-3</v>
      </c>
      <c r="G173" s="382"/>
      <c r="L173" s="383"/>
    </row>
    <row r="174" spans="1:12" ht="15" thickBot="1">
      <c r="A174" s="1020" t="s">
        <v>663</v>
      </c>
      <c r="B174" s="1016"/>
      <c r="C174" s="625" t="s">
        <v>262</v>
      </c>
      <c r="D174" s="302">
        <f t="shared" si="6"/>
        <v>0.56278538812785395</v>
      </c>
      <c r="E174" s="655">
        <f t="shared" si="7"/>
        <v>2.4650000000000003</v>
      </c>
      <c r="F174" s="303">
        <f t="shared" si="8"/>
        <v>0.30812500000000004</v>
      </c>
      <c r="G174" s="382"/>
      <c r="L174" s="383"/>
    </row>
    <row r="175" spans="1:12">
      <c r="A175" s="1571" t="s">
        <v>1168</v>
      </c>
      <c r="B175" s="1571"/>
      <c r="C175" s="1571"/>
      <c r="D175" s="1572"/>
      <c r="E175" s="1572"/>
      <c r="F175" s="1572"/>
    </row>
    <row r="176" spans="1:12">
      <c r="A176" s="1572"/>
      <c r="B176" s="1572"/>
      <c r="C176" s="1572"/>
      <c r="D176" s="1572"/>
      <c r="E176" s="1572"/>
      <c r="F176" s="1572"/>
    </row>
    <row r="177" spans="1:12" ht="15" thickBot="1"/>
    <row r="178" spans="1:12" ht="19" thickBot="1">
      <c r="A178" s="221" t="s">
        <v>1187</v>
      </c>
      <c r="B178" s="220"/>
      <c r="C178" s="399"/>
      <c r="D178" s="400"/>
      <c r="E178"/>
      <c r="F178" s="1563" t="s">
        <v>352</v>
      </c>
      <c r="G178" s="1565"/>
      <c r="H178" s="382"/>
      <c r="J178" s="383"/>
      <c r="K178" s="382"/>
      <c r="L178" s="383"/>
    </row>
    <row r="179" spans="1:12" ht="41.25" customHeight="1" thickBot="1">
      <c r="A179" s="1238" t="s">
        <v>70</v>
      </c>
      <c r="B179" s="1011"/>
      <c r="C179" s="402" t="s">
        <v>353</v>
      </c>
      <c r="D179" s="402" t="s">
        <v>1</v>
      </c>
      <c r="E179" s="643" t="s">
        <v>254</v>
      </c>
      <c r="F179" s="404" t="s">
        <v>354</v>
      </c>
      <c r="G179" s="643" t="s">
        <v>355</v>
      </c>
      <c r="H179" s="382"/>
      <c r="J179" s="383"/>
      <c r="K179" s="382"/>
      <c r="L179" s="383"/>
    </row>
    <row r="180" spans="1:12">
      <c r="A180" s="644" t="s">
        <v>19</v>
      </c>
      <c r="B180" s="1232"/>
      <c r="C180" s="1233" t="s">
        <v>262</v>
      </c>
      <c r="D180" s="645" t="s">
        <v>1021</v>
      </c>
      <c r="E180" s="675" t="s">
        <v>262</v>
      </c>
      <c r="F180" s="1229">
        <v>0</v>
      </c>
      <c r="G180" s="1231">
        <v>0</v>
      </c>
      <c r="H180" s="382"/>
      <c r="J180" s="383"/>
      <c r="K180" s="382"/>
      <c r="L180" s="383"/>
    </row>
    <row r="181" spans="1:12">
      <c r="A181" s="649" t="s">
        <v>77</v>
      </c>
      <c r="B181" s="1013"/>
      <c r="C181" s="683" t="s">
        <v>262</v>
      </c>
      <c r="D181" s="415" t="s">
        <v>1021</v>
      </c>
      <c r="E181" s="286" t="s">
        <v>262</v>
      </c>
      <c r="F181" s="1000">
        <v>0</v>
      </c>
      <c r="G181" s="974">
        <v>0</v>
      </c>
      <c r="H181" s="382"/>
      <c r="J181" s="383"/>
      <c r="K181" s="382"/>
      <c r="L181" s="383"/>
    </row>
    <row r="182" spans="1:12">
      <c r="A182" s="649" t="s">
        <v>78</v>
      </c>
      <c r="B182" s="1013"/>
      <c r="C182" s="683" t="s">
        <v>262</v>
      </c>
      <c r="D182" s="415" t="s">
        <v>1021</v>
      </c>
      <c r="E182" s="286" t="s">
        <v>262</v>
      </c>
      <c r="F182" s="1000">
        <v>0</v>
      </c>
      <c r="G182" s="974">
        <v>0</v>
      </c>
      <c r="H182" s="382"/>
      <c r="J182" s="383"/>
      <c r="K182" s="382"/>
      <c r="L182" s="383"/>
    </row>
    <row r="183" spans="1:12">
      <c r="A183" s="649" t="s">
        <v>79</v>
      </c>
      <c r="B183" s="1013"/>
      <c r="C183" s="683" t="s">
        <v>262</v>
      </c>
      <c r="D183" s="415" t="s">
        <v>1021</v>
      </c>
      <c r="E183" s="418" t="s">
        <v>262</v>
      </c>
      <c r="F183" s="1000">
        <v>0</v>
      </c>
      <c r="G183" s="974">
        <v>0</v>
      </c>
      <c r="H183" s="382"/>
      <c r="J183" s="383"/>
      <c r="K183" s="382"/>
      <c r="L183" s="383"/>
    </row>
    <row r="184" spans="1:12">
      <c r="A184" s="649" t="s">
        <v>81</v>
      </c>
      <c r="B184" s="1013"/>
      <c r="C184" s="683" t="s">
        <v>262</v>
      </c>
      <c r="D184" s="415" t="s">
        <v>1021</v>
      </c>
      <c r="E184" s="418" t="s">
        <v>262</v>
      </c>
      <c r="F184" s="1000">
        <v>0</v>
      </c>
      <c r="G184" s="974">
        <v>0</v>
      </c>
      <c r="H184" s="382"/>
      <c r="J184" s="383"/>
      <c r="K184" s="382"/>
      <c r="L184" s="383"/>
    </row>
    <row r="185" spans="1:12">
      <c r="A185" s="649" t="s">
        <v>82</v>
      </c>
      <c r="B185" s="1013"/>
      <c r="C185" s="414">
        <f>'SDS Summary'!O3</f>
        <v>1</v>
      </c>
      <c r="D185" s="415" t="s">
        <v>1021</v>
      </c>
      <c r="E185" s="418" t="s">
        <v>262</v>
      </c>
      <c r="F185" s="320">
        <f>$F$14*C185</f>
        <v>5.6278538812785391E-2</v>
      </c>
      <c r="G185" s="287">
        <f>F185*8760/2000</f>
        <v>0.2465</v>
      </c>
      <c r="H185" s="382"/>
      <c r="J185" s="383"/>
      <c r="K185" s="382"/>
      <c r="L185" s="383"/>
    </row>
    <row r="186" spans="1:12">
      <c r="A186" s="649" t="s">
        <v>83</v>
      </c>
      <c r="B186" s="1013"/>
      <c r="C186" s="683" t="s">
        <v>262</v>
      </c>
      <c r="D186" s="415" t="s">
        <v>1021</v>
      </c>
      <c r="E186" s="418" t="s">
        <v>262</v>
      </c>
      <c r="F186" s="1000">
        <v>0</v>
      </c>
      <c r="G186" s="974">
        <v>0</v>
      </c>
      <c r="H186" s="382"/>
      <c r="J186" s="383"/>
      <c r="K186" s="382"/>
      <c r="L186" s="383"/>
    </row>
    <row r="187" spans="1:12">
      <c r="A187" s="1336" t="s">
        <v>1233</v>
      </c>
      <c r="B187" s="1337"/>
      <c r="C187" s="711"/>
      <c r="D187" s="711"/>
      <c r="E187" s="1202"/>
      <c r="F187" s="1000">
        <f>F203+F204</f>
        <v>0</v>
      </c>
      <c r="G187" s="974">
        <f>G203+G204</f>
        <v>0</v>
      </c>
      <c r="H187" s="382"/>
      <c r="J187" s="383"/>
      <c r="K187" s="382"/>
      <c r="L187" s="383"/>
    </row>
    <row r="188" spans="1:12">
      <c r="A188" s="1017" t="s">
        <v>84</v>
      </c>
      <c r="B188" s="1012"/>
      <c r="C188" s="711"/>
      <c r="D188" s="711"/>
      <c r="E188" s="1202"/>
      <c r="F188" s="1000">
        <v>0</v>
      </c>
      <c r="G188" s="974">
        <v>0</v>
      </c>
      <c r="H188" s="382"/>
      <c r="J188" s="383"/>
      <c r="K188" s="382"/>
      <c r="L188" s="383"/>
    </row>
    <row r="189" spans="1:12">
      <c r="A189" s="1018" t="s">
        <v>265</v>
      </c>
      <c r="B189" s="1014"/>
      <c r="C189" s="683" t="s">
        <v>262</v>
      </c>
      <c r="D189" s="415" t="s">
        <v>1021</v>
      </c>
      <c r="E189" s="418" t="s">
        <v>262</v>
      </c>
      <c r="F189" s="1000">
        <v>0</v>
      </c>
      <c r="G189" s="974">
        <v>0</v>
      </c>
      <c r="H189" s="382"/>
      <c r="J189" s="383"/>
      <c r="K189" s="382"/>
      <c r="L189" s="383"/>
    </row>
    <row r="190" spans="1:12">
      <c r="A190" s="1018" t="s">
        <v>266</v>
      </c>
      <c r="B190" s="1014"/>
      <c r="C190" s="683" t="s">
        <v>262</v>
      </c>
      <c r="D190" s="415" t="s">
        <v>1021</v>
      </c>
      <c r="E190" s="418" t="s">
        <v>262</v>
      </c>
      <c r="F190" s="1000">
        <v>0</v>
      </c>
      <c r="G190" s="974">
        <v>0</v>
      </c>
      <c r="H190" s="382"/>
      <c r="J190" s="383"/>
      <c r="K190" s="382"/>
      <c r="L190" s="383"/>
    </row>
    <row r="191" spans="1:12">
      <c r="A191" s="1018" t="s">
        <v>267</v>
      </c>
      <c r="B191" s="1014"/>
      <c r="C191" s="683" t="s">
        <v>262</v>
      </c>
      <c r="D191" s="415" t="s">
        <v>1021</v>
      </c>
      <c r="E191" s="418" t="s">
        <v>262</v>
      </c>
      <c r="F191" s="1000">
        <v>0</v>
      </c>
      <c r="G191" s="974">
        <v>0</v>
      </c>
      <c r="H191" s="382"/>
      <c r="J191" s="383"/>
      <c r="K191" s="382"/>
      <c r="L191" s="383"/>
    </row>
    <row r="192" spans="1:12">
      <c r="A192" s="1018" t="s">
        <v>268</v>
      </c>
      <c r="B192" s="1014"/>
      <c r="C192" s="683" t="s">
        <v>262</v>
      </c>
      <c r="D192" s="415" t="s">
        <v>1021</v>
      </c>
      <c r="E192" s="418" t="s">
        <v>262</v>
      </c>
      <c r="F192" s="1000">
        <v>0</v>
      </c>
      <c r="G192" s="974">
        <v>0</v>
      </c>
      <c r="H192" s="382"/>
      <c r="J192" s="383"/>
      <c r="K192" s="382"/>
      <c r="L192" s="383"/>
    </row>
    <row r="193" spans="1:12">
      <c r="A193" s="1018" t="s">
        <v>269</v>
      </c>
      <c r="B193" s="1014"/>
      <c r="C193" s="683" t="s">
        <v>262</v>
      </c>
      <c r="D193" s="415" t="s">
        <v>1021</v>
      </c>
      <c r="E193" s="418" t="s">
        <v>262</v>
      </c>
      <c r="F193" s="1000">
        <v>0</v>
      </c>
      <c r="G193" s="974">
        <v>0</v>
      </c>
      <c r="H193" s="382"/>
      <c r="J193" s="383"/>
      <c r="K193" s="382"/>
      <c r="L193" s="383"/>
    </row>
    <row r="194" spans="1:12">
      <c r="A194" s="1019" t="s">
        <v>971</v>
      </c>
      <c r="B194" s="1015"/>
      <c r="C194" s="683" t="s">
        <v>262</v>
      </c>
      <c r="D194" s="415" t="s">
        <v>1021</v>
      </c>
      <c r="E194" s="418" t="s">
        <v>262</v>
      </c>
      <c r="F194" s="1000">
        <v>0</v>
      </c>
      <c r="G194" s="974">
        <v>0</v>
      </c>
      <c r="H194" s="382"/>
      <c r="J194" s="383"/>
      <c r="K194" s="382"/>
      <c r="L194" s="383"/>
    </row>
    <row r="195" spans="1:12">
      <c r="A195" s="1234" t="s">
        <v>1156</v>
      </c>
      <c r="B195" s="1015"/>
      <c r="C195" s="683" t="s">
        <v>262</v>
      </c>
      <c r="D195" s="415" t="s">
        <v>1021</v>
      </c>
      <c r="E195" s="418" t="s">
        <v>262</v>
      </c>
      <c r="F195" s="1000">
        <v>0</v>
      </c>
      <c r="G195" s="974">
        <v>0</v>
      </c>
      <c r="H195" s="382"/>
      <c r="J195" s="383"/>
      <c r="K195" s="382"/>
      <c r="L195" s="383"/>
    </row>
    <row r="196" spans="1:12">
      <c r="A196" s="1235" t="s">
        <v>554</v>
      </c>
      <c r="B196" s="1015"/>
      <c r="C196" s="683" t="s">
        <v>262</v>
      </c>
      <c r="D196" s="415" t="s">
        <v>1021</v>
      </c>
      <c r="E196" s="418" t="s">
        <v>262</v>
      </c>
      <c r="F196" s="1000">
        <v>0</v>
      </c>
      <c r="G196" s="974">
        <v>0</v>
      </c>
      <c r="H196" s="382"/>
      <c r="J196" s="383"/>
      <c r="K196" s="382"/>
      <c r="L196" s="383"/>
    </row>
    <row r="197" spans="1:12">
      <c r="A197" s="1235" t="s">
        <v>91</v>
      </c>
      <c r="B197" s="1015"/>
      <c r="C197" s="683" t="s">
        <v>262</v>
      </c>
      <c r="D197" s="415" t="s">
        <v>1021</v>
      </c>
      <c r="E197" s="418" t="s">
        <v>262</v>
      </c>
      <c r="F197" s="1000">
        <v>0</v>
      </c>
      <c r="G197" s="974">
        <v>0</v>
      </c>
      <c r="H197" s="382"/>
      <c r="J197" s="383"/>
      <c r="K197" s="382"/>
      <c r="L197" s="383"/>
    </row>
    <row r="198" spans="1:12">
      <c r="A198" s="1235" t="s">
        <v>1009</v>
      </c>
      <c r="B198" s="1015"/>
      <c r="C198" s="683" t="s">
        <v>262</v>
      </c>
      <c r="D198" s="415" t="s">
        <v>1021</v>
      </c>
      <c r="E198" s="418" t="s">
        <v>262</v>
      </c>
      <c r="F198" s="1000">
        <v>0</v>
      </c>
      <c r="G198" s="974">
        <v>0</v>
      </c>
      <c r="H198" s="382"/>
      <c r="J198" s="383"/>
      <c r="K198" s="382"/>
      <c r="L198" s="383"/>
    </row>
    <row r="199" spans="1:12">
      <c r="A199" s="1018" t="s">
        <v>359</v>
      </c>
      <c r="B199" s="1014"/>
      <c r="C199" s="683" t="s">
        <v>262</v>
      </c>
      <c r="D199" s="415" t="s">
        <v>1021</v>
      </c>
      <c r="E199" s="418" t="s">
        <v>262</v>
      </c>
      <c r="F199" s="1000">
        <v>0</v>
      </c>
      <c r="G199" s="974">
        <v>0</v>
      </c>
      <c r="H199" s="382"/>
      <c r="J199" s="383"/>
      <c r="K199" s="382"/>
      <c r="L199" s="383"/>
    </row>
    <row r="200" spans="1:12">
      <c r="A200" s="1018" t="s">
        <v>100</v>
      </c>
      <c r="B200" s="1014"/>
      <c r="C200" s="683" t="s">
        <v>262</v>
      </c>
      <c r="D200" s="415" t="s">
        <v>1021</v>
      </c>
      <c r="E200" s="418" t="s">
        <v>262</v>
      </c>
      <c r="F200" s="1000">
        <v>0</v>
      </c>
      <c r="G200" s="974">
        <v>0</v>
      </c>
      <c r="H200" s="382"/>
      <c r="J200" s="383"/>
      <c r="K200" s="382"/>
      <c r="L200" s="383"/>
    </row>
    <row r="201" spans="1:12">
      <c r="A201" s="1018" t="s">
        <v>96</v>
      </c>
      <c r="B201" s="1014"/>
      <c r="C201" s="683" t="s">
        <v>262</v>
      </c>
      <c r="D201" s="415" t="s">
        <v>1021</v>
      </c>
      <c r="E201" s="418" t="s">
        <v>262</v>
      </c>
      <c r="F201" s="1000">
        <v>0</v>
      </c>
      <c r="G201" s="974">
        <v>0</v>
      </c>
      <c r="H201" s="382"/>
      <c r="J201" s="383"/>
      <c r="K201" s="382"/>
      <c r="L201" s="383"/>
    </row>
    <row r="202" spans="1:12">
      <c r="A202" s="1018" t="s">
        <v>360</v>
      </c>
      <c r="B202" s="1014"/>
      <c r="C202" s="683" t="s">
        <v>262</v>
      </c>
      <c r="D202" s="415" t="s">
        <v>1021</v>
      </c>
      <c r="E202" s="418" t="s">
        <v>262</v>
      </c>
      <c r="F202" s="1000">
        <v>0</v>
      </c>
      <c r="G202" s="974">
        <v>0</v>
      </c>
      <c r="H202" s="382"/>
      <c r="J202" s="383"/>
      <c r="K202" s="382"/>
      <c r="L202" s="383"/>
    </row>
    <row r="203" spans="1:12">
      <c r="A203" s="1018" t="s">
        <v>1234</v>
      </c>
      <c r="B203" s="1014"/>
      <c r="C203" s="683" t="s">
        <v>262</v>
      </c>
      <c r="D203" s="415" t="s">
        <v>1021</v>
      </c>
      <c r="E203" s="418" t="s">
        <v>262</v>
      </c>
      <c r="F203" s="1000">
        <v>0</v>
      </c>
      <c r="G203" s="974">
        <v>0</v>
      </c>
      <c r="H203" s="382"/>
      <c r="J203" s="383"/>
      <c r="K203" s="382"/>
      <c r="L203" s="383"/>
    </row>
    <row r="204" spans="1:12">
      <c r="A204" s="1018" t="s">
        <v>1242</v>
      </c>
      <c r="B204" s="1014"/>
      <c r="C204" s="683" t="s">
        <v>262</v>
      </c>
      <c r="D204" s="415" t="s">
        <v>1021</v>
      </c>
      <c r="E204" s="418" t="s">
        <v>262</v>
      </c>
      <c r="F204" s="1000">
        <v>0</v>
      </c>
      <c r="G204" s="974">
        <v>0</v>
      </c>
      <c r="H204" s="382"/>
      <c r="J204" s="383"/>
      <c r="K204" s="382"/>
      <c r="L204" s="383"/>
    </row>
    <row r="205" spans="1:12">
      <c r="A205" s="1018" t="s">
        <v>1258</v>
      </c>
      <c r="B205" s="1014"/>
      <c r="C205" s="683" t="s">
        <v>262</v>
      </c>
      <c r="D205" s="415" t="s">
        <v>1021</v>
      </c>
      <c r="E205" s="418" t="s">
        <v>262</v>
      </c>
      <c r="F205" s="1000">
        <v>0</v>
      </c>
      <c r="G205" s="974">
        <v>0</v>
      </c>
      <c r="H205" s="382"/>
      <c r="J205" s="383"/>
      <c r="K205" s="382"/>
      <c r="L205" s="383"/>
    </row>
    <row r="206" spans="1:12" ht="15" thickBot="1">
      <c r="A206" s="1020" t="s">
        <v>663</v>
      </c>
      <c r="B206" s="1016"/>
      <c r="C206" s="683" t="s">
        <v>262</v>
      </c>
      <c r="D206" s="415" t="s">
        <v>1021</v>
      </c>
      <c r="E206" s="418" t="s">
        <v>262</v>
      </c>
      <c r="F206" s="1001">
        <v>0</v>
      </c>
      <c r="G206" s="982">
        <v>0</v>
      </c>
      <c r="H206" s="382"/>
      <c r="I206" s="383"/>
      <c r="L206" s="383"/>
    </row>
    <row r="207" spans="1:12" ht="15" customHeight="1">
      <c r="A207" s="1570" t="s">
        <v>1248</v>
      </c>
      <c r="B207" s="1570"/>
      <c r="C207" s="1570"/>
      <c r="D207" s="1570"/>
      <c r="E207" s="1570"/>
      <c r="F207" s="1570"/>
      <c r="G207" s="1570"/>
      <c r="H207" s="382"/>
      <c r="J207" s="383"/>
      <c r="K207" s="382"/>
      <c r="L207" s="383"/>
    </row>
    <row r="208" spans="1:12" ht="15" customHeight="1">
      <c r="A208" s="1392"/>
      <c r="B208" s="1392"/>
      <c r="C208" s="1392"/>
      <c r="D208" s="1392"/>
      <c r="E208" s="1392"/>
      <c r="F208" s="1392"/>
      <c r="G208" s="1392"/>
      <c r="H208" s="382"/>
      <c r="J208" s="383"/>
      <c r="K208" s="382"/>
      <c r="L208" s="383"/>
    </row>
    <row r="210" spans="1:13" ht="15" thickBot="1">
      <c r="A210" s="261" t="s">
        <v>1191</v>
      </c>
      <c r="B210" s="220"/>
      <c r="C210" s="220"/>
      <c r="D210" s="220"/>
      <c r="E210" s="220"/>
      <c r="F210" s="220"/>
      <c r="G210" s="220"/>
      <c r="H210" s="220"/>
      <c r="I210" s="220"/>
      <c r="J210" s="220"/>
      <c r="K210" s="220"/>
      <c r="L210" s="220"/>
      <c r="M210" s="220"/>
    </row>
    <row r="211" spans="1:13" ht="40" thickBot="1">
      <c r="A211" s="308"/>
      <c r="B211" s="1245"/>
      <c r="C211" s="1548" t="s">
        <v>984</v>
      </c>
      <c r="D211" s="1549"/>
      <c r="E211" s="1550" t="s">
        <v>985</v>
      </c>
      <c r="F211" s="1549"/>
      <c r="G211" s="1550" t="s">
        <v>986</v>
      </c>
      <c r="H211" s="1549"/>
      <c r="I211" s="262" t="s">
        <v>1192</v>
      </c>
      <c r="J211" s="1333"/>
      <c r="L211" s="383"/>
    </row>
    <row r="212" spans="1:13" ht="53" thickBot="1">
      <c r="A212" s="309" t="s">
        <v>70</v>
      </c>
      <c r="B212" s="1246"/>
      <c r="C212" s="310" t="s">
        <v>255</v>
      </c>
      <c r="D212" s="311" t="s">
        <v>256</v>
      </c>
      <c r="E212" s="312" t="s">
        <v>255</v>
      </c>
      <c r="F212" s="311" t="s">
        <v>256</v>
      </c>
      <c r="G212" s="312" t="s">
        <v>255</v>
      </c>
      <c r="H212" s="311" t="s">
        <v>256</v>
      </c>
      <c r="I212" s="313" t="s">
        <v>1193</v>
      </c>
      <c r="J212" s="1333"/>
      <c r="L212" s="383"/>
    </row>
    <row r="213" spans="1:13">
      <c r="A213" s="314" t="s">
        <v>19</v>
      </c>
      <c r="B213" s="1247"/>
      <c r="C213" s="765">
        <f>'Shell Core Machine, Large'!E13</f>
        <v>1.4156862745098038E-3</v>
      </c>
      <c r="D213" s="766">
        <f>'Shell Core Machine, Large'!G13</f>
        <v>6.2007058823529398E-3</v>
      </c>
      <c r="E213" s="1251">
        <f>'Shell Core Machine, Small 1'!E13</f>
        <v>8.1960784313725487E-4</v>
      </c>
      <c r="F213" s="766">
        <f>'Shell Core Machine, Small 1'!G13</f>
        <v>3.5898823529411767E-3</v>
      </c>
      <c r="G213" s="1251">
        <f>'Shell Core Machine, Small 2'!E13</f>
        <v>1.192156862745098E-3</v>
      </c>
      <c r="H213" s="766">
        <f>'Shell Core Machine, Small 2'!G13</f>
        <v>5.2216470588235288E-3</v>
      </c>
      <c r="I213" s="318">
        <f>D213+F213+H213</f>
        <v>1.5012235294117646E-2</v>
      </c>
      <c r="J213" s="1334"/>
      <c r="L213" s="383"/>
    </row>
    <row r="214" spans="1:13">
      <c r="A214" s="319" t="s">
        <v>77</v>
      </c>
      <c r="B214" s="1248"/>
      <c r="C214" s="297">
        <f>'Shell Core Machine, Large'!E14</f>
        <v>1.4156862745098038E-3</v>
      </c>
      <c r="D214" s="293">
        <f>'Shell Core Machine, Large'!G14</f>
        <v>6.2007058823529398E-3</v>
      </c>
      <c r="E214" s="294">
        <f>'Shell Core Machine, Small 1'!E14</f>
        <v>8.1960784313725487E-4</v>
      </c>
      <c r="F214" s="293">
        <f>'Shell Core Machine, Small 1'!G14</f>
        <v>3.5898823529411767E-3</v>
      </c>
      <c r="G214" s="294">
        <f>'Shell Core Machine, Small 2'!E14</f>
        <v>1.192156862745098E-3</v>
      </c>
      <c r="H214" s="293">
        <f>'Shell Core Machine, Small 2'!G14</f>
        <v>5.2216470588235288E-3</v>
      </c>
      <c r="I214" s="321">
        <f t="shared" ref="I214:I241" si="9">D214+F214+H214</f>
        <v>1.5012235294117646E-2</v>
      </c>
      <c r="J214" s="1334"/>
      <c r="L214" s="383"/>
    </row>
    <row r="215" spans="1:13">
      <c r="A215" s="319" t="s">
        <v>78</v>
      </c>
      <c r="B215" s="1248"/>
      <c r="C215" s="297">
        <f>'Shell Core Machine, Large'!E15</f>
        <v>1.4156862745098038E-3</v>
      </c>
      <c r="D215" s="293">
        <f>'Shell Core Machine, Large'!G15</f>
        <v>6.2007058823529398E-3</v>
      </c>
      <c r="E215" s="294">
        <f>'Shell Core Machine, Small 1'!E15</f>
        <v>8.1960784313725487E-4</v>
      </c>
      <c r="F215" s="293">
        <f>'Shell Core Machine, Small 1'!G15</f>
        <v>3.5898823529411767E-3</v>
      </c>
      <c r="G215" s="294">
        <f>'Shell Core Machine, Small 2'!E15</f>
        <v>1.192156862745098E-3</v>
      </c>
      <c r="H215" s="293">
        <f>'Shell Core Machine, Small 2'!G15</f>
        <v>5.2216470588235288E-3</v>
      </c>
      <c r="I215" s="321">
        <f t="shared" si="9"/>
        <v>1.5012235294117646E-2</v>
      </c>
      <c r="J215" s="1334"/>
      <c r="L215" s="383"/>
    </row>
    <row r="216" spans="1:13">
      <c r="A216" s="319" t="s">
        <v>79</v>
      </c>
      <c r="B216" s="1248"/>
      <c r="C216" s="297">
        <f>'Shell Core Machine, Large'!E16</f>
        <v>1.8627450980392157E-2</v>
      </c>
      <c r="D216" s="293">
        <f>'Shell Core Machine, Large'!G16</f>
        <v>8.1588235294117656E-2</v>
      </c>
      <c r="E216" s="294">
        <f>'Shell Core Machine, Small 1'!E16</f>
        <v>1.0784313725490196E-2</v>
      </c>
      <c r="F216" s="293">
        <f>'Shell Core Machine, Small 1'!G16</f>
        <v>4.7235294117647056E-2</v>
      </c>
      <c r="G216" s="294">
        <f>'Shell Core Machine, Small 2'!E16</f>
        <v>1.5686274509803921E-2</v>
      </c>
      <c r="H216" s="293">
        <f>'Shell Core Machine, Small 2'!G16</f>
        <v>6.8705882352941172E-2</v>
      </c>
      <c r="I216" s="321">
        <f t="shared" si="9"/>
        <v>0.1975294117647059</v>
      </c>
      <c r="J216" s="1334"/>
      <c r="L216" s="383"/>
    </row>
    <row r="217" spans="1:13">
      <c r="A217" s="319" t="s">
        <v>80</v>
      </c>
      <c r="B217" s="1248"/>
      <c r="C217" s="297">
        <f>'Shell Core Machine, Large'!E17</f>
        <v>1.5647058823529413E-2</v>
      </c>
      <c r="D217" s="293">
        <f>'Shell Core Machine, Large'!G17</f>
        <v>6.8534117647058829E-2</v>
      </c>
      <c r="E217" s="294">
        <f>'Shell Core Machine, Small 1'!E17</f>
        <v>9.058823529411765E-3</v>
      </c>
      <c r="F217" s="293">
        <f>'Shell Core Machine, Small 1'!G17</f>
        <v>3.9677647058823533E-2</v>
      </c>
      <c r="G217" s="294">
        <f>'Shell Core Machine, Small 2'!E17</f>
        <v>1.3176470588235295E-2</v>
      </c>
      <c r="H217" s="293">
        <f>'Shell Core Machine, Small 2'!G17</f>
        <v>5.7712941176470592E-2</v>
      </c>
      <c r="I217" s="321">
        <f t="shared" si="9"/>
        <v>0.16592470588235297</v>
      </c>
      <c r="J217" s="1334"/>
      <c r="L217" s="383"/>
    </row>
    <row r="218" spans="1:13">
      <c r="A218" s="319" t="s">
        <v>81</v>
      </c>
      <c r="B218" s="1248"/>
      <c r="C218" s="297">
        <f>'Shell Core Machine, Large'!E18</f>
        <v>1.1176470588235293E-4</v>
      </c>
      <c r="D218" s="293">
        <f>'Shell Core Machine, Large'!G18</f>
        <v>4.8952941176470582E-4</v>
      </c>
      <c r="E218" s="294">
        <f>'Shell Core Machine, Small 1'!E18</f>
        <v>6.4705882352941171E-5</v>
      </c>
      <c r="F218" s="293">
        <f>'Shell Core Machine, Small 1'!G18</f>
        <v>2.8341176470588229E-4</v>
      </c>
      <c r="G218" s="294">
        <f>'Shell Core Machine, Small 2'!E18</f>
        <v>9.4117647058823535E-5</v>
      </c>
      <c r="H218" s="293">
        <f>'Shell Core Machine, Small 2'!G18</f>
        <v>4.1223529411764707E-4</v>
      </c>
      <c r="I218" s="837">
        <f t="shared" si="9"/>
        <v>1.1851764705882351E-3</v>
      </c>
      <c r="J218" s="1335"/>
      <c r="L218" s="383"/>
    </row>
    <row r="219" spans="1:13">
      <c r="A219" s="319" t="s">
        <v>39</v>
      </c>
      <c r="B219" s="1248"/>
      <c r="C219" s="297">
        <f>'Shell Core Machine, Large'!E19+(F185/3)</f>
        <v>1.9784022741516697E-2</v>
      </c>
      <c r="D219" s="293">
        <f>'Shell Core Machine, Large'!G19+(G185/3)</f>
        <v>8.6654019607843136E-2</v>
      </c>
      <c r="E219" s="294">
        <f>'Shell Core Machine, Small 1'!E19+(F185/3)</f>
        <v>1.935265019249709E-2</v>
      </c>
      <c r="F219" s="293">
        <f>'Shell Core Machine, Small 1'!G19+(G185/3)</f>
        <v>8.476460784313726E-2</v>
      </c>
      <c r="G219" s="294">
        <f>'Shell Core Machine, Small 2'!E19+(F185/3)</f>
        <v>1.9622258035634346E-2</v>
      </c>
      <c r="H219" s="293">
        <f>'Shell Core Machine, Small 2'!G19+(G185/3)</f>
        <v>8.5945490196078431E-2</v>
      </c>
      <c r="I219" s="321">
        <f t="shared" si="9"/>
        <v>0.25736411764705885</v>
      </c>
      <c r="J219" s="1334"/>
      <c r="L219" s="383"/>
    </row>
    <row r="220" spans="1:13">
      <c r="A220" s="319" t="s">
        <v>83</v>
      </c>
      <c r="B220" s="1248"/>
      <c r="C220" s="297">
        <f>'Shell Core Machine, Large'!E20</f>
        <v>9.3137254901960788E-8</v>
      </c>
      <c r="D220" s="293">
        <f>'Shell Core Machine, Large'!G20</f>
        <v>4.0794117647058823E-7</v>
      </c>
      <c r="E220" s="294">
        <f>'Shell Core Machine, Small 1'!E20</f>
        <v>5.3921568627450984E-8</v>
      </c>
      <c r="F220" s="293">
        <f>'Shell Core Machine, Small 1'!G20</f>
        <v>2.3617647058823531E-7</v>
      </c>
      <c r="G220" s="294">
        <f>'Shell Core Machine, Small 2'!E20</f>
        <v>7.8431372549019607E-8</v>
      </c>
      <c r="H220" s="293">
        <f>'Shell Core Machine, Small 2'!G20</f>
        <v>3.4352941176470583E-7</v>
      </c>
      <c r="I220" s="837">
        <f t="shared" si="9"/>
        <v>9.8764705882352937E-7</v>
      </c>
      <c r="J220" s="1335"/>
      <c r="L220" s="383"/>
    </row>
    <row r="221" spans="1:13" ht="15" thickBot="1">
      <c r="A221" s="322" t="s">
        <v>42</v>
      </c>
      <c r="B221" s="1249"/>
      <c r="C221" s="302">
        <f>'Shell Core Machine, Large'!E21</f>
        <v>3.5167848823529417E-4</v>
      </c>
      <c r="D221" s="303">
        <f>'Shell Core Machine, Large'!G21</f>
        <v>1.5403517784705885E-3</v>
      </c>
      <c r="E221" s="304">
        <f>'Shell Core Machine, Small 1'!E21</f>
        <v>2.0360333529411767E-4</v>
      </c>
      <c r="F221" s="303">
        <f>'Shell Core Machine, Small 1'!G21</f>
        <v>8.917826085882354E-4</v>
      </c>
      <c r="G221" s="304">
        <f>'Shell Core Machine, Small 2'!E21</f>
        <v>2.9615030588235299E-4</v>
      </c>
      <c r="H221" s="303">
        <f>'Shell Core Machine, Small 2'!G21</f>
        <v>1.2971383397647062E-3</v>
      </c>
      <c r="I221" s="838">
        <f>D221+F221+H221</f>
        <v>3.7292727268235302E-3</v>
      </c>
      <c r="J221" s="1335"/>
      <c r="L221" s="383"/>
    </row>
    <row r="222" spans="1:13">
      <c r="A222" s="327" t="s">
        <v>85</v>
      </c>
      <c r="B222" s="1250"/>
      <c r="C222" s="292">
        <f>'Shell Core Machine, Large'!E22</f>
        <v>22.22545444</v>
      </c>
      <c r="D222" s="328">
        <f>'Shell Core Machine, Large'!G22</f>
        <v>97.347490447200002</v>
      </c>
      <c r="E222" s="329">
        <f>'Shell Core Machine, Small 1'!E22</f>
        <v>12.86736836</v>
      </c>
      <c r="F222" s="328">
        <f>'Shell Core Machine, Small 1'!G22</f>
        <v>56.359073416800008</v>
      </c>
      <c r="G222" s="329">
        <f>'Shell Core Machine, Small 2'!E22</f>
        <v>18.716172160000003</v>
      </c>
      <c r="H222" s="328">
        <f>'Shell Core Machine, Small 2'!G22</f>
        <v>81.976834060800016</v>
      </c>
      <c r="I222" s="330">
        <f t="shared" si="9"/>
        <v>235.68339792480003</v>
      </c>
      <c r="J222" s="1334"/>
      <c r="L222" s="383"/>
    </row>
    <row r="223" spans="1:13">
      <c r="A223" s="319" t="s">
        <v>86</v>
      </c>
      <c r="B223" s="1248"/>
      <c r="C223" s="297">
        <f>'Shell Core Machine, Large'!E23</f>
        <v>4.1887400000000001E-4</v>
      </c>
      <c r="D223" s="293">
        <f>'Shell Core Machine, Large'!G23</f>
        <v>1.8346681200000002E-3</v>
      </c>
      <c r="E223" s="294">
        <f>'Shell Core Machine, Small 1'!E23</f>
        <v>2.4250600000000003E-4</v>
      </c>
      <c r="F223" s="293">
        <f>'Shell Core Machine, Small 1'!G23</f>
        <v>1.0621762800000001E-3</v>
      </c>
      <c r="G223" s="294">
        <f>'Shell Core Machine, Small 2'!E23</f>
        <v>3.5273600000000003E-4</v>
      </c>
      <c r="H223" s="293">
        <f>'Shell Core Machine, Small 2'!G23</f>
        <v>1.5449836800000001E-3</v>
      </c>
      <c r="I223" s="321">
        <f t="shared" si="9"/>
        <v>4.4418280799999998E-3</v>
      </c>
      <c r="J223" s="1334"/>
      <c r="L223" s="383"/>
    </row>
    <row r="224" spans="1:13">
      <c r="A224" s="319" t="s">
        <v>87</v>
      </c>
      <c r="B224" s="1248"/>
      <c r="C224" s="297">
        <f>'Shell Core Machine, Large'!E24</f>
        <v>4.1887400000000001E-5</v>
      </c>
      <c r="D224" s="293">
        <f>'Shell Core Machine, Large'!G24</f>
        <v>1.83466812E-4</v>
      </c>
      <c r="E224" s="294">
        <f>'Shell Core Machine, Small 1'!E24</f>
        <v>2.4250600000000001E-5</v>
      </c>
      <c r="F224" s="293">
        <f>'Shell Core Machine, Small 1'!G24</f>
        <v>1.0621762800000001E-4</v>
      </c>
      <c r="G224" s="294">
        <f>'Shell Core Machine, Small 2'!E24</f>
        <v>3.5273600000000001E-5</v>
      </c>
      <c r="H224" s="293">
        <f>'Shell Core Machine, Small 2'!G24</f>
        <v>1.54498368E-4</v>
      </c>
      <c r="I224" s="321">
        <f t="shared" si="9"/>
        <v>4.4418280800000002E-4</v>
      </c>
      <c r="J224" s="1334"/>
      <c r="L224" s="383"/>
    </row>
    <row r="225" spans="1:12" ht="15" thickBot="1">
      <c r="A225" s="322" t="s">
        <v>88</v>
      </c>
      <c r="B225" s="1249"/>
      <c r="C225" s="302">
        <f>'Shell Core Machine, Large'!E25</f>
        <v>22.248408735200002</v>
      </c>
      <c r="D225" s="303">
        <f>'Shell Core Machine, Large'!G25</f>
        <v>97.448030260176012</v>
      </c>
      <c r="E225" s="304">
        <f>'Shell Core Machine, Small 1'!E25</f>
        <v>12.880657688800001</v>
      </c>
      <c r="F225" s="303">
        <f>'Shell Core Machine, Small 1'!G25</f>
        <v>56.41728067694401</v>
      </c>
      <c r="G225" s="304">
        <f>'Shell Core Machine, Small 2'!E25</f>
        <v>18.735502092800001</v>
      </c>
      <c r="H225" s="303">
        <f>'Shell Core Machine, Small 2'!G25</f>
        <v>82.061499166464017</v>
      </c>
      <c r="I225" s="326">
        <f t="shared" si="9"/>
        <v>235.92681010358405</v>
      </c>
      <c r="J225" s="1334"/>
      <c r="L225" s="383"/>
    </row>
    <row r="226" spans="1:12">
      <c r="A226" s="327" t="s">
        <v>89</v>
      </c>
      <c r="B226" s="1250"/>
      <c r="C226" s="292">
        <f>'Shell Core Machine, Large'!E26</f>
        <v>2.2352941176470587E-7</v>
      </c>
      <c r="D226" s="328">
        <f>'Shell Core Machine, Large'!G26</f>
        <v>9.7905882352941158E-7</v>
      </c>
      <c r="E226" s="329">
        <f>'Shell Core Machine, Small 1'!E26</f>
        <v>1.2941176470588233E-7</v>
      </c>
      <c r="F226" s="328">
        <f>'Shell Core Machine, Small 1'!G26</f>
        <v>5.6682352941176456E-7</v>
      </c>
      <c r="G226" s="329">
        <f>'Shell Core Machine, Small 2'!E26</f>
        <v>1.8823529411764705E-7</v>
      </c>
      <c r="H226" s="328">
        <f>'Shell Core Machine, Small 2'!G26</f>
        <v>8.2447058823529414E-7</v>
      </c>
      <c r="I226" s="331">
        <f t="shared" si="9"/>
        <v>2.3703529411764705E-6</v>
      </c>
      <c r="J226" s="1335"/>
      <c r="L226" s="383"/>
    </row>
    <row r="227" spans="1:12">
      <c r="A227" s="327" t="s">
        <v>90</v>
      </c>
      <c r="B227" s="1250"/>
      <c r="C227" s="297">
        <f>'Shell Core Machine, Large'!E27</f>
        <v>3.7254901960784314E-8</v>
      </c>
      <c r="D227" s="293">
        <f>'Shell Core Machine, Large'!G27</f>
        <v>1.6317647058823531E-7</v>
      </c>
      <c r="E227" s="294">
        <f>'Shell Core Machine, Small 1'!E27</f>
        <v>2.1568627450980392E-8</v>
      </c>
      <c r="F227" s="293">
        <f>'Shell Core Machine, Small 1'!G27</f>
        <v>9.447058823529412E-8</v>
      </c>
      <c r="G227" s="294">
        <f>'Shell Core Machine, Small 2'!E27</f>
        <v>3.1372549019607844E-8</v>
      </c>
      <c r="H227" s="293">
        <f>'Shell Core Machine, Small 2'!G27</f>
        <v>1.3741176470588235E-7</v>
      </c>
      <c r="I227" s="331">
        <f t="shared" si="9"/>
        <v>3.9505882352941175E-7</v>
      </c>
      <c r="J227" s="1335"/>
      <c r="L227" s="383"/>
    </row>
    <row r="228" spans="1:12">
      <c r="A228" s="319" t="s">
        <v>91</v>
      </c>
      <c r="B228" s="1248"/>
      <c r="C228" s="297">
        <f>'Shell Core Machine, Large'!E28</f>
        <v>3.9117647058823526E-7</v>
      </c>
      <c r="D228" s="293">
        <f>'Shell Core Machine, Large'!G28</f>
        <v>1.7133529411764703E-6</v>
      </c>
      <c r="E228" s="294">
        <f>'Shell Core Machine, Small 1'!E28</f>
        <v>2.2647058823529411E-7</v>
      </c>
      <c r="F228" s="293">
        <f>'Shell Core Machine, Small 1'!G28</f>
        <v>9.9194117647058827E-7</v>
      </c>
      <c r="G228" s="294">
        <f>'Shell Core Machine, Small 2'!E28</f>
        <v>3.2941176470588235E-7</v>
      </c>
      <c r="H228" s="293">
        <f>'Shell Core Machine, Small 2'!G28</f>
        <v>1.4428235294117646E-6</v>
      </c>
      <c r="I228" s="331">
        <f t="shared" si="9"/>
        <v>4.1481176470588234E-6</v>
      </c>
      <c r="J228" s="1335"/>
      <c r="L228" s="383"/>
    </row>
    <row r="229" spans="1:12">
      <c r="A229" s="319" t="s">
        <v>92</v>
      </c>
      <c r="B229" s="1248"/>
      <c r="C229" s="297">
        <f>'Shell Core Machine, Large'!E29</f>
        <v>2.2352941176470589E-9</v>
      </c>
      <c r="D229" s="293">
        <f>'Shell Core Machine, Large'!G29</f>
        <v>9.7905882352941168E-9</v>
      </c>
      <c r="E229" s="294">
        <f>'Shell Core Machine, Small 1'!E29</f>
        <v>1.2941176470588236E-9</v>
      </c>
      <c r="F229" s="293">
        <f>'Shell Core Machine, Small 1'!G29</f>
        <v>5.6682352941176478E-9</v>
      </c>
      <c r="G229" s="294">
        <f>'Shell Core Machine, Small 2'!E29</f>
        <v>1.8823529411764705E-9</v>
      </c>
      <c r="H229" s="293">
        <f>'Shell Core Machine, Small 2'!G29</f>
        <v>8.2447058823529413E-9</v>
      </c>
      <c r="I229" s="331">
        <f t="shared" si="9"/>
        <v>2.3703529411764706E-8</v>
      </c>
      <c r="J229" s="1335"/>
      <c r="L229" s="383"/>
    </row>
    <row r="230" spans="1:12">
      <c r="A230" s="319" t="s">
        <v>93</v>
      </c>
      <c r="B230" s="1248"/>
      <c r="C230" s="297">
        <f>'Shell Core Machine, Large'!E30</f>
        <v>2.0490196078431374E-7</v>
      </c>
      <c r="D230" s="293">
        <f>'Shell Core Machine, Large'!G30</f>
        <v>8.9747058823529412E-7</v>
      </c>
      <c r="E230" s="294">
        <f>'Shell Core Machine, Small 1'!E30</f>
        <v>1.1862745098039217E-7</v>
      </c>
      <c r="F230" s="293">
        <f>'Shell Core Machine, Small 1'!G30</f>
        <v>5.1958823529411775E-7</v>
      </c>
      <c r="G230" s="294">
        <f>'Shell Core Machine, Small 2'!E30</f>
        <v>1.7254901960784316E-7</v>
      </c>
      <c r="H230" s="293">
        <f>'Shell Core Machine, Small 2'!G30</f>
        <v>7.5576470588235306E-7</v>
      </c>
      <c r="I230" s="331">
        <f t="shared" si="9"/>
        <v>2.172823529411765E-6</v>
      </c>
      <c r="J230" s="1335"/>
      <c r="L230" s="383"/>
    </row>
    <row r="231" spans="1:12">
      <c r="A231" s="319" t="s">
        <v>94</v>
      </c>
      <c r="B231" s="1248"/>
      <c r="C231" s="297">
        <f>'Shell Core Machine, Large'!E31</f>
        <v>2.6078431372549019E-7</v>
      </c>
      <c r="D231" s="293">
        <f>'Shell Core Machine, Large'!G31</f>
        <v>1.1422352941176471E-6</v>
      </c>
      <c r="E231" s="294">
        <f>'Shell Core Machine, Small 1'!E31</f>
        <v>1.5098039215686273E-7</v>
      </c>
      <c r="F231" s="293">
        <f>'Shell Core Machine, Small 1'!G31</f>
        <v>6.6129411764705871E-7</v>
      </c>
      <c r="G231" s="294">
        <f>'Shell Core Machine, Small 2'!E31</f>
        <v>2.1960784313725492E-7</v>
      </c>
      <c r="H231" s="293">
        <f>'Shell Core Machine, Small 2'!G31</f>
        <v>9.6188235294117663E-7</v>
      </c>
      <c r="I231" s="331">
        <f t="shared" si="9"/>
        <v>2.7654117647058822E-6</v>
      </c>
      <c r="J231" s="1335"/>
      <c r="L231" s="383"/>
    </row>
    <row r="232" spans="1:12">
      <c r="A232" s="319" t="s">
        <v>95</v>
      </c>
      <c r="B232" s="1248"/>
      <c r="C232" s="297">
        <f>'Shell Core Machine, Large'!E32</f>
        <v>1.5647058823529411E-8</v>
      </c>
      <c r="D232" s="293">
        <f>'Shell Core Machine, Large'!G32</f>
        <v>6.8534117647058816E-8</v>
      </c>
      <c r="E232" s="294">
        <f>'Shell Core Machine, Small 1'!E32</f>
        <v>9.0588235294117635E-9</v>
      </c>
      <c r="F232" s="293">
        <f>'Shell Core Machine, Small 1'!G32</f>
        <v>3.9677647058823529E-8</v>
      </c>
      <c r="G232" s="294">
        <f>'Shell Core Machine, Small 2'!E32</f>
        <v>1.3176470588235294E-8</v>
      </c>
      <c r="H232" s="293">
        <f>'Shell Core Machine, Small 2'!G32</f>
        <v>5.7712941176470586E-8</v>
      </c>
      <c r="I232" s="331">
        <f t="shared" si="9"/>
        <v>1.6592470588235294E-7</v>
      </c>
      <c r="J232" s="1335"/>
      <c r="L232" s="383"/>
    </row>
    <row r="233" spans="1:12">
      <c r="A233" s="319" t="s">
        <v>96</v>
      </c>
      <c r="B233" s="1248"/>
      <c r="C233" s="297">
        <f>'Shell Core Machine, Large'!E33</f>
        <v>1.3970588235294116E-5</v>
      </c>
      <c r="D233" s="293">
        <f>'Shell Core Machine, Large'!G33</f>
        <v>6.1191176470588228E-5</v>
      </c>
      <c r="E233" s="294">
        <f>'Shell Core Machine, Small 1'!E33</f>
        <v>8.0882352941176464E-6</v>
      </c>
      <c r="F233" s="293">
        <f>'Shell Core Machine, Small 1'!G33</f>
        <v>3.5426470588235286E-5</v>
      </c>
      <c r="G233" s="294">
        <f>'Shell Core Machine, Small 2'!E33</f>
        <v>1.1764705882352942E-5</v>
      </c>
      <c r="H233" s="293">
        <f>'Shell Core Machine, Small 2'!G33</f>
        <v>5.1529411764705883E-5</v>
      </c>
      <c r="I233" s="331">
        <f t="shared" si="9"/>
        <v>1.4814705882352938E-4</v>
      </c>
      <c r="J233" s="1335"/>
      <c r="L233" s="383"/>
    </row>
    <row r="234" spans="1:12">
      <c r="A234" s="319" t="s">
        <v>97</v>
      </c>
      <c r="B234" s="1248"/>
      <c r="C234" s="297">
        <f>'Shell Core Machine, Large'!E34</f>
        <v>3.3529411764705885E-4</v>
      </c>
      <c r="D234" s="293">
        <f>'Shell Core Machine, Large'!G34</f>
        <v>1.4685882352941178E-3</v>
      </c>
      <c r="E234" s="294">
        <f>'Shell Core Machine, Small 1'!E34</f>
        <v>1.9411764705882354E-4</v>
      </c>
      <c r="F234" s="293">
        <f>'Shell Core Machine, Small 1'!G34</f>
        <v>8.5023529411764709E-4</v>
      </c>
      <c r="G234" s="294">
        <f>'Shell Core Machine, Small 2'!E34</f>
        <v>2.8235294117647062E-4</v>
      </c>
      <c r="H234" s="293">
        <f>'Shell Core Machine, Small 2'!G34</f>
        <v>1.2367058823529414E-3</v>
      </c>
      <c r="I234" s="331">
        <f t="shared" si="9"/>
        <v>3.5555294117647061E-3</v>
      </c>
      <c r="J234" s="1335"/>
      <c r="L234" s="383"/>
    </row>
    <row r="235" spans="1:12">
      <c r="A235" s="319" t="s">
        <v>98</v>
      </c>
      <c r="B235" s="1248"/>
      <c r="C235" s="297">
        <f>'Shell Core Machine, Large'!E35</f>
        <v>7.0784313725490195E-8</v>
      </c>
      <c r="D235" s="293">
        <f>'Shell Core Machine, Large'!G35</f>
        <v>3.1003529411764707E-7</v>
      </c>
      <c r="E235" s="294">
        <f>'Shell Core Machine, Small 1'!E35</f>
        <v>4.0980392156862746E-8</v>
      </c>
      <c r="F235" s="293">
        <f>'Shell Core Machine, Small 1'!G35</f>
        <v>1.7949411764705882E-7</v>
      </c>
      <c r="G235" s="294">
        <f>'Shell Core Machine, Small 2'!E35</f>
        <v>5.9607843137254913E-8</v>
      </c>
      <c r="H235" s="293">
        <f>'Shell Core Machine, Small 2'!G35</f>
        <v>2.6108235294117649E-7</v>
      </c>
      <c r="I235" s="331">
        <f t="shared" si="9"/>
        <v>7.5061176470588239E-7</v>
      </c>
      <c r="J235" s="1335"/>
      <c r="L235" s="383"/>
    </row>
    <row r="236" spans="1:12">
      <c r="A236" s="319" t="s">
        <v>99</v>
      </c>
      <c r="B236" s="1248"/>
      <c r="C236" s="297">
        <f>'Shell Core Machine, Large'!E36</f>
        <v>4.8431372549019603E-8</v>
      </c>
      <c r="D236" s="293">
        <f>'Shell Core Machine, Large'!G36</f>
        <v>2.1212941176470586E-7</v>
      </c>
      <c r="E236" s="294">
        <f>'Shell Core Machine, Small 1'!E36</f>
        <v>2.8039215686274507E-8</v>
      </c>
      <c r="F236" s="293">
        <f>'Shell Core Machine, Small 1'!G36</f>
        <v>1.2281176470588234E-7</v>
      </c>
      <c r="G236" s="294">
        <f>'Shell Core Machine, Small 2'!E36</f>
        <v>4.0784313725490191E-8</v>
      </c>
      <c r="H236" s="293">
        <f>'Shell Core Machine, Small 2'!G36</f>
        <v>1.7863529411764702E-7</v>
      </c>
      <c r="I236" s="331">
        <f t="shared" si="9"/>
        <v>5.1357647058823519E-7</v>
      </c>
      <c r="J236" s="1335"/>
      <c r="L236" s="383"/>
    </row>
    <row r="237" spans="1:12">
      <c r="A237" s="319" t="s">
        <v>100</v>
      </c>
      <c r="B237" s="1248"/>
      <c r="C237" s="297">
        <f>'Shell Core Machine, Large'!E37</f>
        <v>1.1362745098039215E-7</v>
      </c>
      <c r="D237" s="293">
        <f>'Shell Core Machine, Large'!G37</f>
        <v>4.9768823529411769E-7</v>
      </c>
      <c r="E237" s="294">
        <f>'Shell Core Machine, Small 1'!E37</f>
        <v>6.578431372549019E-8</v>
      </c>
      <c r="F237" s="293">
        <f>'Shell Core Machine, Small 1'!G37</f>
        <v>2.8813529411764701E-7</v>
      </c>
      <c r="G237" s="294">
        <f>'Shell Core Machine, Small 2'!E37</f>
        <v>9.568627450980392E-8</v>
      </c>
      <c r="H237" s="293">
        <f>'Shell Core Machine, Small 2'!G37</f>
        <v>4.1910588235294115E-7</v>
      </c>
      <c r="I237" s="331">
        <f t="shared" si="9"/>
        <v>1.2049294117647057E-6</v>
      </c>
      <c r="J237" s="1335"/>
      <c r="L237" s="383"/>
    </row>
    <row r="238" spans="1:12">
      <c r="A238" s="319" t="s">
        <v>101</v>
      </c>
      <c r="B238" s="1248"/>
      <c r="C238" s="297">
        <f>'Shell Core Machine, Large'!E38</f>
        <v>3.9117647058823526E-7</v>
      </c>
      <c r="D238" s="293">
        <f>'Shell Core Machine, Large'!G38</f>
        <v>1.7133529411764703E-6</v>
      </c>
      <c r="E238" s="294">
        <f>'Shell Core Machine, Small 1'!E38</f>
        <v>2.2647058823529411E-7</v>
      </c>
      <c r="F238" s="293">
        <f>'Shell Core Machine, Small 1'!G38</f>
        <v>9.9194117647058827E-7</v>
      </c>
      <c r="G238" s="294">
        <f>'Shell Core Machine, Small 2'!E38</f>
        <v>3.2941176470588235E-7</v>
      </c>
      <c r="H238" s="293">
        <f>'Shell Core Machine, Small 2'!G38</f>
        <v>1.4428235294117646E-6</v>
      </c>
      <c r="I238" s="331">
        <f t="shared" si="9"/>
        <v>4.1481176470588234E-6</v>
      </c>
      <c r="J238" s="1335"/>
      <c r="L238" s="383"/>
    </row>
    <row r="239" spans="1:12">
      <c r="A239" s="319" t="s">
        <v>102</v>
      </c>
      <c r="B239" s="1248"/>
      <c r="C239" s="297">
        <f>'Shell Core Machine, Large'!E39</f>
        <v>1.3005686274509802E-7</v>
      </c>
      <c r="D239" s="293">
        <f>'Shell Core Machine, Large'!G39</f>
        <v>5.6964905882352936E-7</v>
      </c>
      <c r="E239" s="294">
        <f>'Shell Core Machine, Small 1'!E39</f>
        <v>7.5296078431372539E-8</v>
      </c>
      <c r="F239" s="293">
        <f>'Shell Core Machine, Small 1'!G39</f>
        <v>3.297968235294117E-7</v>
      </c>
      <c r="G239" s="294">
        <f>'Shell Core Machine, Small 2'!E39</f>
        <v>1.0952156862745097E-7</v>
      </c>
      <c r="H239" s="293">
        <f>'Shell Core Machine, Small 2'!G39</f>
        <v>4.7970447058823532E-7</v>
      </c>
      <c r="I239" s="331">
        <f t="shared" si="9"/>
        <v>1.3791503529411764E-6</v>
      </c>
      <c r="J239" s="1335"/>
      <c r="L239" s="383"/>
    </row>
    <row r="240" spans="1:12">
      <c r="A240" s="319" t="s">
        <v>103</v>
      </c>
      <c r="B240" s="1248"/>
      <c r="C240" s="297">
        <f>'Shell Core Machine, Large'!E40</f>
        <v>4.4705882352941178E-9</v>
      </c>
      <c r="D240" s="293">
        <f>'Shell Core Machine, Large'!G40</f>
        <v>1.9581176470588234E-8</v>
      </c>
      <c r="E240" s="294">
        <f>'Shell Core Machine, Small 1'!E40</f>
        <v>2.5882352941176472E-9</v>
      </c>
      <c r="F240" s="293">
        <f>'Shell Core Machine, Small 1'!G40</f>
        <v>1.1336470588235296E-8</v>
      </c>
      <c r="G240" s="294">
        <f>'Shell Core Machine, Small 2'!E40</f>
        <v>3.7647058823529411E-9</v>
      </c>
      <c r="H240" s="293">
        <f>'Shell Core Machine, Small 2'!G40</f>
        <v>1.6489411764705883E-8</v>
      </c>
      <c r="I240" s="331">
        <f t="shared" si="9"/>
        <v>4.7407058823529412E-8</v>
      </c>
      <c r="J240" s="1335"/>
      <c r="L240" s="383"/>
    </row>
    <row r="241" spans="1:12" ht="15" thickBot="1">
      <c r="A241" s="322" t="s">
        <v>104</v>
      </c>
      <c r="B241" s="1249"/>
      <c r="C241" s="302">
        <f>'Shell Core Machine, Large'!E41</f>
        <v>6.3333333333333334E-7</v>
      </c>
      <c r="D241" s="303">
        <f>'Shell Core Machine, Large'!G41</f>
        <v>2.774E-6</v>
      </c>
      <c r="E241" s="304">
        <f>'Shell Core Machine, Small 1'!E41</f>
        <v>3.6666666666666667E-7</v>
      </c>
      <c r="F241" s="303">
        <f>'Shell Core Machine, Small 1'!G41</f>
        <v>1.606E-6</v>
      </c>
      <c r="G241" s="304">
        <f>'Shell Core Machine, Small 2'!E41</f>
        <v>5.3333333333333334E-7</v>
      </c>
      <c r="H241" s="303">
        <f>'Shell Core Machine, Small 2'!G41</f>
        <v>2.3360000000000002E-6</v>
      </c>
      <c r="I241" s="333">
        <f t="shared" si="9"/>
        <v>6.7160000000000006E-6</v>
      </c>
      <c r="J241" s="1335"/>
      <c r="L241" s="383"/>
    </row>
  </sheetData>
  <mergeCells count="19">
    <mergeCell ref="F65:H65"/>
    <mergeCell ref="A94:H95"/>
    <mergeCell ref="A6:L8"/>
    <mergeCell ref="A52:H57"/>
    <mergeCell ref="E58:F58"/>
    <mergeCell ref="A15:E15"/>
    <mergeCell ref="A16:E16"/>
    <mergeCell ref="A18:N20"/>
    <mergeCell ref="F22:H22"/>
    <mergeCell ref="J11:J14"/>
    <mergeCell ref="F109:H109"/>
    <mergeCell ref="A138:H139"/>
    <mergeCell ref="F178:G178"/>
    <mergeCell ref="A207:G208"/>
    <mergeCell ref="C211:D211"/>
    <mergeCell ref="E211:F211"/>
    <mergeCell ref="G211:H211"/>
    <mergeCell ref="D146:F146"/>
    <mergeCell ref="A175:F176"/>
  </mergeCells>
  <phoneticPr fontId="9" type="noConversion"/>
  <pageMargins left="0.7" right="0.7" top="0.75" bottom="0.75" header="0.3" footer="0.3"/>
  <pageSetup scale="69"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rowBreaks count="6" manualBreakCount="6">
    <brk id="16" max="13" man="1"/>
    <brk id="64" max="13" man="1"/>
    <brk id="108" max="13" man="1"/>
    <brk id="144" max="13" man="1"/>
    <brk id="177" max="13" man="1"/>
    <brk id="209"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3F26-6870-41AF-A888-5B3C98630E9D}">
  <sheetPr codeName="Sheet17">
    <tabColor theme="7" tint="0.79998168889431442"/>
  </sheetPr>
  <dimension ref="A1:Q78"/>
  <sheetViews>
    <sheetView topLeftCell="A11" zoomScaleNormal="100" zoomScalePageLayoutView="85" workbookViewId="0">
      <selection activeCell="B11" sqref="B11"/>
    </sheetView>
  </sheetViews>
  <sheetFormatPr defaultColWidth="15.54296875" defaultRowHeight="13"/>
  <cols>
    <col min="1" max="1" width="14.7265625" style="373" customWidth="1"/>
    <col min="2" max="2" width="39.54296875" style="373" customWidth="1"/>
    <col min="3" max="3" width="29.1796875" style="372" customWidth="1"/>
    <col min="4" max="9" width="13.7265625" style="362" customWidth="1"/>
    <col min="10" max="10" width="13.7265625" style="968" customWidth="1"/>
    <col min="11" max="12" width="13.7265625" style="362" customWidth="1"/>
    <col min="13" max="17" width="13.7265625" style="356" customWidth="1"/>
    <col min="18" max="16384" width="15.54296875" style="356"/>
  </cols>
  <sheetData>
    <row r="1" spans="1:17">
      <c r="A1" s="354"/>
      <c r="B1" s="354"/>
      <c r="C1" s="355"/>
      <c r="D1" s="1593" t="s">
        <v>1153</v>
      </c>
      <c r="E1" s="1591"/>
      <c r="F1" s="1591"/>
      <c r="G1" s="1596" t="s">
        <v>1229</v>
      </c>
      <c r="H1" s="1597"/>
      <c r="I1" s="1598"/>
      <c r="J1" s="1593" t="s">
        <v>1152</v>
      </c>
      <c r="K1" s="1591"/>
      <c r="L1" s="1592"/>
      <c r="M1" s="1602" t="s">
        <v>1252</v>
      </c>
      <c r="N1" s="1603"/>
      <c r="O1" s="1358" t="s">
        <v>1004</v>
      </c>
      <c r="P1" s="1591" t="s">
        <v>676</v>
      </c>
      <c r="Q1" s="1592"/>
    </row>
    <row r="2" spans="1:17" s="1210" customFormat="1" ht="52.5" thickBot="1">
      <c r="B2" s="1211"/>
      <c r="C2" s="1212"/>
      <c r="D2" s="1213" t="s">
        <v>955</v>
      </c>
      <c r="E2" s="1214" t="s">
        <v>956</v>
      </c>
      <c r="F2" s="1215" t="s">
        <v>999</v>
      </c>
      <c r="G2" s="994" t="s">
        <v>995</v>
      </c>
      <c r="H2" s="967" t="s">
        <v>996</v>
      </c>
      <c r="I2" s="995" t="s">
        <v>997</v>
      </c>
      <c r="J2" s="1317" t="s">
        <v>1151</v>
      </c>
      <c r="K2" s="1216" t="s">
        <v>1237</v>
      </c>
      <c r="L2" s="1318" t="s">
        <v>1232</v>
      </c>
      <c r="M2" s="1353" t="s">
        <v>1253</v>
      </c>
      <c r="N2" s="1354" t="s">
        <v>1257</v>
      </c>
      <c r="O2" s="1359" t="s">
        <v>1256</v>
      </c>
      <c r="P2" s="1217" t="s">
        <v>1015</v>
      </c>
      <c r="Q2" s="1218" t="s">
        <v>744</v>
      </c>
    </row>
    <row r="3" spans="1:17" s="362" customFormat="1">
      <c r="A3" s="358"/>
      <c r="B3" s="375" t="s">
        <v>962</v>
      </c>
      <c r="C3" s="809" t="s">
        <v>998</v>
      </c>
      <c r="D3" s="820">
        <f>100-46.5</f>
        <v>53.5</v>
      </c>
      <c r="E3" s="360">
        <f>IF(SUM(E12:E42)&gt;100,100,SUM(E12:E42))</f>
        <v>100</v>
      </c>
      <c r="F3" s="985">
        <f>IF(SUM(F12:F42)&gt;100,100,SUM(F12:F42))</f>
        <v>100</v>
      </c>
      <c r="G3" s="820">
        <f>IF(SUM(G12:G42)&gt;100,100,SUM(G12:G42))</f>
        <v>70</v>
      </c>
      <c r="H3" s="360">
        <f>IF(SUM(H12:H42)&gt;100,100,SUM(H12:H42))</f>
        <v>100</v>
      </c>
      <c r="I3" s="361">
        <f>IF(SUM(I12:I42)&gt;100,100,SUM(I12:I42))</f>
        <v>100</v>
      </c>
      <c r="J3" s="820" t="s">
        <v>47</v>
      </c>
      <c r="K3" s="360">
        <f>IF(SUM(K11:K39)&gt;100,100,SUM(K11:K39))</f>
        <v>62</v>
      </c>
      <c r="L3" s="361">
        <f>IF(SUM(L11:L45)&gt;100,100,SUM(L11:L45))</f>
        <v>72</v>
      </c>
      <c r="M3" s="820">
        <f>IF(SUM(M11:M38)&gt;100,100,SUM(M11:M38))</f>
        <v>4</v>
      </c>
      <c r="N3" s="985">
        <f>IF(SUM(N11:N38)&gt;100,100,SUM(N11:N38))</f>
        <v>0</v>
      </c>
      <c r="O3" s="1360">
        <f>IF(SUM(O11:O38)&gt;100,100,SUM(O11:O38))</f>
        <v>1</v>
      </c>
      <c r="P3" s="360">
        <f t="shared" ref="P3:Q3" si="0">IF(SUM(P11:P39)&gt;100,100,SUM(P11:P39))</f>
        <v>36.5</v>
      </c>
      <c r="Q3" s="361">
        <f t="shared" si="0"/>
        <v>33</v>
      </c>
    </row>
    <row r="4" spans="1:17" s="362" customFormat="1">
      <c r="A4" s="358"/>
      <c r="B4" s="359"/>
      <c r="C4" s="810" t="s">
        <v>640</v>
      </c>
      <c r="D4" s="821">
        <f>D7*D3/100</f>
        <v>4.8898999999999999</v>
      </c>
      <c r="E4" s="363">
        <f>E7*E3/100</f>
        <v>9.2100000000000009</v>
      </c>
      <c r="F4" s="986">
        <f>F8*8.3454*F3/100</f>
        <v>7.844675999999998</v>
      </c>
      <c r="G4" s="821">
        <f>G8*8.3454*G3/100</f>
        <v>6.4843758000000005</v>
      </c>
      <c r="H4" s="363">
        <f>H8*8.3454*H3/100</f>
        <v>9.3468480000000014</v>
      </c>
      <c r="I4" s="364">
        <f>I8*8.3454*I3/100</f>
        <v>8.5456895999999993</v>
      </c>
      <c r="J4" s="821" t="s">
        <v>47</v>
      </c>
      <c r="K4" s="363">
        <f>K7*K3/100</f>
        <v>5.6398213199999994</v>
      </c>
      <c r="L4" s="364">
        <f>L7*L3/100</f>
        <v>6.6516176159999993</v>
      </c>
      <c r="M4" s="821">
        <f>M7*M3/100</f>
        <v>0.36719760000000001</v>
      </c>
      <c r="N4" s="1355" t="s">
        <v>47</v>
      </c>
      <c r="O4" s="1361" t="s">
        <v>47</v>
      </c>
      <c r="P4" s="363">
        <f>P7*P3/100</f>
        <v>5.4220063799999991</v>
      </c>
      <c r="Q4" s="364">
        <f>Q7*Q3/100</f>
        <v>3.9932738999999993</v>
      </c>
    </row>
    <row r="5" spans="1:17" s="362" customFormat="1">
      <c r="A5" s="358"/>
      <c r="B5" s="375" t="s">
        <v>962</v>
      </c>
      <c r="C5" s="811" t="s">
        <v>641</v>
      </c>
      <c r="D5" s="370">
        <f t="shared" ref="D5:I5" si="1">IF(SUM(D29:D50)&gt;0,SUM(D29:D50),"NA")</f>
        <v>10.02</v>
      </c>
      <c r="E5" s="365">
        <f t="shared" si="1"/>
        <v>51.78</v>
      </c>
      <c r="F5" s="987">
        <f t="shared" si="1"/>
        <v>10</v>
      </c>
      <c r="G5" s="370">
        <f t="shared" si="1"/>
        <v>10</v>
      </c>
      <c r="H5" s="365">
        <f t="shared" si="1"/>
        <v>33</v>
      </c>
      <c r="I5" s="822" t="str">
        <f t="shared" si="1"/>
        <v>NA</v>
      </c>
      <c r="J5" s="370" t="str">
        <f t="shared" ref="J5" si="2">IF(SUM(J24:J35)&gt;0,SUM(J24:J35),"NA")</f>
        <v>NA</v>
      </c>
      <c r="K5" s="365">
        <f>IF(SUM(K29:K39)&gt;0,SUM(K29:K39),"NA")</f>
        <v>51</v>
      </c>
      <c r="L5" s="822">
        <f>IF(SUM(L29:L45)&gt;0,SUM(L29:L45),"NA")</f>
        <v>22</v>
      </c>
      <c r="M5" s="370" t="str">
        <f>IF(SUM(M29:M45)&gt;0,SUM(M29:M45),"NA")</f>
        <v>NA</v>
      </c>
      <c r="N5" s="1355" t="s">
        <v>47</v>
      </c>
      <c r="O5" s="1361" t="s">
        <v>47</v>
      </c>
      <c r="P5" s="1003">
        <f t="shared" ref="P5:Q5" si="3">IF(SUM(P29:P39)&gt;0,SUM(P29:P39),"NA")</f>
        <v>10.3</v>
      </c>
      <c r="Q5" s="822" t="str">
        <f t="shared" si="3"/>
        <v>NA</v>
      </c>
    </row>
    <row r="6" spans="1:17" s="362" customFormat="1">
      <c r="A6" s="358"/>
      <c r="B6" s="359"/>
      <c r="C6" s="812" t="s">
        <v>642</v>
      </c>
      <c r="D6" s="821">
        <f>D7*D5/100</f>
        <v>0.91582800000000009</v>
      </c>
      <c r="E6" s="363">
        <f>E7*E5/100</f>
        <v>4.7689380000000003</v>
      </c>
      <c r="F6" s="986">
        <f>F8*8.3454*F5/100</f>
        <v>0.78446759999999982</v>
      </c>
      <c r="G6" s="821">
        <f>G8*8.3454*G5/100</f>
        <v>0.92633939999999992</v>
      </c>
      <c r="H6" s="363">
        <f>H8*8.3454*H5/100</f>
        <v>3.0844598400000005</v>
      </c>
      <c r="I6" s="364" t="s">
        <v>47</v>
      </c>
      <c r="J6" s="821" t="s">
        <v>47</v>
      </c>
      <c r="K6" s="363">
        <f>K7*K5/100</f>
        <v>4.63920786</v>
      </c>
      <c r="L6" s="364">
        <f>L7*L5/100</f>
        <v>2.0324387159999997</v>
      </c>
      <c r="M6" s="821" t="s">
        <v>47</v>
      </c>
      <c r="N6" s="1355" t="s">
        <v>47</v>
      </c>
      <c r="O6" s="1361" t="s">
        <v>47</v>
      </c>
      <c r="P6" s="363">
        <f>P7*P5/100</f>
        <v>1.5300456360000001</v>
      </c>
      <c r="Q6" s="364" t="s">
        <v>47</v>
      </c>
    </row>
    <row r="7" spans="1:17" s="362" customFormat="1">
      <c r="A7" s="358"/>
      <c r="B7" s="359"/>
      <c r="C7" s="812" t="s">
        <v>1003</v>
      </c>
      <c r="D7" s="964">
        <v>9.14</v>
      </c>
      <c r="E7" s="965">
        <v>9.2100000000000009</v>
      </c>
      <c r="F7" s="988">
        <f>F8*8.3454</f>
        <v>7.8446759999999989</v>
      </c>
      <c r="G7" s="964">
        <f t="shared" ref="G7:Q7" si="4">G8*8.3454</f>
        <v>9.2633939999999999</v>
      </c>
      <c r="H7" s="965">
        <f t="shared" si="4"/>
        <v>9.3468480000000014</v>
      </c>
      <c r="I7" s="966">
        <f t="shared" si="4"/>
        <v>8.5456895999999993</v>
      </c>
      <c r="J7" s="964">
        <f t="shared" si="4"/>
        <v>5.8584707999999992</v>
      </c>
      <c r="K7" s="965">
        <f t="shared" si="4"/>
        <v>9.0964860000000005</v>
      </c>
      <c r="L7" s="966">
        <f t="shared" si="4"/>
        <v>9.2383577999999993</v>
      </c>
      <c r="M7" s="964">
        <f t="shared" si="4"/>
        <v>9.1799400000000002</v>
      </c>
      <c r="N7" s="1356" t="s">
        <v>47</v>
      </c>
      <c r="O7" s="1362" t="s">
        <v>47</v>
      </c>
      <c r="P7" s="965">
        <f t="shared" si="4"/>
        <v>14.854811999999999</v>
      </c>
      <c r="Q7" s="966">
        <f t="shared" si="4"/>
        <v>12.100829999999998</v>
      </c>
    </row>
    <row r="8" spans="1:17" s="362" customFormat="1" ht="15" thickBot="1">
      <c r="A8" s="359"/>
      <c r="B8" s="359"/>
      <c r="C8" s="813" t="s">
        <v>1002</v>
      </c>
      <c r="D8" s="823">
        <v>1.105</v>
      </c>
      <c r="E8" s="366">
        <v>1.1040000000000001</v>
      </c>
      <c r="F8" s="989">
        <v>0.94</v>
      </c>
      <c r="G8" s="996">
        <v>1.1100000000000001</v>
      </c>
      <c r="H8" s="983">
        <v>1.1200000000000001</v>
      </c>
      <c r="I8" s="997">
        <v>1.024</v>
      </c>
      <c r="J8" s="823">
        <v>0.70199999999999996</v>
      </c>
      <c r="K8" s="366">
        <v>1.0900000000000001</v>
      </c>
      <c r="L8" s="824">
        <v>1.107</v>
      </c>
      <c r="M8" s="996">
        <v>1.1000000000000001</v>
      </c>
      <c r="N8" s="1357">
        <v>5.24</v>
      </c>
      <c r="O8" s="1363">
        <v>2.65</v>
      </c>
      <c r="P8" s="1004">
        <v>1.78</v>
      </c>
      <c r="Q8" s="824">
        <v>1.45</v>
      </c>
    </row>
    <row r="9" spans="1:17" s="367" customFormat="1" ht="26">
      <c r="A9" s="1319" t="s">
        <v>643</v>
      </c>
      <c r="B9" s="1320" t="s">
        <v>70</v>
      </c>
      <c r="C9" s="1321" t="s">
        <v>644</v>
      </c>
      <c r="D9" s="1322" t="s">
        <v>1014</v>
      </c>
      <c r="E9" s="1208" t="s">
        <v>1014</v>
      </c>
      <c r="F9" s="1323" t="s">
        <v>1014</v>
      </c>
      <c r="G9" s="820" t="s">
        <v>1014</v>
      </c>
      <c r="H9" s="1208" t="s">
        <v>1014</v>
      </c>
      <c r="I9" s="1324" t="s">
        <v>1014</v>
      </c>
      <c r="J9" s="1229">
        <v>0</v>
      </c>
      <c r="K9" s="1230">
        <v>0</v>
      </c>
      <c r="L9" s="1231">
        <v>0</v>
      </c>
      <c r="M9" s="820" t="s">
        <v>1014</v>
      </c>
      <c r="N9" s="985" t="s">
        <v>1014</v>
      </c>
      <c r="O9" s="1360" t="s">
        <v>1014</v>
      </c>
      <c r="P9" s="360" t="s">
        <v>1014</v>
      </c>
      <c r="Q9" s="1324" t="s">
        <v>1014</v>
      </c>
    </row>
    <row r="10" spans="1:17">
      <c r="A10" s="969" t="s">
        <v>968</v>
      </c>
      <c r="B10" s="970" t="s">
        <v>1005</v>
      </c>
      <c r="C10" s="948" t="s">
        <v>1006</v>
      </c>
      <c r="D10" s="971">
        <v>0</v>
      </c>
      <c r="E10" s="972">
        <v>0</v>
      </c>
      <c r="F10" s="990">
        <v>0</v>
      </c>
      <c r="G10" s="998">
        <v>0</v>
      </c>
      <c r="H10" s="972">
        <v>0</v>
      </c>
      <c r="I10" s="999">
        <v>0</v>
      </c>
      <c r="J10" s="1000">
        <v>0</v>
      </c>
      <c r="K10" s="973">
        <v>0</v>
      </c>
      <c r="L10" s="974">
        <v>0</v>
      </c>
      <c r="M10" s="1000">
        <v>0</v>
      </c>
      <c r="N10" s="991">
        <v>0</v>
      </c>
      <c r="O10" s="1364">
        <v>0</v>
      </c>
      <c r="P10" s="976">
        <v>0</v>
      </c>
      <c r="Q10" s="974">
        <v>0</v>
      </c>
    </row>
    <row r="11" spans="1:17" s="367" customFormat="1" ht="26">
      <c r="A11" s="969" t="s">
        <v>398</v>
      </c>
      <c r="B11" s="975" t="s">
        <v>1000</v>
      </c>
      <c r="C11" s="948" t="s">
        <v>47</v>
      </c>
      <c r="D11" s="971">
        <v>0</v>
      </c>
      <c r="E11" s="972">
        <v>0</v>
      </c>
      <c r="F11" s="991">
        <v>0</v>
      </c>
      <c r="G11" s="1599" t="s">
        <v>1001</v>
      </c>
      <c r="H11" s="1600"/>
      <c r="I11" s="1601"/>
      <c r="J11" s="1000">
        <v>0</v>
      </c>
      <c r="K11" s="973">
        <v>0</v>
      </c>
      <c r="L11" s="974">
        <v>0</v>
      </c>
      <c r="M11" s="1000">
        <v>0</v>
      </c>
      <c r="N11" s="991">
        <v>0</v>
      </c>
      <c r="O11" s="1364">
        <v>0</v>
      </c>
      <c r="P11" s="976">
        <v>0</v>
      </c>
      <c r="Q11" s="974">
        <v>0</v>
      </c>
    </row>
    <row r="12" spans="1:17">
      <c r="A12" s="1589" t="s">
        <v>670</v>
      </c>
      <c r="B12" s="369" t="s">
        <v>671</v>
      </c>
      <c r="C12" s="814" t="s">
        <v>645</v>
      </c>
      <c r="D12" s="971">
        <v>0</v>
      </c>
      <c r="E12" s="973">
        <v>0</v>
      </c>
      <c r="F12" s="991">
        <v>0</v>
      </c>
      <c r="G12" s="1000">
        <v>0</v>
      </c>
      <c r="H12" s="973">
        <v>0</v>
      </c>
      <c r="I12" s="974">
        <v>0</v>
      </c>
      <c r="J12" s="1000">
        <v>0</v>
      </c>
      <c r="K12" s="973">
        <v>0</v>
      </c>
      <c r="L12" s="974">
        <v>0</v>
      </c>
      <c r="M12" s="1000">
        <v>0</v>
      </c>
      <c r="N12" s="991">
        <v>0</v>
      </c>
      <c r="O12" s="1364">
        <v>0</v>
      </c>
      <c r="P12" s="976">
        <v>20</v>
      </c>
      <c r="Q12" s="974">
        <v>28</v>
      </c>
    </row>
    <row r="13" spans="1:17">
      <c r="A13" s="1594"/>
      <c r="B13" s="368" t="s">
        <v>669</v>
      </c>
      <c r="C13" s="814" t="s">
        <v>646</v>
      </c>
      <c r="D13" s="971">
        <v>0</v>
      </c>
      <c r="E13" s="973">
        <v>0</v>
      </c>
      <c r="F13" s="991">
        <v>0</v>
      </c>
      <c r="G13" s="1000">
        <v>0</v>
      </c>
      <c r="H13" s="973">
        <v>0</v>
      </c>
      <c r="I13" s="974">
        <v>0</v>
      </c>
      <c r="J13" s="1000">
        <v>0</v>
      </c>
      <c r="K13" s="973">
        <v>0</v>
      </c>
      <c r="L13" s="974">
        <v>0</v>
      </c>
      <c r="M13" s="1000">
        <v>0</v>
      </c>
      <c r="N13" s="991">
        <v>0</v>
      </c>
      <c r="O13" s="1364">
        <v>0</v>
      </c>
      <c r="P13" s="976">
        <v>1</v>
      </c>
      <c r="Q13" s="974">
        <v>0</v>
      </c>
    </row>
    <row r="14" spans="1:17">
      <c r="A14" s="1594"/>
      <c r="B14" s="368" t="s">
        <v>674</v>
      </c>
      <c r="C14" s="814" t="s">
        <v>675</v>
      </c>
      <c r="D14" s="971">
        <v>0</v>
      </c>
      <c r="E14" s="973">
        <v>0</v>
      </c>
      <c r="F14" s="991">
        <v>0</v>
      </c>
      <c r="G14" s="1000">
        <v>0</v>
      </c>
      <c r="H14" s="973">
        <v>0</v>
      </c>
      <c r="I14" s="974">
        <v>0</v>
      </c>
      <c r="J14" s="1000">
        <v>0</v>
      </c>
      <c r="K14" s="973">
        <v>0</v>
      </c>
      <c r="L14" s="974">
        <v>0</v>
      </c>
      <c r="M14" s="1000">
        <v>0</v>
      </c>
      <c r="N14" s="991">
        <v>0</v>
      </c>
      <c r="O14" s="1364">
        <v>0</v>
      </c>
      <c r="P14" s="1005">
        <v>0.2</v>
      </c>
      <c r="Q14" s="974">
        <v>0</v>
      </c>
    </row>
    <row r="15" spans="1:17" ht="26">
      <c r="A15" s="1594"/>
      <c r="B15" s="369" t="s">
        <v>672</v>
      </c>
      <c r="C15" s="815" t="s">
        <v>662</v>
      </c>
      <c r="D15" s="971">
        <v>30</v>
      </c>
      <c r="E15" s="973">
        <v>30</v>
      </c>
      <c r="F15" s="991">
        <v>70</v>
      </c>
      <c r="G15" s="1000">
        <v>60</v>
      </c>
      <c r="H15" s="973">
        <v>30</v>
      </c>
      <c r="I15" s="974">
        <v>0</v>
      </c>
      <c r="J15" s="1000">
        <v>0</v>
      </c>
      <c r="K15" s="973">
        <v>5</v>
      </c>
      <c r="L15" s="974">
        <v>20</v>
      </c>
      <c r="M15" s="1000">
        <v>0</v>
      </c>
      <c r="N15" s="991">
        <v>0</v>
      </c>
      <c r="O15" s="1364">
        <v>0</v>
      </c>
      <c r="P15" s="976">
        <v>5</v>
      </c>
      <c r="Q15" s="974">
        <v>5</v>
      </c>
    </row>
    <row r="16" spans="1:17">
      <c r="A16" s="1594"/>
      <c r="B16" s="369" t="s">
        <v>1262</v>
      </c>
      <c r="C16" s="815" t="s">
        <v>1263</v>
      </c>
      <c r="D16" s="971"/>
      <c r="E16" s="973"/>
      <c r="F16" s="991"/>
      <c r="G16" s="1000"/>
      <c r="H16" s="973"/>
      <c r="I16" s="974"/>
      <c r="J16" s="1000"/>
      <c r="K16" s="973"/>
      <c r="L16" s="974"/>
      <c r="M16" s="1000"/>
      <c r="N16" s="991"/>
      <c r="O16" s="1364"/>
      <c r="P16" s="976"/>
      <c r="Q16" s="974"/>
    </row>
    <row r="17" spans="1:17">
      <c r="A17" s="1594"/>
      <c r="B17" s="369" t="s">
        <v>666</v>
      </c>
      <c r="C17" s="815" t="s">
        <v>957</v>
      </c>
      <c r="D17" s="971">
        <v>0</v>
      </c>
      <c r="E17" s="973">
        <v>5</v>
      </c>
      <c r="F17" s="991">
        <v>0</v>
      </c>
      <c r="G17" s="1000">
        <v>0</v>
      </c>
      <c r="H17" s="973">
        <v>0</v>
      </c>
      <c r="I17" s="974">
        <v>0</v>
      </c>
      <c r="J17" s="1000">
        <v>0</v>
      </c>
      <c r="K17" s="973">
        <v>0</v>
      </c>
      <c r="L17" s="974">
        <v>0</v>
      </c>
      <c r="M17" s="1000">
        <v>0</v>
      </c>
      <c r="N17" s="991">
        <v>0</v>
      </c>
      <c r="O17" s="1364">
        <v>0</v>
      </c>
      <c r="P17" s="976">
        <v>0</v>
      </c>
      <c r="Q17" s="974">
        <v>0</v>
      </c>
    </row>
    <row r="18" spans="1:17">
      <c r="A18" s="1594"/>
      <c r="B18" s="369" t="s">
        <v>1255</v>
      </c>
      <c r="C18" s="815" t="s">
        <v>1254</v>
      </c>
      <c r="D18" s="971">
        <v>0</v>
      </c>
      <c r="E18" s="973">
        <v>0</v>
      </c>
      <c r="F18" s="991">
        <v>0</v>
      </c>
      <c r="G18" s="971">
        <v>0</v>
      </c>
      <c r="H18" s="973">
        <v>0</v>
      </c>
      <c r="I18" s="991">
        <v>0</v>
      </c>
      <c r="J18" s="971">
        <v>0</v>
      </c>
      <c r="K18" s="973">
        <v>0</v>
      </c>
      <c r="L18" s="974">
        <v>0</v>
      </c>
      <c r="M18" s="1000">
        <v>4</v>
      </c>
      <c r="N18" s="991">
        <v>0</v>
      </c>
      <c r="O18" s="1364">
        <v>0</v>
      </c>
      <c r="P18" s="976">
        <v>0</v>
      </c>
      <c r="Q18" s="974">
        <v>0</v>
      </c>
    </row>
    <row r="19" spans="1:17">
      <c r="A19" s="1594"/>
      <c r="B19" s="369" t="s">
        <v>1185</v>
      </c>
      <c r="C19" s="815" t="s">
        <v>1186</v>
      </c>
      <c r="D19" s="971">
        <v>0</v>
      </c>
      <c r="E19" s="973">
        <v>0</v>
      </c>
      <c r="F19" s="991">
        <v>0</v>
      </c>
      <c r="G19" s="971">
        <v>0</v>
      </c>
      <c r="H19" s="973">
        <v>0</v>
      </c>
      <c r="I19" s="991">
        <v>0</v>
      </c>
      <c r="J19" s="971">
        <v>0</v>
      </c>
      <c r="K19" s="973">
        <v>0</v>
      </c>
      <c r="L19" s="974">
        <v>0</v>
      </c>
      <c r="M19" s="1000">
        <v>0</v>
      </c>
      <c r="N19" s="991">
        <v>0</v>
      </c>
      <c r="O19" s="1365">
        <v>1</v>
      </c>
      <c r="P19" s="976">
        <v>0</v>
      </c>
      <c r="Q19" s="974">
        <v>0</v>
      </c>
    </row>
    <row r="20" spans="1:17" ht="26">
      <c r="A20" s="1594"/>
      <c r="B20" s="368" t="s">
        <v>1154</v>
      </c>
      <c r="C20" s="814" t="s">
        <v>1155</v>
      </c>
      <c r="D20" s="971">
        <v>0</v>
      </c>
      <c r="E20" s="973">
        <v>0</v>
      </c>
      <c r="F20" s="991">
        <v>0</v>
      </c>
      <c r="G20" s="1000">
        <v>0</v>
      </c>
      <c r="H20" s="973">
        <v>0</v>
      </c>
      <c r="I20" s="974">
        <v>0</v>
      </c>
      <c r="J20" s="1000">
        <v>0</v>
      </c>
      <c r="K20" s="973">
        <v>1</v>
      </c>
      <c r="L20" s="974">
        <v>0</v>
      </c>
      <c r="M20" s="1000">
        <v>0</v>
      </c>
      <c r="N20" s="991">
        <v>0</v>
      </c>
      <c r="O20" s="1364">
        <v>0</v>
      </c>
      <c r="P20" s="976">
        <v>0</v>
      </c>
      <c r="Q20" s="974">
        <v>0</v>
      </c>
    </row>
    <row r="21" spans="1:17">
      <c r="A21" s="1594"/>
      <c r="B21" s="368" t="s">
        <v>970</v>
      </c>
      <c r="C21" s="814" t="s">
        <v>969</v>
      </c>
      <c r="D21" s="971">
        <v>0</v>
      </c>
      <c r="E21" s="973">
        <v>0</v>
      </c>
      <c r="F21" s="991">
        <v>50</v>
      </c>
      <c r="G21" s="1000">
        <v>0</v>
      </c>
      <c r="H21" s="973">
        <v>0</v>
      </c>
      <c r="I21" s="974">
        <v>100</v>
      </c>
      <c r="J21" s="1000">
        <v>0</v>
      </c>
      <c r="K21" s="973">
        <v>0</v>
      </c>
      <c r="L21" s="974">
        <v>0</v>
      </c>
      <c r="M21" s="1000">
        <v>0</v>
      </c>
      <c r="N21" s="991">
        <v>0</v>
      </c>
      <c r="O21" s="1364">
        <v>0</v>
      </c>
      <c r="P21" s="976">
        <v>0</v>
      </c>
      <c r="Q21" s="974">
        <v>0</v>
      </c>
    </row>
    <row r="22" spans="1:17">
      <c r="A22" s="1594"/>
      <c r="B22" s="368" t="s">
        <v>664</v>
      </c>
      <c r="C22" s="814" t="s">
        <v>665</v>
      </c>
      <c r="D22" s="971">
        <v>0</v>
      </c>
      <c r="E22" s="973">
        <v>5</v>
      </c>
      <c r="F22" s="991">
        <v>0</v>
      </c>
      <c r="G22" s="1000">
        <v>0</v>
      </c>
      <c r="H22" s="973">
        <v>0</v>
      </c>
      <c r="I22" s="974">
        <v>0</v>
      </c>
      <c r="J22" s="1000">
        <v>0</v>
      </c>
      <c r="K22" s="973">
        <v>5</v>
      </c>
      <c r="L22" s="974">
        <v>0</v>
      </c>
      <c r="M22" s="1000">
        <v>0</v>
      </c>
      <c r="N22" s="991">
        <v>0</v>
      </c>
      <c r="O22" s="1364">
        <v>0</v>
      </c>
      <c r="P22" s="976">
        <v>0</v>
      </c>
      <c r="Q22" s="974">
        <v>0</v>
      </c>
    </row>
    <row r="23" spans="1:17">
      <c r="A23" s="1594"/>
      <c r="B23" s="368" t="s">
        <v>667</v>
      </c>
      <c r="C23" s="816" t="s">
        <v>668</v>
      </c>
      <c r="D23" s="971">
        <v>0</v>
      </c>
      <c r="E23" s="973">
        <v>0</v>
      </c>
      <c r="F23" s="991">
        <v>0</v>
      </c>
      <c r="G23" s="1000">
        <v>0</v>
      </c>
      <c r="H23" s="973">
        <v>0</v>
      </c>
      <c r="I23" s="974">
        <v>0</v>
      </c>
      <c r="J23" s="1000">
        <v>0</v>
      </c>
      <c r="K23" s="973">
        <v>0</v>
      </c>
      <c r="L23" s="974">
        <v>0</v>
      </c>
      <c r="M23" s="1000">
        <v>0</v>
      </c>
      <c r="N23" s="991">
        <v>0</v>
      </c>
      <c r="O23" s="1364">
        <v>0</v>
      </c>
      <c r="P23" s="976">
        <v>0</v>
      </c>
      <c r="Q23" s="974">
        <v>0</v>
      </c>
    </row>
    <row r="24" spans="1:17" s="367" customFormat="1" ht="26">
      <c r="A24" s="1594"/>
      <c r="B24" s="975" t="s">
        <v>1013</v>
      </c>
      <c r="C24" s="948" t="s">
        <v>660</v>
      </c>
      <c r="D24" s="971">
        <v>0</v>
      </c>
      <c r="E24" s="973">
        <v>50</v>
      </c>
      <c r="F24" s="991">
        <v>0</v>
      </c>
      <c r="G24" s="1000">
        <v>0</v>
      </c>
      <c r="H24" s="976">
        <v>50</v>
      </c>
      <c r="I24" s="984">
        <v>0</v>
      </c>
      <c r="J24" s="1000">
        <v>0</v>
      </c>
      <c r="K24" s="973">
        <v>0</v>
      </c>
      <c r="L24" s="974">
        <v>0</v>
      </c>
      <c r="M24" s="1000">
        <v>0</v>
      </c>
      <c r="N24" s="991">
        <v>0</v>
      </c>
      <c r="O24" s="1364">
        <v>0</v>
      </c>
      <c r="P24" s="976">
        <v>0</v>
      </c>
      <c r="Q24" s="974">
        <v>0</v>
      </c>
    </row>
    <row r="25" spans="1:17">
      <c r="A25" s="1594"/>
      <c r="B25" s="368" t="s">
        <v>787</v>
      </c>
      <c r="C25" s="816" t="s">
        <v>788</v>
      </c>
      <c r="D25" s="971">
        <v>20</v>
      </c>
      <c r="E25" s="973">
        <v>0</v>
      </c>
      <c r="F25" s="991">
        <v>0</v>
      </c>
      <c r="G25" s="1000">
        <v>0</v>
      </c>
      <c r="H25" s="973">
        <v>0</v>
      </c>
      <c r="I25" s="974">
        <v>0</v>
      </c>
      <c r="J25" s="1000">
        <v>0</v>
      </c>
      <c r="K25" s="973">
        <v>0</v>
      </c>
      <c r="L25" s="974">
        <v>20</v>
      </c>
      <c r="M25" s="1000">
        <v>0</v>
      </c>
      <c r="N25" s="991">
        <v>0</v>
      </c>
      <c r="O25" s="1364">
        <v>0</v>
      </c>
      <c r="P25" s="976">
        <v>0</v>
      </c>
      <c r="Q25" s="974">
        <v>0</v>
      </c>
    </row>
    <row r="26" spans="1:17">
      <c r="A26" s="1594"/>
      <c r="B26" s="368" t="s">
        <v>967</v>
      </c>
      <c r="C26" s="816" t="s">
        <v>965</v>
      </c>
      <c r="D26" s="971">
        <v>5</v>
      </c>
      <c r="E26" s="973">
        <v>0</v>
      </c>
      <c r="F26" s="991">
        <v>0</v>
      </c>
      <c r="G26" s="1000">
        <v>0</v>
      </c>
      <c r="H26" s="976">
        <v>0</v>
      </c>
      <c r="I26" s="984">
        <v>0</v>
      </c>
      <c r="J26" s="1000">
        <v>0</v>
      </c>
      <c r="K26" s="973">
        <v>0</v>
      </c>
      <c r="L26" s="974">
        <v>5</v>
      </c>
      <c r="M26" s="1000">
        <v>0</v>
      </c>
      <c r="N26" s="991">
        <v>0</v>
      </c>
      <c r="O26" s="1364">
        <v>0</v>
      </c>
      <c r="P26" s="976">
        <v>0</v>
      </c>
      <c r="Q26" s="984">
        <v>0</v>
      </c>
    </row>
    <row r="27" spans="1:17">
      <c r="A27" s="1594"/>
      <c r="B27" s="368" t="s">
        <v>966</v>
      </c>
      <c r="C27" s="816" t="s">
        <v>964</v>
      </c>
      <c r="D27" s="971">
        <v>5</v>
      </c>
      <c r="E27" s="973">
        <v>0</v>
      </c>
      <c r="F27" s="991">
        <v>0</v>
      </c>
      <c r="G27" s="1000">
        <v>0</v>
      </c>
      <c r="H27" s="976">
        <v>0</v>
      </c>
      <c r="I27" s="984">
        <v>0</v>
      </c>
      <c r="J27" s="1000">
        <v>0</v>
      </c>
      <c r="K27" s="973">
        <v>0</v>
      </c>
      <c r="L27" s="974">
        <v>5</v>
      </c>
      <c r="M27" s="1000">
        <v>0</v>
      </c>
      <c r="N27" s="991">
        <v>0</v>
      </c>
      <c r="O27" s="1364">
        <v>0</v>
      </c>
      <c r="P27" s="976">
        <v>0</v>
      </c>
      <c r="Q27" s="984">
        <v>0</v>
      </c>
    </row>
    <row r="28" spans="1:17">
      <c r="A28" s="1595"/>
      <c r="B28" s="369" t="s">
        <v>786</v>
      </c>
      <c r="C28" s="814" t="s">
        <v>647</v>
      </c>
      <c r="D28" s="971">
        <v>0</v>
      </c>
      <c r="E28" s="973">
        <v>0</v>
      </c>
      <c r="F28" s="991">
        <v>0</v>
      </c>
      <c r="G28" s="1000">
        <v>0</v>
      </c>
      <c r="H28" s="973">
        <v>0</v>
      </c>
      <c r="I28" s="974">
        <v>0</v>
      </c>
      <c r="J28" s="1000">
        <v>0</v>
      </c>
      <c r="K28" s="973">
        <v>0</v>
      </c>
      <c r="L28" s="974">
        <v>0</v>
      </c>
      <c r="M28" s="1000">
        <v>0</v>
      </c>
      <c r="N28" s="991">
        <v>0</v>
      </c>
      <c r="O28" s="1364">
        <v>0</v>
      </c>
      <c r="P28" s="976">
        <v>0</v>
      </c>
      <c r="Q28" s="974">
        <v>0</v>
      </c>
    </row>
    <row r="29" spans="1:17" ht="13.5" customHeight="1">
      <c r="A29" s="1589" t="s">
        <v>648</v>
      </c>
      <c r="B29" s="369" t="s">
        <v>971</v>
      </c>
      <c r="C29" s="817" t="s">
        <v>659</v>
      </c>
      <c r="D29" s="971">
        <v>0</v>
      </c>
      <c r="E29" s="973">
        <v>50</v>
      </c>
      <c r="F29" s="991">
        <v>0</v>
      </c>
      <c r="G29" s="1000">
        <v>0</v>
      </c>
      <c r="H29" s="973">
        <v>30</v>
      </c>
      <c r="I29" s="974">
        <v>0</v>
      </c>
      <c r="J29" s="1000">
        <v>0</v>
      </c>
      <c r="K29" s="973">
        <v>50</v>
      </c>
      <c r="L29" s="974">
        <v>0</v>
      </c>
      <c r="M29" s="1000">
        <v>0</v>
      </c>
      <c r="N29" s="991">
        <v>0</v>
      </c>
      <c r="O29" s="1364">
        <v>0</v>
      </c>
      <c r="P29" s="976">
        <v>0</v>
      </c>
      <c r="Q29" s="974">
        <v>0</v>
      </c>
    </row>
    <row r="30" spans="1:17">
      <c r="A30" s="1594"/>
      <c r="B30" s="368" t="s">
        <v>1156</v>
      </c>
      <c r="C30" s="814" t="s">
        <v>1157</v>
      </c>
      <c r="D30" s="1000">
        <v>0</v>
      </c>
      <c r="E30" s="976">
        <v>0</v>
      </c>
      <c r="F30" s="984">
        <v>0</v>
      </c>
      <c r="G30" s="1000">
        <v>0</v>
      </c>
      <c r="H30" s="976">
        <v>0</v>
      </c>
      <c r="I30" s="984">
        <v>0</v>
      </c>
      <c r="J30" s="1000">
        <v>0</v>
      </c>
      <c r="K30" s="973">
        <v>0</v>
      </c>
      <c r="L30" s="974">
        <v>0</v>
      </c>
      <c r="M30" s="1000">
        <v>0</v>
      </c>
      <c r="N30" s="991">
        <v>0</v>
      </c>
      <c r="O30" s="1364">
        <v>0</v>
      </c>
      <c r="P30" s="976">
        <v>0</v>
      </c>
      <c r="Q30" s="974">
        <v>0</v>
      </c>
    </row>
    <row r="31" spans="1:17">
      <c r="A31" s="1594"/>
      <c r="B31" s="369" t="s">
        <v>554</v>
      </c>
      <c r="C31" s="817" t="s">
        <v>1007</v>
      </c>
      <c r="D31" s="971">
        <v>0</v>
      </c>
      <c r="E31" s="973">
        <v>0</v>
      </c>
      <c r="F31" s="991">
        <v>0</v>
      </c>
      <c r="G31" s="1000">
        <v>0</v>
      </c>
      <c r="H31" s="976">
        <v>0</v>
      </c>
      <c r="I31" s="984">
        <v>0</v>
      </c>
      <c r="J31" s="1000">
        <v>0</v>
      </c>
      <c r="K31" s="973">
        <v>0</v>
      </c>
      <c r="L31" s="974">
        <v>0</v>
      </c>
      <c r="M31" s="1000">
        <v>0</v>
      </c>
      <c r="N31" s="991">
        <v>0</v>
      </c>
      <c r="O31" s="1364">
        <v>0</v>
      </c>
      <c r="P31" s="976">
        <v>0</v>
      </c>
      <c r="Q31" s="974">
        <v>0</v>
      </c>
    </row>
    <row r="32" spans="1:17">
      <c r="A32" s="1594"/>
      <c r="B32" s="369" t="s">
        <v>91</v>
      </c>
      <c r="C32" s="817" t="s">
        <v>1008</v>
      </c>
      <c r="D32" s="971">
        <v>0</v>
      </c>
      <c r="E32" s="973">
        <v>0</v>
      </c>
      <c r="F32" s="991">
        <v>0</v>
      </c>
      <c r="G32" s="1000">
        <v>0</v>
      </c>
      <c r="H32" s="976">
        <v>0</v>
      </c>
      <c r="I32" s="984">
        <v>0</v>
      </c>
      <c r="J32" s="1000">
        <v>0</v>
      </c>
      <c r="K32" s="973">
        <v>0</v>
      </c>
      <c r="L32" s="974">
        <v>0</v>
      </c>
      <c r="M32" s="1000">
        <v>0</v>
      </c>
      <c r="N32" s="991">
        <v>0</v>
      </c>
      <c r="O32" s="1364">
        <v>0</v>
      </c>
      <c r="P32" s="976">
        <v>0</v>
      </c>
      <c r="Q32" s="974">
        <v>0</v>
      </c>
    </row>
    <row r="33" spans="1:17">
      <c r="A33" s="1594"/>
      <c r="B33" s="369" t="s">
        <v>1009</v>
      </c>
      <c r="C33" s="817" t="s">
        <v>1010</v>
      </c>
      <c r="D33" s="971">
        <v>0</v>
      </c>
      <c r="E33" s="973">
        <v>0</v>
      </c>
      <c r="F33" s="991">
        <v>0</v>
      </c>
      <c r="G33" s="1000">
        <v>0</v>
      </c>
      <c r="H33" s="976">
        <v>0</v>
      </c>
      <c r="I33" s="984">
        <v>0</v>
      </c>
      <c r="J33" s="1000">
        <v>0</v>
      </c>
      <c r="K33" s="973">
        <v>0</v>
      </c>
      <c r="L33" s="974">
        <v>0</v>
      </c>
      <c r="M33" s="1000">
        <v>0</v>
      </c>
      <c r="N33" s="991">
        <v>0</v>
      </c>
      <c r="O33" s="1364">
        <v>0</v>
      </c>
      <c r="P33" s="976">
        <v>0</v>
      </c>
      <c r="Q33" s="974">
        <v>0</v>
      </c>
    </row>
    <row r="34" spans="1:17">
      <c r="A34" s="1594"/>
      <c r="B34" s="369" t="s">
        <v>359</v>
      </c>
      <c r="C34" s="817" t="s">
        <v>649</v>
      </c>
      <c r="D34" s="971">
        <v>1</v>
      </c>
      <c r="E34" s="973">
        <v>0</v>
      </c>
      <c r="F34" s="992">
        <v>0</v>
      </c>
      <c r="G34" s="1000">
        <v>0</v>
      </c>
      <c r="H34" s="973">
        <v>0</v>
      </c>
      <c r="I34" s="974">
        <v>0</v>
      </c>
      <c r="J34" s="1000">
        <v>0</v>
      </c>
      <c r="K34" s="973">
        <v>0</v>
      </c>
      <c r="L34" s="974">
        <v>1</v>
      </c>
      <c r="M34" s="1000">
        <v>0</v>
      </c>
      <c r="N34" s="991">
        <v>0</v>
      </c>
      <c r="O34" s="1364">
        <v>0</v>
      </c>
      <c r="P34" s="976">
        <v>10</v>
      </c>
      <c r="Q34" s="974">
        <v>0</v>
      </c>
    </row>
    <row r="35" spans="1:17">
      <c r="A35" s="1594"/>
      <c r="B35" s="368" t="s">
        <v>100</v>
      </c>
      <c r="C35" s="814" t="s">
        <v>658</v>
      </c>
      <c r="D35" s="977">
        <v>2.7</v>
      </c>
      <c r="E35" s="978">
        <v>1.78</v>
      </c>
      <c r="F35" s="991">
        <v>10</v>
      </c>
      <c r="G35" s="1000">
        <v>0</v>
      </c>
      <c r="H35" s="973">
        <v>3</v>
      </c>
      <c r="I35" s="974">
        <v>0</v>
      </c>
      <c r="J35" s="1325">
        <v>0</v>
      </c>
      <c r="K35" s="973">
        <v>1</v>
      </c>
      <c r="L35" s="974">
        <v>1</v>
      </c>
      <c r="M35" s="1000">
        <v>0</v>
      </c>
      <c r="N35" s="991">
        <v>0</v>
      </c>
      <c r="O35" s="1364">
        <v>0</v>
      </c>
      <c r="P35" s="976">
        <v>0</v>
      </c>
      <c r="Q35" s="974">
        <v>0</v>
      </c>
    </row>
    <row r="36" spans="1:17">
      <c r="A36" s="1594"/>
      <c r="B36" s="371" t="s">
        <v>104</v>
      </c>
      <c r="C36" s="818" t="s">
        <v>673</v>
      </c>
      <c r="D36" s="971">
        <v>0</v>
      </c>
      <c r="E36" s="973">
        <v>0</v>
      </c>
      <c r="F36" s="991">
        <v>0</v>
      </c>
      <c r="G36" s="1000">
        <v>0</v>
      </c>
      <c r="H36" s="973">
        <v>0</v>
      </c>
      <c r="I36" s="974">
        <v>0</v>
      </c>
      <c r="J36" s="971">
        <v>0</v>
      </c>
      <c r="K36" s="973">
        <v>0</v>
      </c>
      <c r="L36" s="974">
        <v>0</v>
      </c>
      <c r="M36" s="1000">
        <v>0</v>
      </c>
      <c r="N36" s="991">
        <v>0</v>
      </c>
      <c r="O36" s="1364">
        <v>0</v>
      </c>
      <c r="P36" s="1005">
        <v>0.3</v>
      </c>
      <c r="Q36" s="974">
        <v>0</v>
      </c>
    </row>
    <row r="37" spans="1:17">
      <c r="A37" s="1594"/>
      <c r="B37" s="371" t="s">
        <v>1011</v>
      </c>
      <c r="C37" s="818" t="s">
        <v>1012</v>
      </c>
      <c r="D37" s="971">
        <v>0</v>
      </c>
      <c r="E37" s="973">
        <v>0</v>
      </c>
      <c r="F37" s="991">
        <v>0</v>
      </c>
      <c r="G37" s="1000">
        <v>0</v>
      </c>
      <c r="H37" s="973">
        <v>0</v>
      </c>
      <c r="I37" s="974">
        <v>0</v>
      </c>
      <c r="J37" s="1326">
        <v>0</v>
      </c>
      <c r="K37" s="973">
        <v>0</v>
      </c>
      <c r="L37" s="974">
        <v>0</v>
      </c>
      <c r="M37" s="1000">
        <v>0</v>
      </c>
      <c r="N37" s="991">
        <v>0</v>
      </c>
      <c r="O37" s="1364">
        <v>0</v>
      </c>
      <c r="P37" s="976">
        <v>0</v>
      </c>
      <c r="Q37" s="974">
        <v>0</v>
      </c>
    </row>
    <row r="38" spans="1:17">
      <c r="A38" s="1594"/>
      <c r="B38" s="369" t="s">
        <v>96</v>
      </c>
      <c r="C38" s="817" t="s">
        <v>961</v>
      </c>
      <c r="D38" s="971">
        <v>0</v>
      </c>
      <c r="E38" s="973">
        <v>0</v>
      </c>
      <c r="F38" s="991">
        <v>0</v>
      </c>
      <c r="G38" s="1000">
        <v>0</v>
      </c>
      <c r="H38" s="973">
        <v>0</v>
      </c>
      <c r="I38" s="974">
        <v>0</v>
      </c>
      <c r="J38" s="971">
        <v>0</v>
      </c>
      <c r="K38" s="973">
        <v>0</v>
      </c>
      <c r="L38" s="974">
        <v>0</v>
      </c>
      <c r="M38" s="1000">
        <v>0</v>
      </c>
      <c r="N38" s="991">
        <v>0</v>
      </c>
      <c r="O38" s="1364">
        <v>0</v>
      </c>
      <c r="P38" s="976">
        <v>0</v>
      </c>
      <c r="Q38" s="974">
        <v>0</v>
      </c>
    </row>
    <row r="39" spans="1:17">
      <c r="A39" s="1594"/>
      <c r="B39" s="369" t="s">
        <v>360</v>
      </c>
      <c r="C39" s="817" t="s">
        <v>657</v>
      </c>
      <c r="D39" s="971">
        <v>0</v>
      </c>
      <c r="E39" s="973">
        <v>0</v>
      </c>
      <c r="F39" s="992">
        <v>0</v>
      </c>
      <c r="G39" s="1000">
        <v>10</v>
      </c>
      <c r="H39" s="973">
        <v>0</v>
      </c>
      <c r="I39" s="974">
        <v>0</v>
      </c>
      <c r="J39" s="971">
        <v>0</v>
      </c>
      <c r="K39" s="973">
        <v>0</v>
      </c>
      <c r="L39" s="1327">
        <v>5</v>
      </c>
      <c r="M39" s="1000">
        <v>0</v>
      </c>
      <c r="N39" s="991">
        <v>0</v>
      </c>
      <c r="O39" s="1364">
        <v>0</v>
      </c>
      <c r="P39" s="976">
        <v>0</v>
      </c>
      <c r="Q39" s="974">
        <v>0</v>
      </c>
    </row>
    <row r="40" spans="1:17">
      <c r="A40" s="1594"/>
      <c r="B40" s="369" t="s">
        <v>958</v>
      </c>
      <c r="C40" s="817" t="s">
        <v>957</v>
      </c>
      <c r="D40" s="971" t="s">
        <v>963</v>
      </c>
      <c r="E40" s="973">
        <v>0</v>
      </c>
      <c r="F40" s="992">
        <v>0</v>
      </c>
      <c r="G40" s="1000">
        <v>0</v>
      </c>
      <c r="H40" s="973">
        <v>0</v>
      </c>
      <c r="I40" s="974">
        <v>0</v>
      </c>
      <c r="J40" s="971">
        <v>0</v>
      </c>
      <c r="K40" s="973">
        <v>0</v>
      </c>
      <c r="L40" s="984">
        <v>0</v>
      </c>
      <c r="M40" s="1000">
        <v>0</v>
      </c>
      <c r="N40" s="991">
        <v>0</v>
      </c>
      <c r="O40" s="1364">
        <v>0</v>
      </c>
      <c r="P40" s="976">
        <v>0</v>
      </c>
      <c r="Q40" s="974">
        <v>0</v>
      </c>
    </row>
    <row r="41" spans="1:17">
      <c r="A41" s="1594"/>
      <c r="B41" s="1328" t="s">
        <v>959</v>
      </c>
      <c r="C41" s="817" t="s">
        <v>961</v>
      </c>
      <c r="D41" s="977">
        <v>0.1</v>
      </c>
      <c r="E41" s="973">
        <v>0</v>
      </c>
      <c r="F41" s="991">
        <v>0</v>
      </c>
      <c r="G41" s="1000">
        <v>0</v>
      </c>
      <c r="H41" s="973">
        <v>0</v>
      </c>
      <c r="I41" s="974">
        <v>0</v>
      </c>
      <c r="J41" s="971">
        <v>0</v>
      </c>
      <c r="K41" s="973">
        <v>0</v>
      </c>
      <c r="L41" s="1329"/>
      <c r="M41" s="1000">
        <v>0</v>
      </c>
      <c r="N41" s="991">
        <v>0</v>
      </c>
      <c r="O41" s="1364">
        <v>0</v>
      </c>
      <c r="P41" s="976">
        <v>0</v>
      </c>
      <c r="Q41" s="974">
        <v>0</v>
      </c>
    </row>
    <row r="42" spans="1:17">
      <c r="A42" s="1594"/>
      <c r="B42" s="1316" t="s">
        <v>960</v>
      </c>
      <c r="C42" s="814" t="s">
        <v>657</v>
      </c>
      <c r="D42" s="977">
        <v>6.22</v>
      </c>
      <c r="E42" s="973">
        <v>0</v>
      </c>
      <c r="F42" s="991">
        <v>0</v>
      </c>
      <c r="G42" s="1000">
        <v>0</v>
      </c>
      <c r="H42" s="973">
        <v>0</v>
      </c>
      <c r="I42" s="974">
        <v>0</v>
      </c>
      <c r="J42" s="971">
        <v>0</v>
      </c>
      <c r="K42" s="973">
        <v>0</v>
      </c>
      <c r="L42" s="984">
        <v>0</v>
      </c>
      <c r="M42" s="1000">
        <v>0</v>
      </c>
      <c r="N42" s="991">
        <v>0</v>
      </c>
      <c r="O42" s="1364">
        <v>0</v>
      </c>
      <c r="P42" s="976">
        <v>0</v>
      </c>
      <c r="Q42" s="974">
        <v>0</v>
      </c>
    </row>
    <row r="43" spans="1:17">
      <c r="A43" s="1594"/>
      <c r="B43" s="1316" t="s">
        <v>1233</v>
      </c>
      <c r="C43" s="814" t="s">
        <v>47</v>
      </c>
      <c r="D43" s="971">
        <v>0</v>
      </c>
      <c r="E43" s="973">
        <v>0</v>
      </c>
      <c r="F43" s="991">
        <v>0</v>
      </c>
      <c r="G43" s="1000">
        <v>0</v>
      </c>
      <c r="H43" s="973">
        <v>0</v>
      </c>
      <c r="I43" s="974">
        <v>0</v>
      </c>
      <c r="J43" s="971">
        <v>0</v>
      </c>
      <c r="K43" s="973">
        <v>0</v>
      </c>
      <c r="L43" s="984">
        <v>0</v>
      </c>
      <c r="M43" s="1000">
        <v>0</v>
      </c>
      <c r="N43" s="991">
        <v>0</v>
      </c>
      <c r="O43" s="1364">
        <v>0</v>
      </c>
      <c r="P43" s="976">
        <v>0</v>
      </c>
      <c r="Q43" s="974">
        <v>0</v>
      </c>
    </row>
    <row r="44" spans="1:17">
      <c r="A44" s="1594"/>
      <c r="B44" s="1316" t="s">
        <v>1234</v>
      </c>
      <c r="C44" s="814" t="s">
        <v>1235</v>
      </c>
      <c r="D44" s="971">
        <v>0</v>
      </c>
      <c r="E44" s="973">
        <v>0</v>
      </c>
      <c r="F44" s="991">
        <v>0</v>
      </c>
      <c r="G44" s="1000">
        <v>0</v>
      </c>
      <c r="H44" s="973">
        <v>0</v>
      </c>
      <c r="I44" s="974">
        <v>0</v>
      </c>
      <c r="J44" s="971">
        <v>0</v>
      </c>
      <c r="K44" s="973">
        <v>0</v>
      </c>
      <c r="L44" s="984">
        <v>10</v>
      </c>
      <c r="M44" s="1000">
        <v>0</v>
      </c>
      <c r="N44" s="991">
        <v>0</v>
      </c>
      <c r="O44" s="1364">
        <v>0</v>
      </c>
      <c r="P44" s="976">
        <v>0</v>
      </c>
      <c r="Q44" s="974">
        <v>0</v>
      </c>
    </row>
    <row r="45" spans="1:17">
      <c r="A45" s="1595"/>
      <c r="B45" s="1316" t="s">
        <v>1242</v>
      </c>
      <c r="C45" s="814" t="s">
        <v>1236</v>
      </c>
      <c r="D45" s="971">
        <v>0</v>
      </c>
      <c r="E45" s="973">
        <v>0</v>
      </c>
      <c r="F45" s="991">
        <v>0</v>
      </c>
      <c r="G45" s="1000">
        <v>0</v>
      </c>
      <c r="H45" s="973">
        <v>0</v>
      </c>
      <c r="I45" s="974">
        <v>0</v>
      </c>
      <c r="J45" s="971">
        <v>0</v>
      </c>
      <c r="K45" s="973">
        <v>0</v>
      </c>
      <c r="L45" s="984">
        <v>5</v>
      </c>
      <c r="M45" s="1000">
        <v>0</v>
      </c>
      <c r="N45" s="991">
        <v>0</v>
      </c>
      <c r="O45" s="1364">
        <v>0</v>
      </c>
      <c r="P45" s="976">
        <v>0</v>
      </c>
      <c r="Q45" s="974">
        <v>0</v>
      </c>
    </row>
    <row r="46" spans="1:17">
      <c r="A46" s="1589" t="s">
        <v>650</v>
      </c>
      <c r="B46" s="368" t="s">
        <v>651</v>
      </c>
      <c r="C46" s="814" t="s">
        <v>652</v>
      </c>
      <c r="D46" s="971">
        <v>0</v>
      </c>
      <c r="E46" s="973">
        <v>0</v>
      </c>
      <c r="F46" s="991">
        <v>0</v>
      </c>
      <c r="G46" s="1000">
        <v>0</v>
      </c>
      <c r="H46" s="973">
        <v>0</v>
      </c>
      <c r="I46" s="974">
        <v>0</v>
      </c>
      <c r="J46" s="971">
        <v>0</v>
      </c>
      <c r="K46" s="973">
        <v>0</v>
      </c>
      <c r="L46" s="984">
        <v>0</v>
      </c>
      <c r="M46" s="1000">
        <v>0</v>
      </c>
      <c r="N46" s="991">
        <v>0</v>
      </c>
      <c r="O46" s="1364">
        <v>0</v>
      </c>
      <c r="P46" s="976">
        <v>0</v>
      </c>
      <c r="Q46" s="974">
        <v>0</v>
      </c>
    </row>
    <row r="47" spans="1:17">
      <c r="A47" s="1594"/>
      <c r="B47" s="368" t="s">
        <v>266</v>
      </c>
      <c r="C47" s="814" t="s">
        <v>653</v>
      </c>
      <c r="D47" s="971">
        <v>0</v>
      </c>
      <c r="E47" s="973">
        <v>0</v>
      </c>
      <c r="F47" s="991">
        <v>0</v>
      </c>
      <c r="G47" s="1000">
        <v>0</v>
      </c>
      <c r="H47" s="973">
        <v>0</v>
      </c>
      <c r="I47" s="974">
        <v>0</v>
      </c>
      <c r="J47" s="971">
        <v>0</v>
      </c>
      <c r="K47" s="973">
        <v>0</v>
      </c>
      <c r="L47" s="984">
        <v>0</v>
      </c>
      <c r="M47" s="1000">
        <v>0</v>
      </c>
      <c r="N47" s="991">
        <v>0</v>
      </c>
      <c r="O47" s="1364">
        <v>0</v>
      </c>
      <c r="P47" s="976">
        <v>0</v>
      </c>
      <c r="Q47" s="974">
        <v>0</v>
      </c>
    </row>
    <row r="48" spans="1:17">
      <c r="A48" s="1594"/>
      <c r="B48" s="368" t="s">
        <v>40</v>
      </c>
      <c r="C48" s="814" t="s">
        <v>654</v>
      </c>
      <c r="D48" s="971">
        <v>0</v>
      </c>
      <c r="E48" s="973">
        <v>0</v>
      </c>
      <c r="F48" s="991">
        <v>0</v>
      </c>
      <c r="G48" s="1000">
        <v>0</v>
      </c>
      <c r="H48" s="973">
        <v>0</v>
      </c>
      <c r="I48" s="974">
        <v>0</v>
      </c>
      <c r="J48" s="971">
        <v>0</v>
      </c>
      <c r="K48" s="973">
        <v>0</v>
      </c>
      <c r="L48" s="984">
        <v>0</v>
      </c>
      <c r="M48" s="1000">
        <v>0</v>
      </c>
      <c r="N48" s="991">
        <v>0</v>
      </c>
      <c r="O48" s="1364">
        <v>0</v>
      </c>
      <c r="P48" s="976">
        <v>0</v>
      </c>
      <c r="Q48" s="974">
        <v>0</v>
      </c>
    </row>
    <row r="49" spans="1:17">
      <c r="A49" s="1594"/>
      <c r="B49" s="368" t="s">
        <v>99</v>
      </c>
      <c r="C49" s="814" t="s">
        <v>655</v>
      </c>
      <c r="D49" s="971">
        <v>0</v>
      </c>
      <c r="E49" s="973">
        <v>0</v>
      </c>
      <c r="F49" s="991">
        <v>0</v>
      </c>
      <c r="G49" s="1000">
        <v>0</v>
      </c>
      <c r="H49" s="973">
        <v>0</v>
      </c>
      <c r="I49" s="974">
        <v>0</v>
      </c>
      <c r="J49" s="971">
        <v>0</v>
      </c>
      <c r="K49" s="973">
        <v>0</v>
      </c>
      <c r="L49" s="984">
        <v>0</v>
      </c>
      <c r="M49" s="1000">
        <v>0</v>
      </c>
      <c r="N49" s="991">
        <v>0</v>
      </c>
      <c r="O49" s="1364">
        <v>0</v>
      </c>
      <c r="P49" s="976">
        <v>0</v>
      </c>
      <c r="Q49" s="974">
        <v>0</v>
      </c>
    </row>
    <row r="50" spans="1:17">
      <c r="A50" s="1595"/>
      <c r="B50" s="374" t="s">
        <v>337</v>
      </c>
      <c r="C50" s="819" t="s">
        <v>656</v>
      </c>
      <c r="D50" s="971">
        <v>0</v>
      </c>
      <c r="E50" s="973">
        <v>0</v>
      </c>
      <c r="F50" s="991">
        <v>0</v>
      </c>
      <c r="G50" s="1000">
        <v>0</v>
      </c>
      <c r="H50" s="973">
        <v>0</v>
      </c>
      <c r="I50" s="974">
        <v>0</v>
      </c>
      <c r="J50" s="971">
        <v>0</v>
      </c>
      <c r="K50" s="973">
        <v>0</v>
      </c>
      <c r="L50" s="984">
        <v>0</v>
      </c>
      <c r="M50" s="1000">
        <v>0</v>
      </c>
      <c r="N50" s="991">
        <v>0</v>
      </c>
      <c r="O50" s="1364">
        <v>0</v>
      </c>
      <c r="P50" s="976">
        <v>0</v>
      </c>
      <c r="Q50" s="974">
        <v>0</v>
      </c>
    </row>
    <row r="51" spans="1:17">
      <c r="A51" s="1352" t="s">
        <v>1267</v>
      </c>
      <c r="B51" s="374" t="s">
        <v>1266</v>
      </c>
      <c r="C51" s="819" t="s">
        <v>1268</v>
      </c>
      <c r="D51" s="971">
        <v>0</v>
      </c>
      <c r="E51" s="973">
        <v>0</v>
      </c>
      <c r="F51" s="991">
        <v>0</v>
      </c>
      <c r="G51" s="1000">
        <v>0</v>
      </c>
      <c r="H51" s="973">
        <v>0</v>
      </c>
      <c r="I51" s="974">
        <v>0</v>
      </c>
      <c r="J51" s="971">
        <v>0</v>
      </c>
      <c r="K51" s="973">
        <v>0</v>
      </c>
      <c r="L51" s="984">
        <v>0</v>
      </c>
      <c r="M51" s="1000">
        <v>0</v>
      </c>
      <c r="N51" s="991">
        <v>0</v>
      </c>
      <c r="O51" s="1364">
        <v>0</v>
      </c>
      <c r="P51" s="976">
        <v>0</v>
      </c>
      <c r="Q51" s="974">
        <v>0</v>
      </c>
    </row>
    <row r="52" spans="1:17" ht="39">
      <c r="A52" s="1589" t="s">
        <v>661</v>
      </c>
      <c r="B52" s="374" t="s">
        <v>1261</v>
      </c>
      <c r="C52" s="1378" t="s">
        <v>1264</v>
      </c>
      <c r="D52" s="971">
        <v>0</v>
      </c>
      <c r="E52" s="973">
        <v>0</v>
      </c>
      <c r="F52" s="991">
        <v>0</v>
      </c>
      <c r="G52" s="1000">
        <v>0</v>
      </c>
      <c r="H52" s="973">
        <v>0</v>
      </c>
      <c r="I52" s="974">
        <v>0</v>
      </c>
      <c r="J52" s="971">
        <v>0</v>
      </c>
      <c r="K52" s="973">
        <v>0</v>
      </c>
      <c r="L52" s="984">
        <v>0</v>
      </c>
      <c r="M52" s="1000">
        <v>0</v>
      </c>
      <c r="N52" s="991">
        <v>3</v>
      </c>
      <c r="O52" s="1364">
        <v>0</v>
      </c>
      <c r="P52" s="976">
        <v>0</v>
      </c>
      <c r="Q52" s="974">
        <v>0</v>
      </c>
    </row>
    <row r="53" spans="1:17" ht="13.5" thickBot="1">
      <c r="A53" s="1590"/>
      <c r="B53" s="944" t="s">
        <v>663</v>
      </c>
      <c r="C53" s="945" t="s">
        <v>660</v>
      </c>
      <c r="D53" s="979">
        <v>0</v>
      </c>
      <c r="E53" s="980">
        <v>0</v>
      </c>
      <c r="F53" s="993">
        <v>0</v>
      </c>
      <c r="G53" s="979">
        <v>0</v>
      </c>
      <c r="H53" s="980">
        <v>0</v>
      </c>
      <c r="I53" s="993">
        <v>0</v>
      </c>
      <c r="J53" s="979">
        <v>0</v>
      </c>
      <c r="K53" s="980">
        <v>50</v>
      </c>
      <c r="L53" s="1002">
        <v>0</v>
      </c>
      <c r="M53" s="1001">
        <v>0</v>
      </c>
      <c r="N53" s="993">
        <v>0</v>
      </c>
      <c r="O53" s="1366">
        <v>0</v>
      </c>
      <c r="P53" s="981">
        <v>0</v>
      </c>
      <c r="Q53" s="982">
        <v>0</v>
      </c>
    </row>
    <row r="54" spans="1:17">
      <c r="D54" s="427"/>
      <c r="E54" s="220"/>
      <c r="F54" s="220"/>
      <c r="G54" s="220"/>
      <c r="H54" s="220"/>
    </row>
    <row r="55" spans="1:17">
      <c r="D55" s="220"/>
      <c r="E55" s="220"/>
      <c r="F55" s="282"/>
      <c r="G55" s="282"/>
      <c r="H55" s="282"/>
    </row>
    <row r="62" spans="1:17">
      <c r="I62" s="356"/>
      <c r="J62" s="356"/>
      <c r="K62" s="356"/>
      <c r="L62" s="356"/>
    </row>
    <row r="63" spans="1:17">
      <c r="I63" s="356"/>
      <c r="J63" s="356"/>
      <c r="K63" s="356"/>
      <c r="L63" s="356"/>
    </row>
    <row r="64" spans="1:17">
      <c r="I64" s="356"/>
      <c r="J64" s="356"/>
      <c r="K64" s="356"/>
      <c r="L64" s="356"/>
    </row>
    <row r="65" spans="9:12">
      <c r="I65" s="356"/>
      <c r="J65" s="356"/>
      <c r="K65" s="356"/>
      <c r="L65" s="356"/>
    </row>
    <row r="66" spans="9:12">
      <c r="I66" s="356"/>
      <c r="J66" s="356"/>
      <c r="K66" s="356"/>
      <c r="L66" s="356"/>
    </row>
    <row r="67" spans="9:12">
      <c r="J67" s="356"/>
      <c r="K67" s="356"/>
      <c r="L67" s="356"/>
    </row>
    <row r="68" spans="9:12">
      <c r="J68" s="356"/>
      <c r="K68" s="356"/>
      <c r="L68" s="356"/>
    </row>
    <row r="69" spans="9:12">
      <c r="J69" s="356"/>
      <c r="K69" s="356"/>
      <c r="L69" s="356"/>
    </row>
    <row r="70" spans="9:12">
      <c r="J70" s="356"/>
      <c r="K70" s="356"/>
      <c r="L70" s="356"/>
    </row>
    <row r="71" spans="9:12">
      <c r="J71" s="356"/>
      <c r="K71" s="356"/>
      <c r="L71" s="356"/>
    </row>
    <row r="72" spans="9:12">
      <c r="J72" s="356"/>
      <c r="K72" s="356"/>
      <c r="L72" s="356"/>
    </row>
    <row r="73" spans="9:12">
      <c r="J73" s="356"/>
      <c r="K73" s="356"/>
      <c r="L73" s="356"/>
    </row>
    <row r="74" spans="9:12">
      <c r="J74" s="356"/>
      <c r="K74" s="356"/>
      <c r="L74" s="356"/>
    </row>
    <row r="75" spans="9:12">
      <c r="J75" s="356"/>
      <c r="K75" s="356"/>
      <c r="L75" s="356"/>
    </row>
    <row r="76" spans="9:12">
      <c r="J76" s="356"/>
      <c r="K76" s="356"/>
      <c r="L76" s="356"/>
    </row>
    <row r="77" spans="9:12">
      <c r="J77" s="356"/>
      <c r="K77" s="356"/>
      <c r="L77" s="356"/>
    </row>
    <row r="78" spans="9:12">
      <c r="J78" s="356"/>
      <c r="K78" s="356"/>
      <c r="L78" s="356"/>
    </row>
  </sheetData>
  <mergeCells count="10">
    <mergeCell ref="A52:A53"/>
    <mergeCell ref="P1:Q1"/>
    <mergeCell ref="D1:F1"/>
    <mergeCell ref="A12:A28"/>
    <mergeCell ref="A46:A50"/>
    <mergeCell ref="G1:I1"/>
    <mergeCell ref="G11:I11"/>
    <mergeCell ref="J1:L1"/>
    <mergeCell ref="A29:A45"/>
    <mergeCell ref="M1:N1"/>
  </mergeCells>
  <pageMargins left="0.7" right="0.7" top="0.75" bottom="0.75" header="0.3" footer="0.3"/>
  <pageSetup paperSize="3" scale="75"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731A5-3AA5-4E41-AE5F-F65C50E5960A}">
  <sheetPr codeName="Sheet8"/>
  <dimension ref="A1:V51"/>
  <sheetViews>
    <sheetView topLeftCell="A26" zoomScaleNormal="100" workbookViewId="0">
      <selection activeCell="G36" sqref="G36"/>
    </sheetView>
  </sheetViews>
  <sheetFormatPr defaultColWidth="8.81640625" defaultRowHeight="14.5"/>
  <cols>
    <col min="1" max="1" width="27.26953125" style="383" customWidth="1"/>
    <col min="2" max="8" width="12.7265625" style="383" customWidth="1"/>
    <col min="9" max="9" width="12.7265625" style="382" customWidth="1"/>
    <col min="10" max="10" width="12.7265625" style="383" customWidth="1"/>
    <col min="11" max="11" width="12.7265625" style="382" customWidth="1"/>
    <col min="12" max="13" width="12.7265625" style="383" customWidth="1"/>
    <col min="14" max="14" width="8.81640625" style="383"/>
    <col min="15" max="21" width="9" style="383" bestFit="1" customWidth="1"/>
    <col min="22" max="16384" width="8.81640625" style="383"/>
  </cols>
  <sheetData>
    <row r="1" spans="1:22" s="220" customFormat="1" ht="18.5">
      <c r="A1" s="458" t="s">
        <v>798</v>
      </c>
      <c r="B1" s="221"/>
      <c r="D1" s="221" t="s">
        <v>365</v>
      </c>
    </row>
    <row r="2" spans="1:22" s="220" customFormat="1" ht="18.5">
      <c r="A2" s="221"/>
      <c r="B2" s="221"/>
      <c r="D2" s="221" t="s">
        <v>366</v>
      </c>
    </row>
    <row r="3" spans="1:22" s="220" customFormat="1" ht="18.5">
      <c r="A3" s="221"/>
      <c r="B3" s="221"/>
      <c r="D3" s="221"/>
    </row>
    <row r="4" spans="1:22" s="220" customFormat="1" ht="13">
      <c r="A4" s="1561" t="s">
        <v>884</v>
      </c>
      <c r="B4" s="1561"/>
      <c r="C4" s="1561"/>
      <c r="D4" s="1561"/>
      <c r="E4" s="1561"/>
      <c r="F4" s="1561"/>
      <c r="G4" s="1561"/>
      <c r="H4" s="1561"/>
      <c r="I4" s="377"/>
      <c r="J4" s="377"/>
      <c r="K4" s="377"/>
      <c r="L4" s="377"/>
      <c r="M4" s="377"/>
    </row>
    <row r="5" spans="1:22" s="220" customFormat="1" ht="13">
      <c r="A5" s="1561"/>
      <c r="B5" s="1561"/>
      <c r="C5" s="1561"/>
      <c r="D5" s="1561"/>
      <c r="E5" s="1561"/>
      <c r="F5" s="1561"/>
      <c r="G5" s="1561"/>
      <c r="H5" s="1561"/>
      <c r="I5" s="377"/>
      <c r="J5" s="377"/>
      <c r="K5" s="377"/>
      <c r="L5" s="377"/>
      <c r="M5" s="377"/>
    </row>
    <row r="6" spans="1:22" s="220" customFormat="1" ht="13">
      <c r="A6" s="1561"/>
      <c r="B6" s="1561"/>
      <c r="C6" s="1561"/>
      <c r="D6" s="1561"/>
      <c r="E6" s="1561"/>
      <c r="F6" s="1561"/>
      <c r="G6" s="1561"/>
      <c r="H6" s="1561"/>
      <c r="I6" s="377"/>
      <c r="J6" s="377"/>
      <c r="K6" s="377"/>
      <c r="L6" s="377"/>
      <c r="M6" s="377"/>
    </row>
    <row r="7" spans="1:22" s="220" customFormat="1" ht="13">
      <c r="A7" s="1561"/>
      <c r="B7" s="1561"/>
      <c r="C7" s="1561"/>
      <c r="D7" s="1561"/>
      <c r="E7" s="1561"/>
      <c r="F7" s="1561"/>
      <c r="G7" s="1561"/>
      <c r="H7" s="1561"/>
      <c r="I7" s="377"/>
      <c r="J7" s="377"/>
      <c r="K7" s="377"/>
      <c r="L7" s="377"/>
      <c r="M7" s="377"/>
    </row>
    <row r="8" spans="1:22" s="220" customFormat="1" ht="13">
      <c r="A8" s="1561"/>
      <c r="B8" s="1561"/>
      <c r="C8" s="1561"/>
      <c r="D8" s="1561"/>
      <c r="E8" s="1561"/>
      <c r="F8" s="1561"/>
      <c r="G8" s="1561"/>
      <c r="H8" s="1561"/>
      <c r="I8" s="377"/>
      <c r="J8" s="377"/>
      <c r="K8" s="377"/>
      <c r="L8" s="377"/>
      <c r="M8" s="377"/>
    </row>
    <row r="9" spans="1:22" s="220" customFormat="1" ht="13.5" thickBot="1">
      <c r="A9" s="377"/>
      <c r="B9" s="377"/>
      <c r="C9" s="377"/>
      <c r="D9" s="377"/>
      <c r="E9" s="377"/>
      <c r="F9" s="377"/>
      <c r="G9" s="377"/>
      <c r="H9" s="377"/>
      <c r="I9" s="376"/>
      <c r="J9" s="376"/>
      <c r="K9" s="376"/>
      <c r="L9" s="376"/>
      <c r="M9" s="376"/>
    </row>
    <row r="10" spans="1:22" s="220" customFormat="1" ht="13.5" thickBot="1">
      <c r="A10" s="631" t="s">
        <v>367</v>
      </c>
      <c r="B10" s="632"/>
      <c r="C10" s="633">
        <v>4</v>
      </c>
      <c r="D10" s="376"/>
      <c r="E10" s="376"/>
      <c r="F10" s="376"/>
      <c r="G10" s="376"/>
      <c r="H10" s="376"/>
      <c r="I10" s="376"/>
      <c r="J10" s="376"/>
      <c r="K10" s="376"/>
      <c r="L10" s="376"/>
      <c r="M10" s="376"/>
    </row>
    <row r="11" spans="1:22" s="396" customFormat="1" ht="13.5" thickBot="1">
      <c r="A11" s="634"/>
      <c r="B11" s="634"/>
      <c r="C11" s="634"/>
      <c r="D11" s="634"/>
      <c r="E11" s="634"/>
      <c r="F11" s="634"/>
      <c r="G11" s="634"/>
      <c r="H11" s="634"/>
      <c r="I11" s="634"/>
      <c r="J11" s="634"/>
      <c r="K11" s="634"/>
      <c r="L11" s="634"/>
      <c r="M11" s="634"/>
    </row>
    <row r="12" spans="1:22" s="396" customFormat="1" ht="26">
      <c r="A12" s="378" t="s">
        <v>343</v>
      </c>
      <c r="B12" s="379"/>
      <c r="C12" s="380" t="s">
        <v>344</v>
      </c>
      <c r="D12" s="379" t="s">
        <v>1</v>
      </c>
      <c r="E12" s="380" t="s">
        <v>345</v>
      </c>
      <c r="F12" s="379" t="s">
        <v>1</v>
      </c>
      <c r="G12" s="380" t="s">
        <v>346</v>
      </c>
      <c r="H12" s="381" t="s">
        <v>1</v>
      </c>
      <c r="J12" s="635"/>
      <c r="Q12" s="635"/>
      <c r="R12" s="635"/>
    </row>
    <row r="13" spans="1:22" s="396" customFormat="1" ht="13">
      <c r="A13" s="384" t="s">
        <v>347</v>
      </c>
      <c r="B13" s="385"/>
      <c r="C13" s="236">
        <f>5*0.3</f>
        <v>1.5</v>
      </c>
      <c r="D13" s="234" t="s">
        <v>236</v>
      </c>
      <c r="E13" s="236">
        <f>C13*8760</f>
        <v>13140</v>
      </c>
      <c r="F13" s="234" t="s">
        <v>228</v>
      </c>
      <c r="G13" s="636">
        <v>1000</v>
      </c>
      <c r="H13" s="238" t="s">
        <v>228</v>
      </c>
    </row>
    <row r="14" spans="1:22" s="396" customFormat="1" ht="13">
      <c r="A14" s="386" t="s">
        <v>348</v>
      </c>
      <c r="B14" s="387"/>
      <c r="C14" s="236">
        <f>1+1+0.3</f>
        <v>2.2999999999999998</v>
      </c>
      <c r="D14" s="234" t="s">
        <v>236</v>
      </c>
      <c r="E14" s="236">
        <f>C14*8760</f>
        <v>20148</v>
      </c>
      <c r="F14" s="234" t="s">
        <v>228</v>
      </c>
      <c r="G14" s="636">
        <v>2000</v>
      </c>
      <c r="H14" s="238" t="s">
        <v>228</v>
      </c>
    </row>
    <row r="15" spans="1:22" s="396" customFormat="1" ht="13">
      <c r="A15" s="386" t="s">
        <v>349</v>
      </c>
      <c r="B15" s="385"/>
      <c r="C15" s="236">
        <f>C14+C13</f>
        <v>3.8</v>
      </c>
      <c r="D15" s="234" t="s">
        <v>236</v>
      </c>
      <c r="E15" s="236">
        <f>E13+E14</f>
        <v>33288</v>
      </c>
      <c r="F15" s="234" t="s">
        <v>228</v>
      </c>
      <c r="G15" s="636">
        <f>G13+G14</f>
        <v>3000</v>
      </c>
      <c r="H15" s="238" t="s">
        <v>228</v>
      </c>
      <c r="U15" s="637"/>
      <c r="V15" s="638"/>
    </row>
    <row r="16" spans="1:22" s="396" customFormat="1" ht="13.5" thickBot="1">
      <c r="A16" s="388" t="s">
        <v>350</v>
      </c>
      <c r="B16" s="389"/>
      <c r="C16" s="390">
        <v>8760</v>
      </c>
      <c r="D16" s="391" t="s">
        <v>240</v>
      </c>
      <c r="E16" s="392"/>
      <c r="F16" s="393"/>
      <c r="G16" s="392"/>
      <c r="H16" s="394"/>
    </row>
    <row r="17" spans="1:22" s="396" customFormat="1" ht="13">
      <c r="A17" s="1604" t="s">
        <v>368</v>
      </c>
      <c r="B17" s="1604"/>
      <c r="C17" s="1604"/>
      <c r="D17" s="1604"/>
      <c r="E17" s="1604"/>
      <c r="F17" s="1604"/>
      <c r="G17" s="1604"/>
      <c r="H17" s="1604"/>
      <c r="I17" s="357"/>
      <c r="J17" s="357"/>
      <c r="K17" s="357"/>
      <c r="L17" s="357"/>
      <c r="M17" s="357"/>
    </row>
    <row r="18" spans="1:22" s="396" customFormat="1" ht="13">
      <c r="A18" s="1562"/>
      <c r="B18" s="1562"/>
      <c r="C18" s="1562"/>
      <c r="D18" s="1562"/>
      <c r="E18" s="1562"/>
      <c r="F18" s="1562"/>
      <c r="G18" s="1562"/>
      <c r="H18" s="1562"/>
      <c r="I18" s="357"/>
      <c r="J18" s="357"/>
      <c r="K18" s="357"/>
      <c r="L18" s="357"/>
      <c r="M18" s="357"/>
    </row>
    <row r="19" spans="1:22" s="396" customFormat="1" ht="13">
      <c r="A19" s="1562"/>
      <c r="B19" s="1562"/>
      <c r="C19" s="1562"/>
      <c r="D19" s="1562"/>
      <c r="E19" s="1562"/>
      <c r="F19" s="1562"/>
      <c r="G19" s="1562"/>
      <c r="H19" s="1562"/>
      <c r="I19" s="357"/>
      <c r="J19" s="357"/>
      <c r="K19" s="357"/>
      <c r="L19" s="357"/>
      <c r="M19" s="357"/>
    </row>
    <row r="20" spans="1:22" s="396" customFormat="1" ht="13">
      <c r="A20" s="1562"/>
      <c r="B20" s="1562"/>
      <c r="C20" s="1562"/>
      <c r="D20" s="1562"/>
      <c r="E20" s="1562"/>
      <c r="F20" s="1562"/>
      <c r="G20" s="1562"/>
      <c r="H20" s="1562"/>
      <c r="I20" s="357"/>
      <c r="J20" s="357"/>
      <c r="K20" s="357"/>
      <c r="L20" s="357"/>
      <c r="M20" s="357"/>
    </row>
    <row r="21" spans="1:22" s="396" customFormat="1" ht="13">
      <c r="A21" s="1562"/>
      <c r="B21" s="1562"/>
      <c r="C21" s="1562"/>
      <c r="D21" s="1562"/>
      <c r="E21" s="1562"/>
      <c r="F21" s="1562"/>
      <c r="G21" s="1562"/>
      <c r="H21" s="1562"/>
      <c r="I21" s="357"/>
      <c r="J21" s="357"/>
      <c r="K21" s="357"/>
      <c r="L21" s="357"/>
      <c r="M21" s="357"/>
    </row>
    <row r="22" spans="1:22" s="396" customFormat="1" ht="13">
      <c r="A22" s="1562"/>
      <c r="B22" s="1562"/>
      <c r="C22" s="1562"/>
      <c r="D22" s="1562"/>
      <c r="E22" s="1562"/>
      <c r="F22" s="1562"/>
      <c r="G22" s="1562"/>
      <c r="H22" s="1562"/>
      <c r="I22" s="357"/>
      <c r="J22" s="357"/>
      <c r="K22" s="357"/>
      <c r="L22" s="357"/>
      <c r="M22" s="357"/>
    </row>
    <row r="23" spans="1:22" s="396" customFormat="1" ht="13">
      <c r="A23" s="1562"/>
      <c r="B23" s="1562"/>
      <c r="C23" s="1562"/>
      <c r="D23" s="1562"/>
      <c r="E23" s="1562"/>
      <c r="F23" s="1562"/>
      <c r="G23" s="1562"/>
      <c r="H23" s="1562"/>
      <c r="I23" s="357"/>
      <c r="J23" s="357"/>
      <c r="K23" s="357"/>
      <c r="L23" s="357"/>
      <c r="M23" s="357"/>
    </row>
    <row r="24" spans="1:22" s="396" customFormat="1" ht="13">
      <c r="A24" s="639"/>
      <c r="B24" s="639"/>
      <c r="C24" s="639"/>
      <c r="D24" s="640"/>
    </row>
    <row r="25" spans="1:22" s="220" customFormat="1" ht="13.5" thickBot="1">
      <c r="A25" s="261" t="s">
        <v>841</v>
      </c>
    </row>
    <row r="26" spans="1:22" ht="66" thickBot="1">
      <c r="A26" s="265" t="s">
        <v>70</v>
      </c>
      <c r="B26" s="641" t="s">
        <v>369</v>
      </c>
      <c r="C26" s="641" t="s">
        <v>1</v>
      </c>
      <c r="D26" s="641" t="s">
        <v>254</v>
      </c>
      <c r="E26" s="642" t="s">
        <v>941</v>
      </c>
      <c r="F26" s="643" t="s">
        <v>942</v>
      </c>
      <c r="G26" s="272" t="s">
        <v>370</v>
      </c>
      <c r="N26" s="405"/>
      <c r="O26" s="406"/>
      <c r="P26" s="406"/>
      <c r="Q26" s="406"/>
      <c r="R26" s="406"/>
      <c r="S26" s="406"/>
      <c r="T26" s="406"/>
      <c r="U26" s="406"/>
      <c r="V26" s="407"/>
    </row>
    <row r="27" spans="1:22">
      <c r="A27" s="644" t="s">
        <v>19</v>
      </c>
      <c r="B27" s="645">
        <f>0.12</f>
        <v>0.12</v>
      </c>
      <c r="C27" s="645" t="s">
        <v>258</v>
      </c>
      <c r="D27" s="645" t="s">
        <v>358</v>
      </c>
      <c r="E27" s="646">
        <f>B27*$C$15/$C$10</f>
        <v>0.11399999999999999</v>
      </c>
      <c r="F27" s="647">
        <f>E27*8760/2000</f>
        <v>0.49931999999999993</v>
      </c>
      <c r="G27" s="648">
        <f>$G$15*B27/2000</f>
        <v>0.18</v>
      </c>
      <c r="H27" s="411"/>
      <c r="I27" s="412"/>
      <c r="N27" s="395"/>
      <c r="O27" s="395"/>
      <c r="P27" s="395"/>
      <c r="Q27" s="395"/>
      <c r="R27" s="395"/>
      <c r="S27" s="395"/>
      <c r="T27" s="395"/>
      <c r="U27" s="395"/>
      <c r="V27" s="407"/>
    </row>
    <row r="28" spans="1:22">
      <c r="A28" s="649" t="s">
        <v>77</v>
      </c>
      <c r="B28" s="415">
        <f>B27*49%</f>
        <v>5.8799999999999998E-2</v>
      </c>
      <c r="C28" s="415" t="s">
        <v>258</v>
      </c>
      <c r="D28" s="415" t="s">
        <v>358</v>
      </c>
      <c r="E28" s="414">
        <f t="shared" ref="E28:E34" si="0">B28*$C$15/$C$10</f>
        <v>5.5859999999999993E-2</v>
      </c>
      <c r="F28" s="289">
        <f t="shared" ref="F28:F40" si="1">E28*8760/2000</f>
        <v>0.24466679999999996</v>
      </c>
      <c r="G28" s="416">
        <f t="shared" ref="G28:G34" si="2">$G$15*B28/2000</f>
        <v>8.8200000000000001E-2</v>
      </c>
      <c r="N28" s="395"/>
      <c r="O28" s="395"/>
      <c r="P28" s="395"/>
      <c r="Q28" s="395"/>
      <c r="R28" s="395"/>
      <c r="S28" s="395"/>
      <c r="T28" s="395"/>
      <c r="U28" s="395"/>
      <c r="V28" s="407"/>
    </row>
    <row r="29" spans="1:22">
      <c r="A29" s="649" t="s">
        <v>78</v>
      </c>
      <c r="B29" s="415">
        <f>B27*24%</f>
        <v>2.8799999999999999E-2</v>
      </c>
      <c r="C29" s="415" t="s">
        <v>258</v>
      </c>
      <c r="D29" s="415" t="s">
        <v>358</v>
      </c>
      <c r="E29" s="414">
        <f t="shared" si="0"/>
        <v>2.7359999999999999E-2</v>
      </c>
      <c r="F29" s="289">
        <f t="shared" si="1"/>
        <v>0.11983679999999999</v>
      </c>
      <c r="G29" s="416">
        <f t="shared" si="2"/>
        <v>4.3199999999999995E-2</v>
      </c>
      <c r="N29" s="395"/>
      <c r="O29" s="395"/>
      <c r="P29" s="395"/>
      <c r="Q29" s="395"/>
      <c r="R29" s="395"/>
      <c r="S29" s="395"/>
      <c r="T29" s="395"/>
      <c r="U29" s="395"/>
      <c r="V29" s="407"/>
    </row>
    <row r="30" spans="1:22">
      <c r="A30" s="649" t="s">
        <v>79</v>
      </c>
      <c r="B30" s="417">
        <v>2.4E-2</v>
      </c>
      <c r="C30" s="415" t="s">
        <v>258</v>
      </c>
      <c r="D30" s="417" t="s">
        <v>357</v>
      </c>
      <c r="E30" s="414">
        <f t="shared" si="0"/>
        <v>2.2800000000000001E-2</v>
      </c>
      <c r="F30" s="289">
        <f t="shared" si="1"/>
        <v>9.9864000000000008E-2</v>
      </c>
      <c r="G30" s="416">
        <f t="shared" si="2"/>
        <v>3.5999999999999997E-2</v>
      </c>
      <c r="I30" s="412"/>
      <c r="N30" s="405"/>
      <c r="O30" s="406"/>
      <c r="P30" s="406"/>
      <c r="Q30" s="406"/>
      <c r="R30" s="406"/>
      <c r="S30" s="406"/>
      <c r="T30" s="406"/>
      <c r="U30" s="406"/>
      <c r="V30" s="407"/>
    </row>
    <row r="31" spans="1:22">
      <c r="A31" s="649" t="s">
        <v>80</v>
      </c>
      <c r="B31" s="417">
        <v>2.5000000000000001E-2</v>
      </c>
      <c r="C31" s="415" t="s">
        <v>258</v>
      </c>
      <c r="D31" s="417" t="s">
        <v>357</v>
      </c>
      <c r="E31" s="414">
        <f t="shared" si="0"/>
        <v>2.375E-2</v>
      </c>
      <c r="F31" s="289">
        <f t="shared" si="1"/>
        <v>0.10402500000000001</v>
      </c>
      <c r="G31" s="416">
        <f t="shared" si="2"/>
        <v>3.7499999999999999E-2</v>
      </c>
      <c r="I31" s="412"/>
      <c r="N31" s="405"/>
      <c r="O31" s="406"/>
      <c r="P31" s="406"/>
      <c r="Q31" s="406"/>
      <c r="R31" s="406"/>
      <c r="S31" s="406"/>
      <c r="T31" s="406"/>
      <c r="U31" s="406"/>
      <c r="V31" s="407"/>
    </row>
    <row r="32" spans="1:22">
      <c r="A32" s="649" t="s">
        <v>81</v>
      </c>
      <c r="B32" s="415">
        <v>3.5000000000000003E-2</v>
      </c>
      <c r="C32" s="415" t="s">
        <v>258</v>
      </c>
      <c r="D32" s="415" t="s">
        <v>357</v>
      </c>
      <c r="E32" s="414">
        <f t="shared" si="0"/>
        <v>3.3250000000000002E-2</v>
      </c>
      <c r="F32" s="289">
        <f t="shared" si="1"/>
        <v>0.14563500000000001</v>
      </c>
      <c r="G32" s="416">
        <f t="shared" si="2"/>
        <v>5.2500000000000005E-2</v>
      </c>
      <c r="N32" s="395"/>
      <c r="O32" s="395"/>
      <c r="P32" s="395"/>
      <c r="Q32" s="395"/>
      <c r="R32" s="395"/>
      <c r="S32" s="395"/>
      <c r="T32" s="395"/>
      <c r="U32" s="395"/>
      <c r="V32" s="407"/>
    </row>
    <row r="33" spans="1:22">
      <c r="A33" s="649" t="s">
        <v>82</v>
      </c>
      <c r="B33" s="415">
        <v>3.3E-3</v>
      </c>
      <c r="C33" s="415" t="s">
        <v>258</v>
      </c>
      <c r="D33" s="415" t="s">
        <v>357</v>
      </c>
      <c r="E33" s="421">
        <f t="shared" si="0"/>
        <v>3.1349999999999998E-3</v>
      </c>
      <c r="F33" s="289">
        <f t="shared" si="1"/>
        <v>1.3731299999999998E-2</v>
      </c>
      <c r="G33" s="416">
        <f t="shared" si="2"/>
        <v>4.9500000000000004E-3</v>
      </c>
      <c r="N33" s="395"/>
      <c r="O33" s="395"/>
      <c r="P33" s="395"/>
      <c r="Q33" s="395"/>
      <c r="R33" s="395"/>
      <c r="S33" s="395"/>
      <c r="T33" s="395"/>
      <c r="U33" s="395"/>
      <c r="V33" s="407"/>
    </row>
    <row r="34" spans="1:22">
      <c r="A34" s="649" t="s">
        <v>83</v>
      </c>
      <c r="B34" s="650">
        <f>B46/100*$B$27</f>
        <v>6.0000000000000001E-3</v>
      </c>
      <c r="C34" s="415" t="s">
        <v>258</v>
      </c>
      <c r="D34" s="415" t="s">
        <v>259</v>
      </c>
      <c r="E34" s="420">
        <f t="shared" si="0"/>
        <v>5.7000000000000002E-3</v>
      </c>
      <c r="F34" s="295">
        <f>E34*8760/2000</f>
        <v>2.4966000000000002E-2</v>
      </c>
      <c r="G34" s="416">
        <f t="shared" si="2"/>
        <v>8.9999999999999993E-3</v>
      </c>
    </row>
    <row r="35" spans="1:22">
      <c r="A35" s="413" t="s">
        <v>84</v>
      </c>
      <c r="B35" s="711"/>
      <c r="C35" s="711"/>
      <c r="D35" s="711"/>
      <c r="E35" s="420">
        <f>SUM(E36:E40)+E34</f>
        <v>1.522478131241084E-2</v>
      </c>
      <c r="F35" s="295">
        <f>SUM(F36:F40)+F34</f>
        <v>6.6684542148359477E-2</v>
      </c>
      <c r="G35" s="419" cm="1">
        <f t="array" ref="G35">SUM(G36:G40+G34)</f>
        <v>6.0039128388017109E-2</v>
      </c>
    </row>
    <row r="36" spans="1:22">
      <c r="A36" s="651" t="s">
        <v>265</v>
      </c>
      <c r="B36" s="652">
        <f>B47/100*$B$27</f>
        <v>4.8000000000000006E-6</v>
      </c>
      <c r="C36" s="415" t="s">
        <v>258</v>
      </c>
      <c r="D36" s="415" t="s">
        <v>259</v>
      </c>
      <c r="E36" s="420">
        <f>B36*$C$15/$C$10</f>
        <v>4.5600000000000004E-6</v>
      </c>
      <c r="F36" s="295">
        <f>E36*8760/2000</f>
        <v>1.9972800000000003E-5</v>
      </c>
      <c r="G36" s="419">
        <f>$G$15*B36/2000</f>
        <v>7.2000000000000005E-6</v>
      </c>
    </row>
    <row r="37" spans="1:22">
      <c r="A37" s="283" t="s">
        <v>266</v>
      </c>
      <c r="B37" s="650">
        <f t="shared" ref="B37:B40" si="3">B48/100*$B$27</f>
        <v>1.2000000000000002E-6</v>
      </c>
      <c r="C37" s="415" t="s">
        <v>258</v>
      </c>
      <c r="D37" s="415" t="s">
        <v>259</v>
      </c>
      <c r="E37" s="420">
        <f>B37*$C$15/$C$10</f>
        <v>1.1400000000000001E-6</v>
      </c>
      <c r="F37" s="295">
        <f t="shared" si="1"/>
        <v>4.9932000000000007E-6</v>
      </c>
      <c r="G37" s="419">
        <f>$G$15*B37/2000</f>
        <v>1.8000000000000001E-6</v>
      </c>
    </row>
    <row r="38" spans="1:22">
      <c r="A38" s="283" t="s">
        <v>267</v>
      </c>
      <c r="B38" s="650">
        <f t="shared" si="3"/>
        <v>1.2E-4</v>
      </c>
      <c r="C38" s="415" t="s">
        <v>258</v>
      </c>
      <c r="D38" s="415" t="s">
        <v>259</v>
      </c>
      <c r="E38" s="420">
        <f>B38*$C$15/$C$10</f>
        <v>1.1399999999999999E-4</v>
      </c>
      <c r="F38" s="295">
        <f t="shared" si="1"/>
        <v>4.9932000000000004E-4</v>
      </c>
      <c r="G38" s="419">
        <f>$G$15*B38/2000</f>
        <v>1.7999999999999998E-4</v>
      </c>
    </row>
    <row r="39" spans="1:22">
      <c r="A39" s="283" t="s">
        <v>268</v>
      </c>
      <c r="B39" s="650">
        <f t="shared" si="3"/>
        <v>4.5000855920114121E-3</v>
      </c>
      <c r="C39" s="415" t="s">
        <v>258</v>
      </c>
      <c r="D39" s="415" t="s">
        <v>259</v>
      </c>
      <c r="E39" s="420">
        <f>B39*$C$15/$C$10</f>
        <v>4.2750813124108411E-3</v>
      </c>
      <c r="F39" s="295">
        <f t="shared" si="1"/>
        <v>1.8724856148359486E-2</v>
      </c>
      <c r="G39" s="419">
        <f>$G$15*B39/2000</f>
        <v>6.7501283880171178E-3</v>
      </c>
    </row>
    <row r="40" spans="1:22" ht="15" thickBot="1">
      <c r="A40" s="298" t="s">
        <v>269</v>
      </c>
      <c r="B40" s="653">
        <f t="shared" si="3"/>
        <v>5.3999999999999994E-3</v>
      </c>
      <c r="C40" s="654" t="s">
        <v>258</v>
      </c>
      <c r="D40" s="654" t="s">
        <v>259</v>
      </c>
      <c r="E40" s="655">
        <f>B40*$C$15/$C$10</f>
        <v>5.1299999999999991E-3</v>
      </c>
      <c r="F40" s="305">
        <f t="shared" si="1"/>
        <v>2.2469399999999997E-2</v>
      </c>
      <c r="G40" s="656">
        <f>$G$15*B40/2000</f>
        <v>8.0999999999999996E-3</v>
      </c>
    </row>
    <row r="41" spans="1:22" s="220" customFormat="1" ht="13">
      <c r="A41" s="1387" t="s">
        <v>842</v>
      </c>
      <c r="B41" s="1387"/>
      <c r="C41" s="1387"/>
      <c r="D41" s="1387"/>
      <c r="E41" s="1387"/>
      <c r="F41" s="1387"/>
      <c r="G41" s="1387"/>
      <c r="H41" s="1387"/>
      <c r="I41" s="423"/>
      <c r="K41" s="423"/>
    </row>
    <row r="42" spans="1:22" s="220" customFormat="1" ht="13">
      <c r="A42" s="1387"/>
      <c r="B42" s="1387"/>
      <c r="C42" s="1387"/>
      <c r="D42" s="1387"/>
      <c r="E42" s="1387"/>
      <c r="F42" s="1387"/>
      <c r="G42" s="1387"/>
      <c r="H42" s="1387"/>
      <c r="I42" s="423"/>
    </row>
    <row r="43" spans="1:22" s="220" customFormat="1" ht="13">
      <c r="A43" s="1387"/>
      <c r="B43" s="1387"/>
      <c r="C43" s="1387"/>
      <c r="D43" s="1387"/>
      <c r="E43" s="1387"/>
      <c r="F43" s="1387"/>
      <c r="G43" s="1387"/>
      <c r="H43" s="1387"/>
      <c r="I43" s="423"/>
    </row>
    <row r="44" spans="1:22" s="424" customFormat="1" ht="13">
      <c r="A44" s="424" t="s">
        <v>362</v>
      </c>
    </row>
    <row r="45" spans="1:22" s="220" customFormat="1" ht="13">
      <c r="A45" s="424" t="s">
        <v>371</v>
      </c>
      <c r="I45" s="423"/>
    </row>
    <row r="46" spans="1:22" s="220" customFormat="1" ht="13">
      <c r="A46" s="307" t="s">
        <v>40</v>
      </c>
      <c r="B46" s="220">
        <f>'Brass Melting'!B50</f>
        <v>5</v>
      </c>
      <c r="C46" s="220" t="s">
        <v>272</v>
      </c>
      <c r="I46" s="423"/>
    </row>
    <row r="47" spans="1:22" s="220" customFormat="1" ht="13">
      <c r="A47" s="307" t="s">
        <v>265</v>
      </c>
      <c r="B47" s="220">
        <f>'AL Melting'!B50</f>
        <v>4.0000000000000001E-3</v>
      </c>
      <c r="C47" s="220" t="s">
        <v>272</v>
      </c>
      <c r="I47" s="423"/>
    </row>
    <row r="48" spans="1:22" s="220" customFormat="1" ht="13">
      <c r="A48" s="307" t="s">
        <v>266</v>
      </c>
      <c r="B48" s="220">
        <f>'AL Melting'!B51</f>
        <v>1E-3</v>
      </c>
      <c r="C48" s="220" t="s">
        <v>272</v>
      </c>
      <c r="I48" s="423"/>
    </row>
    <row r="49" spans="1:22" s="423" customFormat="1" ht="13">
      <c r="A49" s="307" t="s">
        <v>267</v>
      </c>
      <c r="B49" s="220">
        <f>'AL Melting'!B52</f>
        <v>0.1</v>
      </c>
      <c r="C49" s="220" t="s">
        <v>272</v>
      </c>
      <c r="D49" s="220"/>
      <c r="E49" s="220"/>
      <c r="F49" s="220"/>
      <c r="G49" s="220"/>
      <c r="H49" s="220"/>
      <c r="J49" s="220"/>
      <c r="K49" s="220"/>
      <c r="L49" s="220"/>
      <c r="M49" s="220"/>
      <c r="N49" s="220"/>
      <c r="O49" s="220"/>
      <c r="P49" s="220"/>
      <c r="Q49" s="220"/>
      <c r="R49" s="220"/>
      <c r="S49" s="220"/>
      <c r="T49" s="220"/>
      <c r="U49" s="220"/>
    </row>
    <row r="50" spans="1:22" s="423" customFormat="1" ht="13">
      <c r="A50" s="307" t="s">
        <v>268</v>
      </c>
      <c r="B50" s="425">
        <f>'Brass Melting'!B51</f>
        <v>3.7500713266761769</v>
      </c>
      <c r="C50" s="220" t="s">
        <v>272</v>
      </c>
      <c r="D50" s="220"/>
      <c r="E50" s="220"/>
      <c r="F50" s="220"/>
      <c r="G50" s="220"/>
      <c r="H50" s="220"/>
      <c r="J50" s="220"/>
      <c r="L50" s="220"/>
      <c r="M50" s="220"/>
      <c r="N50" s="220"/>
      <c r="O50" s="220"/>
      <c r="P50" s="220"/>
      <c r="Q50" s="220"/>
      <c r="R50" s="220"/>
      <c r="S50" s="220"/>
      <c r="T50" s="220"/>
      <c r="U50" s="220"/>
      <c r="V50" s="220"/>
    </row>
    <row r="51" spans="1:22" s="423" customFormat="1" ht="13">
      <c r="A51" s="307" t="s">
        <v>269</v>
      </c>
      <c r="B51" s="220">
        <f>'Brass Melting'!B52</f>
        <v>4.5</v>
      </c>
      <c r="C51" s="220" t="s">
        <v>272</v>
      </c>
      <c r="D51" s="220"/>
      <c r="E51" s="220"/>
      <c r="F51" s="220"/>
      <c r="G51" s="220"/>
      <c r="H51" s="220"/>
      <c r="J51" s="220"/>
      <c r="L51" s="220"/>
      <c r="M51" s="220"/>
      <c r="N51" s="220"/>
      <c r="O51" s="220"/>
      <c r="P51" s="220"/>
      <c r="Q51" s="220"/>
      <c r="R51" s="220"/>
      <c r="S51" s="220"/>
      <c r="T51" s="220"/>
      <c r="U51" s="220"/>
      <c r="V51" s="220"/>
    </row>
  </sheetData>
  <mergeCells count="3">
    <mergeCell ref="A41:H43"/>
    <mergeCell ref="A17:H23"/>
    <mergeCell ref="A4:H8"/>
  </mergeCells>
  <pageMargins left="0.7" right="0.7" top="0.75" bottom="0.75" header="0.3" footer="0.3"/>
  <pageSetup scale="8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rowBreaks count="1" manualBreakCount="1">
    <brk id="2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EFA46-1257-4142-9476-9083886767F2}">
  <sheetPr codeName="Sheet9">
    <pageSetUpPr fitToPage="1"/>
  </sheetPr>
  <dimension ref="A1:H49"/>
  <sheetViews>
    <sheetView topLeftCell="A9" zoomScaleNormal="100" workbookViewId="0">
      <selection activeCell="A22" sqref="A22"/>
    </sheetView>
  </sheetViews>
  <sheetFormatPr defaultColWidth="9.1796875" defaultRowHeight="13"/>
  <cols>
    <col min="1" max="1" width="26.7265625" style="220" customWidth="1"/>
    <col min="2" max="8" width="19.7265625" style="220" customWidth="1"/>
    <col min="9" max="16384" width="9.1796875" style="220"/>
  </cols>
  <sheetData>
    <row r="1" spans="1:8" ht="18.75" customHeight="1">
      <c r="A1" s="458" t="s">
        <v>372</v>
      </c>
      <c r="C1" s="221" t="s">
        <v>365</v>
      </c>
      <c r="D1" s="460"/>
      <c r="E1" s="460"/>
      <c r="F1" s="460"/>
      <c r="G1" s="460"/>
      <c r="H1" s="589" t="s">
        <v>59</v>
      </c>
    </row>
    <row r="2" spans="1:8" ht="18.5">
      <c r="A2" s="377"/>
      <c r="B2" s="377"/>
      <c r="C2" s="221" t="s">
        <v>366</v>
      </c>
      <c r="D2" s="377"/>
      <c r="E2" s="377"/>
      <c r="F2" s="377"/>
      <c r="G2" s="462"/>
      <c r="H2" s="590" t="s">
        <v>60</v>
      </c>
    </row>
    <row r="3" spans="1:8" ht="18.75" customHeight="1">
      <c r="A3" s="377"/>
      <c r="B3" s="377"/>
      <c r="C3" s="377"/>
      <c r="D3" s="377"/>
      <c r="E3" s="377"/>
      <c r="F3" s="377"/>
      <c r="G3" s="463"/>
      <c r="H3" s="591" t="s">
        <v>61</v>
      </c>
    </row>
    <row r="4" spans="1:8" ht="18.75" customHeight="1">
      <c r="A4" s="377"/>
      <c r="B4" s="377"/>
      <c r="C4" s="377"/>
      <c r="D4" s="377"/>
      <c r="E4" s="377"/>
      <c r="F4" s="377"/>
      <c r="G4" s="463"/>
      <c r="H4" s="591" t="s">
        <v>62</v>
      </c>
    </row>
    <row r="5" spans="1:8" ht="13.5" thickBot="1">
      <c r="A5" s="377"/>
      <c r="B5" s="377"/>
      <c r="C5" s="377"/>
      <c r="D5" s="377"/>
      <c r="E5" s="377"/>
      <c r="F5" s="377"/>
      <c r="G5" s="463"/>
      <c r="H5" s="591"/>
    </row>
    <row r="6" spans="1:8">
      <c r="A6" s="465"/>
      <c r="B6" s="466" t="s">
        <v>63</v>
      </c>
      <c r="C6" s="467" t="s">
        <v>373</v>
      </c>
      <c r="D6" s="468"/>
      <c r="E6" s="468"/>
      <c r="F6" s="468"/>
      <c r="G6" s="468"/>
      <c r="H6" s="469"/>
    </row>
    <row r="7" spans="1:8">
      <c r="A7" s="465"/>
      <c r="B7" s="470" t="s">
        <v>64</v>
      </c>
      <c r="C7" s="471">
        <v>2</v>
      </c>
      <c r="D7" s="465"/>
      <c r="E7" s="465"/>
      <c r="F7" s="465"/>
      <c r="G7" s="465"/>
      <c r="H7" s="472"/>
    </row>
    <row r="8" spans="1:8">
      <c r="A8" s="465"/>
      <c r="B8" s="470" t="s">
        <v>65</v>
      </c>
      <c r="C8" s="471">
        <f>C7/'AL Melting'!G20</f>
        <v>1.9607843137254902E-3</v>
      </c>
      <c r="D8" s="465"/>
      <c r="E8" s="465"/>
      <c r="F8" s="465"/>
      <c r="G8" s="465"/>
      <c r="H8" s="472"/>
    </row>
    <row r="9" spans="1:8">
      <c r="A9" s="465"/>
      <c r="B9" s="473" t="s">
        <v>66</v>
      </c>
      <c r="C9" s="474">
        <v>8760</v>
      </c>
      <c r="D9" s="465"/>
      <c r="E9" s="465"/>
      <c r="F9" s="465"/>
      <c r="G9" s="465"/>
      <c r="H9" s="472"/>
    </row>
    <row r="10" spans="1:8">
      <c r="A10" s="465"/>
      <c r="B10" s="473" t="s">
        <v>67</v>
      </c>
      <c r="C10" s="474"/>
      <c r="D10" s="465"/>
      <c r="E10" s="465"/>
      <c r="F10" s="465"/>
      <c r="G10" s="465"/>
      <c r="H10" s="472"/>
    </row>
    <row r="11" spans="1:8" ht="13.5" thickBot="1">
      <c r="A11" s="465"/>
      <c r="B11" s="475" t="s">
        <v>68</v>
      </c>
      <c r="C11" s="476" t="s">
        <v>69</v>
      </c>
      <c r="D11" s="477"/>
      <c r="E11" s="477"/>
      <c r="F11" s="477"/>
      <c r="G11" s="477"/>
      <c r="H11" s="478"/>
    </row>
    <row r="12" spans="1:8" ht="39.5" thickBot="1">
      <c r="A12" s="479" t="s">
        <v>70</v>
      </c>
      <c r="B12" s="480" t="s">
        <v>71</v>
      </c>
      <c r="C12" s="481" t="s">
        <v>72</v>
      </c>
      <c r="D12" s="481" t="s">
        <v>73</v>
      </c>
      <c r="E12" s="481" t="s">
        <v>831</v>
      </c>
      <c r="F12" s="482" t="s">
        <v>74</v>
      </c>
      <c r="G12" s="482" t="s">
        <v>75</v>
      </c>
      <c r="H12" s="483" t="s">
        <v>76</v>
      </c>
    </row>
    <row r="13" spans="1:8">
      <c r="A13" s="314" t="s">
        <v>19</v>
      </c>
      <c r="B13" s="484">
        <f>IFERROR(INDEX('Emission Factors'!$A$2:$CH$104,MATCH($A13,'Emission Factors'!$A$2:$A$104,0),MATCH(C$11,'Emission Factors'!$A$2:$CH$2,0)),"")</f>
        <v>7.6</v>
      </c>
      <c r="C13" s="485"/>
      <c r="D13" s="486"/>
      <c r="E13" s="487">
        <f t="shared" ref="E13:E21" si="0">IF(C13&gt;0,C13,B13)*C$8</f>
        <v>1.4901960784313724E-2</v>
      </c>
      <c r="F13" s="487">
        <f t="shared" ref="F13:F21" si="1">IF(C13&gt;0,C13,B13)*C$8*(1-D13)</f>
        <v>1.4901960784313724E-2</v>
      </c>
      <c r="G13" s="487">
        <f t="shared" ref="G13:G21" si="2">IF(C13&gt;0,C13,B13)*C$8*C$9/2000</f>
        <v>6.5270588235294108E-2</v>
      </c>
      <c r="H13" s="488">
        <f t="shared" ref="H13:H21" si="3">IF(C13&gt;0,C13,B13)*C$8*(1-D13)*C$10/2000</f>
        <v>0</v>
      </c>
    </row>
    <row r="14" spans="1:8">
      <c r="A14" s="319" t="s">
        <v>77</v>
      </c>
      <c r="B14" s="489">
        <f>IFERROR(INDEX('Emission Factors'!$A$2:$CH$104,MATCH($A14,'Emission Factors'!$A$2:$A$104,0),MATCH(C$11,'Emission Factors'!$A$2:$CH$2,0)),"")</f>
        <v>7.6</v>
      </c>
      <c r="C14" s="490"/>
      <c r="D14" s="491"/>
      <c r="E14" s="492">
        <f t="shared" si="0"/>
        <v>1.4901960784313724E-2</v>
      </c>
      <c r="F14" s="492">
        <f t="shared" si="1"/>
        <v>1.4901960784313724E-2</v>
      </c>
      <c r="G14" s="492">
        <f t="shared" si="2"/>
        <v>6.5270588235294108E-2</v>
      </c>
      <c r="H14" s="493">
        <f t="shared" si="3"/>
        <v>0</v>
      </c>
    </row>
    <row r="15" spans="1:8">
      <c r="A15" s="319" t="s">
        <v>78</v>
      </c>
      <c r="B15" s="489">
        <f>IFERROR(INDEX('Emission Factors'!$A$2:$CH$104,MATCH($A15,'Emission Factors'!$A$2:$A$104,0),MATCH(C$11,'Emission Factors'!$A$2:$CH$2,0)),"")</f>
        <v>7.6</v>
      </c>
      <c r="C15" s="490"/>
      <c r="D15" s="491"/>
      <c r="E15" s="492">
        <f t="shared" si="0"/>
        <v>1.4901960784313724E-2</v>
      </c>
      <c r="F15" s="492">
        <f t="shared" si="1"/>
        <v>1.4901960784313724E-2</v>
      </c>
      <c r="G15" s="492">
        <f t="shared" si="2"/>
        <v>6.5270588235294108E-2</v>
      </c>
      <c r="H15" s="493">
        <f t="shared" si="3"/>
        <v>0</v>
      </c>
    </row>
    <row r="16" spans="1:8">
      <c r="A16" s="319" t="s">
        <v>79</v>
      </c>
      <c r="B16" s="489">
        <f>IFERROR(INDEX('Emission Factors'!$A$2:$CH$104,MATCH($A16,'Emission Factors'!$A$2:$A$104,0),MATCH(C$11,'Emission Factors'!$A$2:$CH$2,0)),"")</f>
        <v>100</v>
      </c>
      <c r="C16" s="490"/>
      <c r="D16" s="491"/>
      <c r="E16" s="492">
        <f t="shared" si="0"/>
        <v>0.19607843137254902</v>
      </c>
      <c r="F16" s="492">
        <f t="shared" si="1"/>
        <v>0.19607843137254902</v>
      </c>
      <c r="G16" s="492">
        <f t="shared" si="2"/>
        <v>0.85882352941176465</v>
      </c>
      <c r="H16" s="493">
        <f t="shared" si="3"/>
        <v>0</v>
      </c>
    </row>
    <row r="17" spans="1:8">
      <c r="A17" s="319" t="s">
        <v>80</v>
      </c>
      <c r="B17" s="489">
        <f>IFERROR(INDEX('Emission Factors'!$A$2:$CH$104,MATCH($A17,'Emission Factors'!$A$2:$A$104,0),MATCH(C$11,'Emission Factors'!$A$2:$CH$2,0)),"")</f>
        <v>84</v>
      </c>
      <c r="C17" s="490"/>
      <c r="D17" s="491"/>
      <c r="E17" s="492">
        <f t="shared" si="0"/>
        <v>0.16470588235294117</v>
      </c>
      <c r="F17" s="492">
        <f t="shared" si="1"/>
        <v>0.16470588235294117</v>
      </c>
      <c r="G17" s="492">
        <f t="shared" si="2"/>
        <v>0.72141176470588231</v>
      </c>
      <c r="H17" s="493">
        <f t="shared" si="3"/>
        <v>0</v>
      </c>
    </row>
    <row r="18" spans="1:8">
      <c r="A18" s="319" t="s">
        <v>81</v>
      </c>
      <c r="B18" s="489">
        <f>IFERROR(INDEX('Emission Factors'!$A$2:$CH$104,MATCH($A18,'Emission Factors'!$A$2:$A$104,0),MATCH(C$11,'Emission Factors'!$A$2:$CH$2,0)),"")</f>
        <v>0.6</v>
      </c>
      <c r="C18" s="490"/>
      <c r="D18" s="491"/>
      <c r="E18" s="492">
        <f t="shared" si="0"/>
        <v>1.176470588235294E-3</v>
      </c>
      <c r="F18" s="492">
        <f t="shared" si="1"/>
        <v>1.176470588235294E-3</v>
      </c>
      <c r="G18" s="492">
        <f t="shared" si="2"/>
        <v>5.1529411764705876E-3</v>
      </c>
      <c r="H18" s="493">
        <f t="shared" si="3"/>
        <v>0</v>
      </c>
    </row>
    <row r="19" spans="1:8">
      <c r="A19" s="319" t="s">
        <v>82</v>
      </c>
      <c r="B19" s="489">
        <f>IFERROR(INDEX('Emission Factors'!$A$2:$CH$104,MATCH($A19,'Emission Factors'!$A$2:$A$104,0),MATCH(C$11,'Emission Factors'!$A$2:$CH$2,0)),"")</f>
        <v>5.5</v>
      </c>
      <c r="C19" s="490"/>
      <c r="D19" s="491"/>
      <c r="E19" s="492">
        <f t="shared" si="0"/>
        <v>1.0784313725490196E-2</v>
      </c>
      <c r="F19" s="492">
        <f t="shared" si="1"/>
        <v>1.0784313725490196E-2</v>
      </c>
      <c r="G19" s="492">
        <f t="shared" si="2"/>
        <v>4.7235294117647056E-2</v>
      </c>
      <c r="H19" s="493">
        <f t="shared" si="3"/>
        <v>0</v>
      </c>
    </row>
    <row r="20" spans="1:8">
      <c r="A20" s="319" t="s">
        <v>83</v>
      </c>
      <c r="B20" s="489">
        <f>IFERROR(INDEX('Emission Factors'!$A$2:$CH$104,MATCH($A20,'Emission Factors'!$A$2:$A$104,0),MATCH(C$11,'Emission Factors'!$A$2:$CH$2,0)),"")</f>
        <v>5.0000000000000001E-4</v>
      </c>
      <c r="C20" s="490"/>
      <c r="D20" s="491"/>
      <c r="E20" s="492">
        <f t="shared" si="0"/>
        <v>9.8039215686274508E-7</v>
      </c>
      <c r="F20" s="492">
        <f t="shared" si="1"/>
        <v>9.8039215686274508E-7</v>
      </c>
      <c r="G20" s="492">
        <f t="shared" si="2"/>
        <v>4.2941176470588233E-6</v>
      </c>
      <c r="H20" s="493">
        <f t="shared" si="3"/>
        <v>0</v>
      </c>
    </row>
    <row r="21" spans="1:8" ht="13.5" thickBot="1">
      <c r="A21" s="322" t="s">
        <v>84</v>
      </c>
      <c r="B21" s="494">
        <f>IFERROR(INDEX('Emission Factors'!$A$2:$CH$104,MATCH($A21,'Emission Factors'!$A$2:$A$104,0),MATCH(C$11,'Emission Factors'!$A$2:$CH$2,0)),"")</f>
        <v>1.8879582000000001</v>
      </c>
      <c r="C21" s="495"/>
      <c r="D21" s="496"/>
      <c r="E21" s="497">
        <f t="shared" si="0"/>
        <v>3.7018788235294118E-3</v>
      </c>
      <c r="F21" s="497">
        <f t="shared" si="1"/>
        <v>3.7018788235294118E-3</v>
      </c>
      <c r="G21" s="497">
        <f t="shared" si="2"/>
        <v>1.6214229247058825E-2</v>
      </c>
      <c r="H21" s="498">
        <f t="shared" si="3"/>
        <v>0</v>
      </c>
    </row>
    <row r="22" spans="1:8">
      <c r="A22" s="314" t="s">
        <v>85</v>
      </c>
      <c r="B22" s="484">
        <f>IFERROR(INDEX('Emission Factors'!$A$2:$CH$104,MATCH($A22,'Emission Factors'!$A$2:$A$104,0),MATCH(C$11,'Emission Factors'!$A$2:$CH$2,0))*2.2046,"")</f>
        <v>116.97607600000001</v>
      </c>
      <c r="C22" s="485"/>
      <c r="D22" s="486"/>
      <c r="E22" s="487">
        <f>IF(C22&gt;0,C22,B22)*C$7</f>
        <v>233.95215200000001</v>
      </c>
      <c r="F22" s="487">
        <f>IF(C22&gt;0,C22,B22)*C$7*(1-D22)</f>
        <v>233.95215200000001</v>
      </c>
      <c r="G22" s="487">
        <f>IF(C22&gt;0,C22,B22)*C$7*C$9/2000</f>
        <v>1024.7104257599999</v>
      </c>
      <c r="H22" s="488">
        <f>IF(C22&gt;0,C22,B22)*C$7*(1-D22)*C$10/2000</f>
        <v>0</v>
      </c>
    </row>
    <row r="23" spans="1:8">
      <c r="A23" s="319" t="s">
        <v>86</v>
      </c>
      <c r="B23" s="489">
        <f>IFERROR(INDEX('Emission Factors'!$A$2:$CH$104,MATCH($A23,'Emission Factors'!$A$2:$A$104,0),MATCH(C$11,'Emission Factors'!$A$2:$CH$2,0))*2.2046,"")</f>
        <v>2.2046000000000001E-3</v>
      </c>
      <c r="C23" s="490"/>
      <c r="D23" s="491"/>
      <c r="E23" s="492">
        <f>IF(C23&gt;0,C23,B23)*C$7</f>
        <v>4.4092000000000003E-3</v>
      </c>
      <c r="F23" s="492">
        <f>IF(C23&gt;0,C23,B23)*C$7*(1-D23)</f>
        <v>4.4092000000000003E-3</v>
      </c>
      <c r="G23" s="492">
        <f>IF(C23&gt;0,C23,B23)*C$7*C$9/2000</f>
        <v>1.9312296E-2</v>
      </c>
      <c r="H23" s="493">
        <f>IF(C23&gt;0,C23,B23)*C$7*(1-D23)*C$10/2000</f>
        <v>0</v>
      </c>
    </row>
    <row r="24" spans="1:8">
      <c r="A24" s="319" t="s">
        <v>87</v>
      </c>
      <c r="B24" s="489">
        <f>IFERROR(INDEX('Emission Factors'!$A$2:$CH$104,MATCH($A24,'Emission Factors'!$A$2:$A$104,0),MATCH(C$11,'Emission Factors'!$A$2:$CH$2,0))*2.2046,"")</f>
        <v>2.2046000000000001E-4</v>
      </c>
      <c r="C24" s="490"/>
      <c r="D24" s="491"/>
      <c r="E24" s="492">
        <f>IF(C24&gt;0,C24,B24)*C$7</f>
        <v>4.4092000000000003E-4</v>
      </c>
      <c r="F24" s="492">
        <f>IF(C24&gt;0,C24,B24)*C$7*(1-D24)</f>
        <v>4.4092000000000003E-4</v>
      </c>
      <c r="G24" s="492">
        <f>IF(C24&gt;0,C24,B24)*C$7*C$9/2000</f>
        <v>1.9312296000000002E-3</v>
      </c>
      <c r="H24" s="493">
        <f>IF(C24&gt;0,C24,B24)*C$7*(1-D24)*C$10/2000</f>
        <v>0</v>
      </c>
    </row>
    <row r="25" spans="1:8" ht="13.5" thickBot="1">
      <c r="A25" s="322" t="s">
        <v>88</v>
      </c>
      <c r="B25" s="499">
        <f>IFERROR(INDEX('Emission Factors'!$A$2:$CH$104,MATCH($A25,'Emission Factors'!$A$2:$A$104,0),MATCH(C$11,'Emission Factors'!$A$2:$CH$2,0))*2.2046,"")</f>
        <v>117.09688808000001</v>
      </c>
      <c r="C25" s="500"/>
      <c r="D25" s="501"/>
      <c r="E25" s="502">
        <f>IF(C25&gt;0,C25,B25)*C$7</f>
        <v>234.19377616000003</v>
      </c>
      <c r="F25" s="502">
        <f>IF(C25&gt;0,C25,B25)*C$7*(1-D25)</f>
        <v>234.19377616000003</v>
      </c>
      <c r="G25" s="502">
        <f>IF(C25&gt;0,C25,B25)*C$7*C$9/2000</f>
        <v>1025.7687395808002</v>
      </c>
      <c r="H25" s="503">
        <f>IF(C25&gt;0,C25,B25)*C$7*(1-D25)*C$10/2000</f>
        <v>0</v>
      </c>
    </row>
    <row r="26" spans="1:8">
      <c r="A26" s="314" t="s">
        <v>89</v>
      </c>
      <c r="B26" s="504">
        <f>IFERROR(INDEX('Emission Factors'!$A$2:$CH$104,MATCH($A26,'Emission Factors'!$A$2:$A$104,0),MATCH(C$11,'Emission Factors'!$A$2:$CH$2,0)),"")</f>
        <v>1.1999999999999999E-3</v>
      </c>
      <c r="C26" s="485"/>
      <c r="D26" s="486"/>
      <c r="E26" s="505">
        <f t="shared" ref="E26:E41" si="4">IF(C26&gt;0,C26,B26)*C$8</f>
        <v>2.352941176470588E-6</v>
      </c>
      <c r="F26" s="505">
        <f t="shared" ref="F26:F41" si="5">IF(C26&gt;0,C26,B26)*C$8*(1-D26)</f>
        <v>2.352941176470588E-6</v>
      </c>
      <c r="G26" s="505">
        <f t="shared" ref="G26:G41" si="6">IF(C26&gt;0,C26,B26)*C$8*C$9/2000</f>
        <v>1.0305882352941175E-5</v>
      </c>
      <c r="H26" s="506">
        <f t="shared" ref="H26:H41" si="7">IF(C26&gt;0,C26,B26)*C$8*(1-D26)*C$10/2000</f>
        <v>0</v>
      </c>
    </row>
    <row r="27" spans="1:8">
      <c r="A27" s="327" t="s">
        <v>90</v>
      </c>
      <c r="B27" s="504">
        <f>IFERROR(INDEX('Emission Factors'!$A$2:$CH$104,MATCH($A27,'Emission Factors'!$A$2:$A$104,0),MATCH(C$11,'Emission Factors'!$A$2:$CH$2,0)),"")</f>
        <v>2.0000000000000001E-4</v>
      </c>
      <c r="C27" s="507"/>
      <c r="D27" s="508"/>
      <c r="E27" s="505">
        <f t="shared" si="4"/>
        <v>3.9215686274509808E-7</v>
      </c>
      <c r="F27" s="505">
        <f t="shared" si="5"/>
        <v>3.9215686274509808E-7</v>
      </c>
      <c r="G27" s="505">
        <f t="shared" si="6"/>
        <v>1.7176470588235296E-6</v>
      </c>
      <c r="H27" s="506">
        <f t="shared" si="7"/>
        <v>0</v>
      </c>
    </row>
    <row r="28" spans="1:8">
      <c r="A28" s="319" t="s">
        <v>91</v>
      </c>
      <c r="B28" s="489">
        <f>IFERROR(INDEX('Emission Factors'!$A$2:$CH$104,MATCH($A28,'Emission Factors'!$A$2:$A$104,0),MATCH(C$11,'Emission Factors'!$A$2:$CH$2,0)),"")</f>
        <v>2.0999999999999999E-3</v>
      </c>
      <c r="C28" s="490"/>
      <c r="D28" s="491"/>
      <c r="E28" s="492">
        <f t="shared" si="4"/>
        <v>4.1176470588235291E-6</v>
      </c>
      <c r="F28" s="492">
        <f t="shared" si="5"/>
        <v>4.1176470588235291E-6</v>
      </c>
      <c r="G28" s="492">
        <f t="shared" si="6"/>
        <v>1.8035294117647056E-5</v>
      </c>
      <c r="H28" s="493">
        <f t="shared" si="7"/>
        <v>0</v>
      </c>
    </row>
    <row r="29" spans="1:8">
      <c r="A29" s="319" t="s">
        <v>92</v>
      </c>
      <c r="B29" s="489">
        <f>IFERROR(INDEX('Emission Factors'!$A$2:$CH$104,MATCH($A29,'Emission Factors'!$A$2:$A$104,0),MATCH(C$11,'Emission Factors'!$A$2:$CH$2,0)),"")</f>
        <v>1.2E-5</v>
      </c>
      <c r="C29" s="490"/>
      <c r="D29" s="491"/>
      <c r="E29" s="492">
        <f t="shared" si="4"/>
        <v>2.3529411764705881E-8</v>
      </c>
      <c r="F29" s="492">
        <f t="shared" si="5"/>
        <v>2.3529411764705881E-8</v>
      </c>
      <c r="G29" s="492">
        <f t="shared" si="6"/>
        <v>1.0305882352941177E-7</v>
      </c>
      <c r="H29" s="493">
        <f t="shared" si="7"/>
        <v>0</v>
      </c>
    </row>
    <row r="30" spans="1:8">
      <c r="A30" s="319" t="s">
        <v>93</v>
      </c>
      <c r="B30" s="489">
        <f>IFERROR(INDEX('Emission Factors'!$A$2:$CH$104,MATCH($A30,'Emission Factors'!$A$2:$A$104,0),MATCH(C$11,'Emission Factors'!$A$2:$CH$2,0)),"")</f>
        <v>1.1000000000000001E-3</v>
      </c>
      <c r="C30" s="490"/>
      <c r="D30" s="491"/>
      <c r="E30" s="492">
        <f t="shared" si="4"/>
        <v>2.1568627450980393E-6</v>
      </c>
      <c r="F30" s="492">
        <f t="shared" si="5"/>
        <v>2.1568627450980393E-6</v>
      </c>
      <c r="G30" s="492">
        <f t="shared" si="6"/>
        <v>9.4470588235294125E-6</v>
      </c>
      <c r="H30" s="493">
        <f t="shared" si="7"/>
        <v>0</v>
      </c>
    </row>
    <row r="31" spans="1:8">
      <c r="A31" s="319" t="s">
        <v>94</v>
      </c>
      <c r="B31" s="489">
        <f>IFERROR(INDEX('Emission Factors'!$A$2:$CH$104,MATCH($A31,'Emission Factors'!$A$2:$A$104,0),MATCH(C$11,'Emission Factors'!$A$2:$CH$2,0)),"")</f>
        <v>1.4E-3</v>
      </c>
      <c r="C31" s="490"/>
      <c r="D31" s="491"/>
      <c r="E31" s="492">
        <f t="shared" si="4"/>
        <v>2.7450980392156863E-6</v>
      </c>
      <c r="F31" s="492">
        <f t="shared" si="5"/>
        <v>2.7450980392156863E-6</v>
      </c>
      <c r="G31" s="492">
        <f t="shared" si="6"/>
        <v>1.2023529411764705E-5</v>
      </c>
      <c r="H31" s="493">
        <f t="shared" si="7"/>
        <v>0</v>
      </c>
    </row>
    <row r="32" spans="1:8">
      <c r="A32" s="319" t="s">
        <v>95</v>
      </c>
      <c r="B32" s="489">
        <f>IFERROR(INDEX('Emission Factors'!$A$2:$CH$104,MATCH($A32,'Emission Factors'!$A$2:$A$104,0),MATCH(C$11,'Emission Factors'!$A$2:$CH$2,0)),"")</f>
        <v>8.3999999999999995E-5</v>
      </c>
      <c r="C32" s="490"/>
      <c r="D32" s="491"/>
      <c r="E32" s="492">
        <f t="shared" si="4"/>
        <v>1.6470588235294117E-7</v>
      </c>
      <c r="F32" s="492">
        <f t="shared" si="5"/>
        <v>1.6470588235294117E-7</v>
      </c>
      <c r="G32" s="492">
        <f t="shared" si="6"/>
        <v>7.2141176470588231E-7</v>
      </c>
      <c r="H32" s="493">
        <f t="shared" si="7"/>
        <v>0</v>
      </c>
    </row>
    <row r="33" spans="1:8">
      <c r="A33" s="319" t="s">
        <v>96</v>
      </c>
      <c r="B33" s="489">
        <f>IFERROR(INDEX('Emission Factors'!$A$2:$CH$104,MATCH($A33,'Emission Factors'!$A$2:$A$104,0),MATCH(C$11,'Emission Factors'!$A$2:$CH$2,0)),"")</f>
        <v>7.4999999999999997E-2</v>
      </c>
      <c r="C33" s="490"/>
      <c r="D33" s="491"/>
      <c r="E33" s="492">
        <f t="shared" si="4"/>
        <v>1.4705882352941175E-4</v>
      </c>
      <c r="F33" s="492">
        <f t="shared" si="5"/>
        <v>1.4705882352941175E-4</v>
      </c>
      <c r="G33" s="492">
        <f t="shared" si="6"/>
        <v>6.4411764705882345E-4</v>
      </c>
      <c r="H33" s="493">
        <f t="shared" si="7"/>
        <v>0</v>
      </c>
    </row>
    <row r="34" spans="1:8">
      <c r="A34" s="319" t="s">
        <v>97</v>
      </c>
      <c r="B34" s="489">
        <f>IFERROR(INDEX('Emission Factors'!$A$2:$CH$104,MATCH($A34,'Emission Factors'!$A$2:$A$104,0),MATCH(C$11,'Emission Factors'!$A$2:$CH$2,0)),"")</f>
        <v>1.8</v>
      </c>
      <c r="C34" s="490"/>
      <c r="D34" s="491"/>
      <c r="E34" s="492">
        <f t="shared" si="4"/>
        <v>3.5294117647058825E-3</v>
      </c>
      <c r="F34" s="492">
        <f t="shared" si="5"/>
        <v>3.5294117647058825E-3</v>
      </c>
      <c r="G34" s="492">
        <f t="shared" si="6"/>
        <v>1.5458823529411764E-2</v>
      </c>
      <c r="H34" s="493">
        <f t="shared" si="7"/>
        <v>0</v>
      </c>
    </row>
    <row r="35" spans="1:8">
      <c r="A35" s="319" t="s">
        <v>98</v>
      </c>
      <c r="B35" s="489">
        <f>IFERROR(INDEX('Emission Factors'!$A$2:$CH$104,MATCH($A35,'Emission Factors'!$A$2:$A$104,0),MATCH(C$11,'Emission Factors'!$A$2:$CH$2,0)),"")</f>
        <v>3.8000000000000002E-4</v>
      </c>
      <c r="C35" s="490"/>
      <c r="D35" s="491"/>
      <c r="E35" s="492">
        <f t="shared" si="4"/>
        <v>7.450980392156863E-7</v>
      </c>
      <c r="F35" s="492">
        <f t="shared" si="5"/>
        <v>7.450980392156863E-7</v>
      </c>
      <c r="G35" s="492">
        <f t="shared" si="6"/>
        <v>3.2635294117647058E-6</v>
      </c>
      <c r="H35" s="493">
        <f t="shared" si="7"/>
        <v>0</v>
      </c>
    </row>
    <row r="36" spans="1:8">
      <c r="A36" s="319" t="s">
        <v>99</v>
      </c>
      <c r="B36" s="489">
        <f>IFERROR(INDEX('Emission Factors'!$A$2:$CH$104,MATCH($A36,'Emission Factors'!$A$2:$A$104,0),MATCH(C$11,'Emission Factors'!$A$2:$CH$2,0)),"")</f>
        <v>2.5999999999999998E-4</v>
      </c>
      <c r="C36" s="490"/>
      <c r="D36" s="491"/>
      <c r="E36" s="492">
        <f t="shared" si="4"/>
        <v>5.0980392156862741E-7</v>
      </c>
      <c r="F36" s="492">
        <f t="shared" si="5"/>
        <v>5.0980392156862741E-7</v>
      </c>
      <c r="G36" s="492">
        <f t="shared" si="6"/>
        <v>2.2329411764705883E-6</v>
      </c>
      <c r="H36" s="493">
        <f t="shared" si="7"/>
        <v>0</v>
      </c>
    </row>
    <row r="37" spans="1:8">
      <c r="A37" s="319" t="s">
        <v>100</v>
      </c>
      <c r="B37" s="489">
        <f>IFERROR(INDEX('Emission Factors'!$A$2:$CH$104,MATCH($A37,'Emission Factors'!$A$2:$A$104,0),MATCH(C$11,'Emission Factors'!$A$2:$CH$2,0)),"")</f>
        <v>6.0999999999999997E-4</v>
      </c>
      <c r="C37" s="490"/>
      <c r="D37" s="491"/>
      <c r="E37" s="492">
        <f t="shared" si="4"/>
        <v>1.1960784313725489E-6</v>
      </c>
      <c r="F37" s="492">
        <f t="shared" si="5"/>
        <v>1.1960784313725489E-6</v>
      </c>
      <c r="G37" s="492">
        <f t="shared" si="6"/>
        <v>5.2388235294117646E-6</v>
      </c>
      <c r="H37" s="493">
        <f t="shared" si="7"/>
        <v>0</v>
      </c>
    </row>
    <row r="38" spans="1:8">
      <c r="A38" s="319" t="s">
        <v>101</v>
      </c>
      <c r="B38" s="489">
        <f>IFERROR(INDEX('Emission Factors'!$A$2:$CH$104,MATCH($A38,'Emission Factors'!$A$2:$A$104,0),MATCH(C$11,'Emission Factors'!$A$2:$CH$2,0)),"")</f>
        <v>2.0999999999999999E-3</v>
      </c>
      <c r="C38" s="490"/>
      <c r="D38" s="491"/>
      <c r="E38" s="492">
        <f t="shared" si="4"/>
        <v>4.1176470588235291E-6</v>
      </c>
      <c r="F38" s="492">
        <f t="shared" si="5"/>
        <v>4.1176470588235291E-6</v>
      </c>
      <c r="G38" s="492">
        <f t="shared" si="6"/>
        <v>1.8035294117647056E-5</v>
      </c>
      <c r="H38" s="493">
        <f t="shared" si="7"/>
        <v>0</v>
      </c>
    </row>
    <row r="39" spans="1:8">
      <c r="A39" s="319" t="s">
        <v>102</v>
      </c>
      <c r="B39" s="489">
        <f>IFERROR(INDEX('Emission Factors'!$A$2:$CH$104,MATCH($A39,'Emission Factors'!$A$2:$A$104,0),MATCH(C$11,'Emission Factors'!$A$2:$CH$2,0)),"")</f>
        <v>6.9819999999999995E-4</v>
      </c>
      <c r="C39" s="490"/>
      <c r="D39" s="491"/>
      <c r="E39" s="492">
        <f t="shared" si="4"/>
        <v>1.369019607843137E-6</v>
      </c>
      <c r="F39" s="492">
        <f t="shared" si="5"/>
        <v>1.369019607843137E-6</v>
      </c>
      <c r="G39" s="492">
        <f t="shared" si="6"/>
        <v>5.9963058823529405E-6</v>
      </c>
      <c r="H39" s="493">
        <f t="shared" si="7"/>
        <v>0</v>
      </c>
    </row>
    <row r="40" spans="1:8">
      <c r="A40" s="319" t="s">
        <v>103</v>
      </c>
      <c r="B40" s="489">
        <f>IFERROR(INDEX('Emission Factors'!$A$2:$CH$104,MATCH($A40,'Emission Factors'!$A$2:$A$104,0),MATCH(C$11,'Emission Factors'!$A$2:$CH$2,0)),"")</f>
        <v>2.4000000000000001E-5</v>
      </c>
      <c r="C40" s="490"/>
      <c r="D40" s="491"/>
      <c r="E40" s="492">
        <f t="shared" si="4"/>
        <v>4.7058823529411763E-8</v>
      </c>
      <c r="F40" s="492">
        <f t="shared" si="5"/>
        <v>4.7058823529411763E-8</v>
      </c>
      <c r="G40" s="492">
        <f t="shared" si="6"/>
        <v>2.0611764705882354E-7</v>
      </c>
      <c r="H40" s="493">
        <f t="shared" si="7"/>
        <v>0</v>
      </c>
    </row>
    <row r="41" spans="1:8" ht="13.5" thickBot="1">
      <c r="A41" s="322" t="s">
        <v>104</v>
      </c>
      <c r="B41" s="499">
        <f>IFERROR(INDEX('Emission Factors'!$A$2:$CH$104,MATCH($A41,'Emission Factors'!$A$2:$A$104,0),MATCH(C$11,'Emission Factors'!$A$2:$CH$2,0)),"")</f>
        <v>3.3999999999999998E-3</v>
      </c>
      <c r="C41" s="500"/>
      <c r="D41" s="501"/>
      <c r="E41" s="502">
        <f t="shared" si="4"/>
        <v>6.6666666666666658E-6</v>
      </c>
      <c r="F41" s="502">
        <f t="shared" si="5"/>
        <v>6.6666666666666658E-6</v>
      </c>
      <c r="G41" s="502">
        <f t="shared" si="6"/>
        <v>2.9199999999999998E-5</v>
      </c>
      <c r="H41" s="503">
        <f t="shared" si="7"/>
        <v>0</v>
      </c>
    </row>
    <row r="42" spans="1:8">
      <c r="A42" s="465"/>
      <c r="B42" s="509" t="s">
        <v>105</v>
      </c>
      <c r="C42" s="510"/>
      <c r="D42" s="465"/>
      <c r="E42" s="465"/>
      <c r="F42" s="465"/>
      <c r="G42" s="465"/>
      <c r="H42" s="465"/>
    </row>
    <row r="43" spans="1:8">
      <c r="A43" s="465"/>
      <c r="B43" s="1605" t="s">
        <v>374</v>
      </c>
      <c r="C43" s="1606"/>
      <c r="D43" s="1606"/>
      <c r="E43" s="1606"/>
      <c r="F43" s="1606"/>
      <c r="G43" s="1606"/>
      <c r="H43" s="1607"/>
    </row>
    <row r="44" spans="1:8">
      <c r="A44" s="465"/>
      <c r="B44" s="1608"/>
      <c r="C44" s="1609"/>
      <c r="D44" s="1609"/>
      <c r="E44" s="1609"/>
      <c r="F44" s="1609"/>
      <c r="G44" s="1609"/>
      <c r="H44" s="1610"/>
    </row>
    <row r="45" spans="1:8">
      <c r="A45" s="465"/>
      <c r="B45" s="511" t="s">
        <v>106</v>
      </c>
      <c r="C45" s="512"/>
      <c r="D45" s="512"/>
      <c r="E45" s="512"/>
      <c r="F45" s="512"/>
      <c r="G45" s="512"/>
      <c r="H45" s="513"/>
    </row>
    <row r="46" spans="1:8">
      <c r="A46" s="515"/>
      <c r="B46" s="516" t="s">
        <v>107</v>
      </c>
      <c r="C46" s="465"/>
      <c r="D46" s="465"/>
      <c r="E46" s="465"/>
      <c r="F46" s="465"/>
      <c r="G46" s="465"/>
      <c r="H46" s="517"/>
    </row>
    <row r="47" spans="1:8">
      <c r="A47" s="515"/>
      <c r="B47" s="465" t="s">
        <v>108</v>
      </c>
      <c r="C47" s="518"/>
      <c r="D47" s="518"/>
      <c r="E47" s="518"/>
      <c r="F47" s="518"/>
      <c r="G47" s="518"/>
      <c r="H47" s="517"/>
    </row>
    <row r="48" spans="1:8">
      <c r="A48" s="515"/>
      <c r="B48" s="518" t="s">
        <v>109</v>
      </c>
      <c r="C48" s="465"/>
      <c r="D48" s="465"/>
      <c r="E48" s="465"/>
      <c r="F48" s="518"/>
      <c r="G48" s="518"/>
      <c r="H48" s="517"/>
    </row>
    <row r="49" spans="1:8">
      <c r="A49" s="515"/>
      <c r="B49" s="465"/>
      <c r="C49" s="518"/>
      <c r="D49" s="518"/>
      <c r="E49" s="518"/>
      <c r="F49" s="518"/>
      <c r="G49" s="518"/>
      <c r="H49" s="517"/>
    </row>
  </sheetData>
  <protectedRanges>
    <protectedRange sqref="B42:H42" name="Notes"/>
  </protectedRanges>
  <mergeCells count="1">
    <mergeCell ref="B43:H44"/>
  </mergeCells>
  <dataValidations disablePrompts="1" count="1">
    <dataValidation type="list" allowBlank="1" showInputMessage="1" showErrorMessage="1" sqref="C11" xr:uid="{61627162-3D58-4859-95B1-221D17C52012}">
      <formula1>#REF!</formula1>
    </dataValidation>
  </dataValidations>
  <pageMargins left="0.7" right="0.7" top="0.75" bottom="0.75" header="0.3" footer="0.3"/>
  <pageSetup scale="75"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A4553-D645-41CD-9D5A-27B15668E6C8}">
  <sheetPr codeName="Sheet11"/>
  <dimension ref="A1:T53"/>
  <sheetViews>
    <sheetView topLeftCell="A24" zoomScaleNormal="100" workbookViewId="0">
      <selection activeCell="A42" sqref="A42"/>
    </sheetView>
  </sheetViews>
  <sheetFormatPr defaultColWidth="8.81640625" defaultRowHeight="14.5"/>
  <cols>
    <col min="1" max="1" width="23.7265625" style="383" customWidth="1"/>
    <col min="2" max="2" width="12.7265625" style="383" customWidth="1"/>
    <col min="3" max="3" width="16.7265625" style="383" customWidth="1"/>
    <col min="4" max="11" width="12.26953125" style="383" customWidth="1"/>
    <col min="12" max="16384" width="8.81640625" style="383"/>
  </cols>
  <sheetData>
    <row r="1" spans="1:13" s="220" customFormat="1" ht="18.5">
      <c r="A1" s="221" t="s">
        <v>728</v>
      </c>
      <c r="B1" s="221"/>
      <c r="D1" s="221" t="s">
        <v>874</v>
      </c>
      <c r="H1" s="221" t="s">
        <v>875</v>
      </c>
    </row>
    <row r="2" spans="1:13" s="220" customFormat="1" ht="18.5">
      <c r="A2" s="221"/>
      <c r="B2" s="221"/>
      <c r="D2" s="221" t="s">
        <v>805</v>
      </c>
      <c r="H2" s="221" t="s">
        <v>876</v>
      </c>
    </row>
    <row r="3" spans="1:13" s="220" customFormat="1" ht="18.5">
      <c r="A3" s="221"/>
      <c r="B3" s="221"/>
      <c r="D3" s="221" t="s">
        <v>806</v>
      </c>
      <c r="H3" s="221" t="s">
        <v>877</v>
      </c>
    </row>
    <row r="4" spans="1:13" s="220" customFormat="1" ht="19" thickBot="1">
      <c r="A4" s="221"/>
      <c r="B4" s="221"/>
      <c r="D4" s="221"/>
    </row>
    <row r="5" spans="1:13" s="220" customFormat="1" ht="13.5" thickBot="1">
      <c r="A5" s="593" t="s">
        <v>220</v>
      </c>
      <c r="B5" s="594" t="s">
        <v>221</v>
      </c>
      <c r="C5" s="224" t="s">
        <v>222</v>
      </c>
      <c r="D5" s="595"/>
      <c r="E5" s="595"/>
      <c r="F5" s="595"/>
      <c r="G5" s="596"/>
      <c r="H5" s="1544" t="s">
        <v>223</v>
      </c>
      <c r="I5" s="1544"/>
      <c r="J5" s="1544"/>
      <c r="K5" s="226" t="s">
        <v>224</v>
      </c>
    </row>
    <row r="6" spans="1:13" s="220" customFormat="1" ht="13">
      <c r="A6" s="599" t="s">
        <v>194</v>
      </c>
      <c r="B6" s="657" t="s">
        <v>375</v>
      </c>
      <c r="C6" s="549" t="s">
        <v>807</v>
      </c>
      <c r="D6" s="549"/>
      <c r="E6" s="549"/>
      <c r="F6" s="658"/>
      <c r="G6" s="598"/>
      <c r="H6" s="246"/>
      <c r="I6" s="231" t="s">
        <v>384</v>
      </c>
      <c r="J6" s="962">
        <v>2347</v>
      </c>
      <c r="K6" s="694" t="s">
        <v>974</v>
      </c>
    </row>
    <row r="7" spans="1:13" s="220" customFormat="1" ht="13">
      <c r="A7" s="601"/>
      <c r="B7" s="660"/>
      <c r="C7" s="744" t="s">
        <v>731</v>
      </c>
      <c r="F7" s="661"/>
      <c r="G7" s="236"/>
      <c r="H7" s="235"/>
      <c r="I7" s="659" t="s">
        <v>376</v>
      </c>
      <c r="J7" s="943">
        <v>3000</v>
      </c>
      <c r="K7" s="663" t="s">
        <v>975</v>
      </c>
      <c r="L7" s="259"/>
    </row>
    <row r="8" spans="1:13" s="220" customFormat="1" ht="13">
      <c r="A8" s="601"/>
      <c r="B8" s="660"/>
      <c r="C8" s="744" t="s">
        <v>732</v>
      </c>
      <c r="F8" s="661"/>
      <c r="G8" s="236"/>
      <c r="H8" s="235"/>
      <c r="I8" s="659" t="s">
        <v>377</v>
      </c>
      <c r="J8" s="662">
        <f>J7/J9</f>
        <v>1.3636363636363635</v>
      </c>
      <c r="K8" s="663" t="s">
        <v>976</v>
      </c>
    </row>
    <row r="9" spans="1:13" s="220" customFormat="1" ht="13">
      <c r="A9" s="601"/>
      <c r="B9" s="660"/>
      <c r="C9" s="744"/>
      <c r="F9" s="661"/>
      <c r="G9" s="664"/>
      <c r="H9" s="665"/>
      <c r="I9" s="666" t="s">
        <v>378</v>
      </c>
      <c r="J9" s="665">
        <v>2200</v>
      </c>
      <c r="K9" s="667" t="s">
        <v>240</v>
      </c>
    </row>
    <row r="10" spans="1:13" s="220" customFormat="1" ht="13.5" thickBot="1">
      <c r="A10" s="603"/>
      <c r="B10" s="668"/>
      <c r="C10" s="604"/>
      <c r="D10" s="604"/>
      <c r="E10" s="604"/>
      <c r="F10" s="669"/>
      <c r="G10" s="242"/>
      <c r="H10" s="241"/>
      <c r="I10" s="243" t="s">
        <v>137</v>
      </c>
      <c r="J10" s="241">
        <v>8760</v>
      </c>
      <c r="K10" s="244" t="s">
        <v>240</v>
      </c>
    </row>
    <row r="11" spans="1:13" s="220" customFormat="1" ht="13">
      <c r="A11" s="599"/>
      <c r="B11" s="549"/>
      <c r="C11" s="549"/>
      <c r="D11" s="549"/>
      <c r="E11" s="549"/>
      <c r="F11" s="549"/>
      <c r="G11" s="549"/>
      <c r="H11" s="549"/>
      <c r="I11" s="600" t="s">
        <v>808</v>
      </c>
      <c r="J11" s="220">
        <v>60</v>
      </c>
      <c r="K11" s="553" t="s">
        <v>272</v>
      </c>
    </row>
    <row r="12" spans="1:13" s="220" customFormat="1" ht="13">
      <c r="A12" s="601"/>
      <c r="I12" s="307" t="s">
        <v>809</v>
      </c>
      <c r="J12" s="602">
        <v>84</v>
      </c>
      <c r="K12" s="553" t="s">
        <v>272</v>
      </c>
    </row>
    <row r="13" spans="1:13" s="220" customFormat="1" ht="13.5" thickBot="1">
      <c r="A13" s="601"/>
      <c r="I13" s="307" t="s">
        <v>689</v>
      </c>
      <c r="J13" s="602">
        <v>84</v>
      </c>
      <c r="K13" s="553" t="s">
        <v>272</v>
      </c>
    </row>
    <row r="14" spans="1:13" s="220" customFormat="1" ht="13">
      <c r="A14" s="599" t="s">
        <v>810</v>
      </c>
      <c r="B14" s="657" t="s">
        <v>811</v>
      </c>
      <c r="C14" s="549" t="s">
        <v>812</v>
      </c>
      <c r="D14" s="549"/>
      <c r="E14" s="549"/>
      <c r="F14" s="658"/>
      <c r="G14" s="670"/>
      <c r="H14" s="549"/>
      <c r="I14" s="600" t="s">
        <v>379</v>
      </c>
      <c r="J14" s="747">
        <f>ROUNDUP(J11%*J12%*100,0)</f>
        <v>51</v>
      </c>
      <c r="K14" s="550" t="s">
        <v>272</v>
      </c>
      <c r="M14" s="607"/>
    </row>
    <row r="15" spans="1:13" s="220" customFormat="1" ht="13.5" thickBot="1">
      <c r="A15" s="603"/>
      <c r="B15" s="668"/>
      <c r="C15" s="604"/>
      <c r="D15" s="604"/>
      <c r="E15" s="604"/>
      <c r="F15" s="604"/>
      <c r="G15" s="671"/>
      <c r="H15" s="604"/>
      <c r="I15" s="605" t="s">
        <v>734</v>
      </c>
      <c r="J15" s="697">
        <f>ROUNDUP(J11%*J13%*100,0)</f>
        <v>51</v>
      </c>
      <c r="K15" s="609" t="s">
        <v>272</v>
      </c>
      <c r="L15" s="259"/>
    </row>
    <row r="16" spans="1:13" s="220" customFormat="1" ht="13">
      <c r="A16" s="1558" t="s">
        <v>1042</v>
      </c>
      <c r="B16" s="1558"/>
      <c r="C16" s="1558"/>
      <c r="D16" s="1558"/>
      <c r="E16" s="1558"/>
      <c r="F16" s="1558"/>
      <c r="G16" s="1558"/>
      <c r="H16" s="1558"/>
      <c r="I16" s="1558"/>
      <c r="J16" s="1558"/>
      <c r="K16" s="1558"/>
    </row>
    <row r="17" spans="1:20" s="220" customFormat="1" ht="13">
      <c r="A17" s="1387"/>
      <c r="B17" s="1387"/>
      <c r="C17" s="1387"/>
      <c r="D17" s="1387"/>
      <c r="E17" s="1387"/>
      <c r="F17" s="1387"/>
      <c r="G17" s="1387"/>
      <c r="H17" s="1387"/>
      <c r="I17" s="1387"/>
      <c r="J17" s="1387"/>
      <c r="K17" s="1387"/>
    </row>
    <row r="18" spans="1:20" s="220" customFormat="1" ht="13">
      <c r="A18" s="1387"/>
      <c r="B18" s="1387"/>
      <c r="C18" s="1387"/>
      <c r="D18" s="1387"/>
      <c r="E18" s="1387"/>
      <c r="F18" s="1387"/>
      <c r="G18" s="1387"/>
      <c r="H18" s="1387"/>
      <c r="I18" s="1387"/>
      <c r="J18" s="1387"/>
      <c r="K18" s="1387"/>
    </row>
    <row r="19" spans="1:20" s="220" customFormat="1" ht="13">
      <c r="B19" s="588">
        <v>2022</v>
      </c>
      <c r="C19" s="588">
        <v>2023</v>
      </c>
      <c r="D19" s="588">
        <v>2024</v>
      </c>
      <c r="E19" s="588"/>
      <c r="O19" s="722"/>
    </row>
    <row r="20" spans="1:20" s="220" customFormat="1" ht="13">
      <c r="B20" s="428">
        <f>'Materials Usage Records'!D28+'Materials Usage Records'!D29</f>
        <v>332.61</v>
      </c>
      <c r="C20" s="428">
        <f>'Materials Usage Records'!F28+'Materials Usage Records'!F29</f>
        <v>287.13</v>
      </c>
      <c r="D20" s="428">
        <f>'Materials Usage Records'!H28+'Materials Usage Records'!H29</f>
        <v>304.64</v>
      </c>
      <c r="E20" s="220" t="s">
        <v>850</v>
      </c>
      <c r="O20" s="722"/>
    </row>
    <row r="21" spans="1:20" s="220" customFormat="1" ht="13">
      <c r="A21" s="220" t="s">
        <v>1072</v>
      </c>
    </row>
    <row r="22" spans="1:20" s="220" customFormat="1" ht="13">
      <c r="A22" s="220" t="s">
        <v>869</v>
      </c>
      <c r="K22" s="722"/>
    </row>
    <row r="23" spans="1:20" s="220" customFormat="1" ht="13.5" thickBot="1"/>
    <row r="24" spans="1:20" ht="66" thickBot="1">
      <c r="A24" s="672" t="s">
        <v>70</v>
      </c>
      <c r="B24" s="402" t="s">
        <v>353</v>
      </c>
      <c r="C24" s="402" t="s">
        <v>1</v>
      </c>
      <c r="D24" s="403" t="s">
        <v>254</v>
      </c>
      <c r="E24" s="269" t="s">
        <v>255</v>
      </c>
      <c r="F24" s="270" t="s">
        <v>256</v>
      </c>
      <c r="G24" s="270" t="s">
        <v>329</v>
      </c>
      <c r="H24" s="673" t="s">
        <v>330</v>
      </c>
      <c r="I24" s="269" t="s">
        <v>331</v>
      </c>
      <c r="J24" s="271" t="s">
        <v>332</v>
      </c>
      <c r="K24" s="673" t="s">
        <v>333</v>
      </c>
      <c r="M24" s="406"/>
      <c r="N24" s="406"/>
      <c r="O24" s="406"/>
      <c r="P24" s="406"/>
      <c r="Q24" s="406"/>
      <c r="R24" s="406"/>
      <c r="S24" s="407"/>
    </row>
    <row r="25" spans="1:20">
      <c r="A25" s="674" t="s">
        <v>19</v>
      </c>
      <c r="B25" s="645">
        <v>3.2</v>
      </c>
      <c r="C25" s="645" t="s">
        <v>930</v>
      </c>
      <c r="D25" s="675" t="s">
        <v>357</v>
      </c>
      <c r="E25" s="277">
        <f>IFERROR(B25*$J$8,0)</f>
        <v>4.3636363636363633</v>
      </c>
      <c r="F25" s="280">
        <f>E25*8760/2000</f>
        <v>19.112727272727273</v>
      </c>
      <c r="G25" s="646">
        <f>IFERROR(B25*$J$8*(1-$J$14%),0)</f>
        <v>2.1381818181818182</v>
      </c>
      <c r="H25" s="676">
        <f>G25*8760/2000</f>
        <v>9.3652363636363649</v>
      </c>
      <c r="I25" s="856">
        <f>IFERROR(B25*$J$7*(1-$J$14%)/2000,0)</f>
        <v>2.3519999999999999</v>
      </c>
      <c r="J25" s="739">
        <f>IFERROR(B25*$J$7*$J$11%*(1-$J$12%)/2000,0)</f>
        <v>0.46080000000000004</v>
      </c>
      <c r="K25" s="316">
        <f>IFERROR(B25*$J$7*(1-$J$11%)/2000,0)</f>
        <v>1.92</v>
      </c>
      <c r="L25" s="411"/>
      <c r="M25" s="407"/>
      <c r="N25" s="395"/>
      <c r="O25" s="395"/>
      <c r="P25" s="395"/>
      <c r="Q25" s="395"/>
      <c r="R25" s="395"/>
      <c r="S25" s="407"/>
    </row>
    <row r="26" spans="1:20">
      <c r="A26" s="413" t="s">
        <v>77</v>
      </c>
      <c r="B26" s="414">
        <f>ROUND(B25*70%,2)</f>
        <v>2.2400000000000002</v>
      </c>
      <c r="C26" s="415" t="s">
        <v>930</v>
      </c>
      <c r="D26" s="286" t="s">
        <v>358</v>
      </c>
      <c r="E26" s="320">
        <f>IFERROR(B26*$J$8,0)</f>
        <v>3.0545454545454547</v>
      </c>
      <c r="F26" s="289">
        <f t="shared" ref="F26:F32" si="0">E26*8760/2000</f>
        <v>13.378909090909092</v>
      </c>
      <c r="G26" s="414">
        <f>IFERROR(B26*$J$8*(1-$J$15%),0)</f>
        <v>1.4967272727272727</v>
      </c>
      <c r="H26" s="677">
        <f>G26*8760/2000</f>
        <v>6.555665454545454</v>
      </c>
      <c r="I26" s="678">
        <f>IFERROR(B26*$J$7*(1-$J$15%)/2000,0)</f>
        <v>1.6464000000000001</v>
      </c>
      <c r="J26" s="295">
        <f>IFERROR(B26*$J$7*$J$11%*(1-$J$13%)/2000,0)</f>
        <v>0.32256000000000012</v>
      </c>
      <c r="K26" s="287">
        <f t="shared" ref="K26:K27" si="1">IFERROR(B26*$J$7*(1-$J$11%)/2000,0)</f>
        <v>1.3440000000000003</v>
      </c>
      <c r="M26" s="395"/>
      <c r="N26" s="395"/>
      <c r="O26" s="395"/>
      <c r="P26" s="395"/>
      <c r="Q26" s="395"/>
      <c r="R26" s="395"/>
      <c r="S26" s="407"/>
    </row>
    <row r="27" spans="1:20">
      <c r="A27" s="413" t="s">
        <v>78</v>
      </c>
      <c r="B27" s="414">
        <f>ROUND(B25*42%,2)</f>
        <v>1.34</v>
      </c>
      <c r="C27" s="415" t="s">
        <v>930</v>
      </c>
      <c r="D27" s="286" t="s">
        <v>358</v>
      </c>
      <c r="E27" s="320">
        <f>IFERROR(B27*$J$8,0)</f>
        <v>1.8272727272727272</v>
      </c>
      <c r="F27" s="289">
        <f t="shared" si="0"/>
        <v>8.0034545454545452</v>
      </c>
      <c r="G27" s="414">
        <f>IFERROR(B27*$J$8*(1-$J$15%),0)</f>
        <v>0.89536363636363625</v>
      </c>
      <c r="H27" s="677">
        <f>G27*8760/2000</f>
        <v>3.9216927272727267</v>
      </c>
      <c r="I27" s="678">
        <f>IFERROR(B27*$J$7*(1-$J$15%)/2000,0)</f>
        <v>0.98490000000000011</v>
      </c>
      <c r="J27" s="295">
        <f>IFERROR(B27*$J$7*$J$11%*(1-$J$13%)/2000,0)</f>
        <v>0.19296000000000005</v>
      </c>
      <c r="K27" s="287">
        <f t="shared" si="1"/>
        <v>0.80400000000000016</v>
      </c>
      <c r="M27" s="395"/>
      <c r="N27" s="395"/>
      <c r="O27" s="395"/>
      <c r="P27" s="395"/>
      <c r="Q27" s="395"/>
      <c r="R27" s="395"/>
      <c r="S27" s="395"/>
      <c r="T27" s="407"/>
    </row>
    <row r="28" spans="1:20">
      <c r="A28" s="413" t="s">
        <v>79</v>
      </c>
      <c r="B28" s="679" t="s">
        <v>262</v>
      </c>
      <c r="C28" s="415" t="s">
        <v>262</v>
      </c>
      <c r="D28" s="418" t="s">
        <v>262</v>
      </c>
      <c r="E28" s="680" t="s">
        <v>262</v>
      </c>
      <c r="F28" s="418" t="s">
        <v>262</v>
      </c>
      <c r="G28" s="417" t="s">
        <v>262</v>
      </c>
      <c r="H28" s="681" t="s">
        <v>262</v>
      </c>
      <c r="I28" s="682" t="s">
        <v>262</v>
      </c>
      <c r="J28" s="740" t="s">
        <v>262</v>
      </c>
      <c r="K28" s="738" t="s">
        <v>262</v>
      </c>
      <c r="M28" s="406"/>
      <c r="N28" s="406"/>
      <c r="O28" s="406"/>
      <c r="P28" s="406"/>
      <c r="Q28" s="406"/>
      <c r="R28" s="406"/>
      <c r="S28" s="406"/>
      <c r="T28" s="407"/>
    </row>
    <row r="29" spans="1:20">
      <c r="A29" s="1038" t="s">
        <v>80</v>
      </c>
      <c r="B29" s="679" t="s">
        <v>262</v>
      </c>
      <c r="C29" s="415" t="s">
        <v>262</v>
      </c>
      <c r="D29" s="418" t="s">
        <v>262</v>
      </c>
      <c r="E29" s="680" t="s">
        <v>262</v>
      </c>
      <c r="F29" s="418" t="s">
        <v>262</v>
      </c>
      <c r="G29" s="417" t="s">
        <v>262</v>
      </c>
      <c r="H29" s="681" t="s">
        <v>262</v>
      </c>
      <c r="I29" s="682" t="s">
        <v>262</v>
      </c>
      <c r="J29" s="740" t="s">
        <v>262</v>
      </c>
      <c r="K29" s="738" t="s">
        <v>262</v>
      </c>
      <c r="M29" s="406"/>
      <c r="N29" s="406"/>
      <c r="O29" s="406"/>
      <c r="P29" s="406"/>
      <c r="Q29" s="406"/>
      <c r="R29" s="406"/>
      <c r="S29" s="406"/>
      <c r="T29" s="407"/>
    </row>
    <row r="30" spans="1:20">
      <c r="A30" s="413" t="s">
        <v>81</v>
      </c>
      <c r="B30" s="683" t="s">
        <v>262</v>
      </c>
      <c r="C30" s="415" t="s">
        <v>262</v>
      </c>
      <c r="D30" s="418" t="s">
        <v>262</v>
      </c>
      <c r="E30" s="680" t="s">
        <v>262</v>
      </c>
      <c r="F30" s="684" t="s">
        <v>262</v>
      </c>
      <c r="G30" s="685" t="s">
        <v>262</v>
      </c>
      <c r="H30" s="686" t="s">
        <v>262</v>
      </c>
      <c r="I30" s="682" t="s">
        <v>262</v>
      </c>
      <c r="J30" s="295" t="s">
        <v>262</v>
      </c>
      <c r="K30" s="738" t="s">
        <v>262</v>
      </c>
      <c r="M30" s="395"/>
      <c r="N30" s="395"/>
      <c r="O30" s="395"/>
      <c r="P30" s="395"/>
      <c r="Q30" s="395"/>
      <c r="R30" s="395"/>
      <c r="S30" s="395"/>
      <c r="T30" s="407"/>
    </row>
    <row r="31" spans="1:20">
      <c r="A31" s="413" t="s">
        <v>82</v>
      </c>
      <c r="B31" s="414">
        <v>1.2</v>
      </c>
      <c r="C31" s="415" t="s">
        <v>930</v>
      </c>
      <c r="D31" s="286" t="s">
        <v>358</v>
      </c>
      <c r="E31" s="320">
        <f t="shared" ref="E31" si="2">IFERROR(B31*$J$8,0)</f>
        <v>1.6363636363636362</v>
      </c>
      <c r="F31" s="289">
        <f t="shared" ref="F31" si="3">E31*8760/2000</f>
        <v>7.167272727272727</v>
      </c>
      <c r="G31" s="414">
        <f>IFERROR(B31*$J$8,0)</f>
        <v>1.6363636363636362</v>
      </c>
      <c r="H31" s="677">
        <f t="shared" ref="H31:H38" si="4">G31*8760/2000</f>
        <v>7.167272727272727</v>
      </c>
      <c r="I31" s="678">
        <f>IFERROR(B31*$J$7/2000,0)</f>
        <v>1.8</v>
      </c>
      <c r="J31" s="295">
        <f>IFERROR(B31*J12/2000,0)</f>
        <v>5.04E-2</v>
      </c>
      <c r="K31" s="287">
        <f>IFERROR(B31*$J$7/2000,0)</f>
        <v>1.8</v>
      </c>
      <c r="M31" s="395"/>
      <c r="N31" s="395"/>
      <c r="O31" s="395"/>
      <c r="P31" s="395"/>
      <c r="Q31" s="395"/>
      <c r="R31" s="395"/>
      <c r="S31" s="395"/>
      <c r="T31" s="407"/>
    </row>
    <row r="32" spans="1:20">
      <c r="A32" s="413" t="s">
        <v>83</v>
      </c>
      <c r="B32" s="420">
        <f>ROUND(B43/100*$B$25,3)</f>
        <v>0.16</v>
      </c>
      <c r="C32" s="415" t="s">
        <v>930</v>
      </c>
      <c r="D32" s="286" t="s">
        <v>259</v>
      </c>
      <c r="E32" s="320">
        <f>IFERROR(B32*$J$8,0)</f>
        <v>0.21818181818181817</v>
      </c>
      <c r="F32" s="295">
        <f t="shared" si="0"/>
        <v>0.95563636363636362</v>
      </c>
      <c r="G32" s="420">
        <f>IFERROR(B32*$J$8*(1-$J$15%),0)</f>
        <v>0.1069090909090909</v>
      </c>
      <c r="H32" s="687">
        <f t="shared" si="4"/>
        <v>0.46826181818181811</v>
      </c>
      <c r="I32" s="688">
        <f>IFERROR(B32*$J$7*(1-$J$15%)/2000,0)</f>
        <v>0.1176</v>
      </c>
      <c r="J32" s="295">
        <f>IFERROR(B32*$J$7*$J$11%*(1-$J$13%)/2000,0)</f>
        <v>2.3040000000000005E-2</v>
      </c>
      <c r="K32" s="738">
        <f>IFERROR(B32*$J$7*(1-$J$11%)/2000,0)</f>
        <v>9.6000000000000002E-2</v>
      </c>
    </row>
    <row r="33" spans="1:11">
      <c r="A33" s="413" t="s">
        <v>84</v>
      </c>
      <c r="B33" s="711"/>
      <c r="C33" s="711"/>
      <c r="D33" s="286" t="s">
        <v>336</v>
      </c>
      <c r="E33" s="688">
        <f>SUM(E34:E38)+E32</f>
        <v>0.5827667488004149</v>
      </c>
      <c r="F33" s="420">
        <f>SUM(F34:F38)+F32</f>
        <v>2.5525183597458172</v>
      </c>
      <c r="G33" s="420">
        <f>SUM(G34:G38)+G32</f>
        <v>0.28555570691220333</v>
      </c>
      <c r="H33" s="687">
        <f t="shared" si="4"/>
        <v>1.2507339962754507</v>
      </c>
      <c r="I33" s="297">
        <f>SUM(I34:I38)+I32</f>
        <v>0.31411127760342367</v>
      </c>
      <c r="J33" s="420">
        <f>SUM(J34:J38)+J32</f>
        <v>6.1540168673323833E-2</v>
      </c>
      <c r="K33" s="293">
        <f>SUM(K34:K38)+K32</f>
        <v>0.25641736947218263</v>
      </c>
    </row>
    <row r="34" spans="1:11">
      <c r="A34" s="283" t="s">
        <v>265</v>
      </c>
      <c r="B34" s="420">
        <f>B44/100*$B$25</f>
        <v>1.2800000000000002E-4</v>
      </c>
      <c r="C34" s="415" t="s">
        <v>930</v>
      </c>
      <c r="D34" s="286" t="s">
        <v>259</v>
      </c>
      <c r="E34" s="297">
        <f>IFERROR(B34*$J$8,0)</f>
        <v>1.7454545454545457E-4</v>
      </c>
      <c r="F34" s="295">
        <f t="shared" ref="F34:F38" si="5">E34*8760/2000</f>
        <v>7.6450909090909104E-4</v>
      </c>
      <c r="G34" s="420">
        <f>IFERROR(B34*$J$8*(1-$J$15%),0)</f>
        <v>8.5527272727272741E-5</v>
      </c>
      <c r="H34" s="687">
        <f t="shared" si="4"/>
        <v>3.7460945454545464E-4</v>
      </c>
      <c r="I34" s="688">
        <f>IFERROR(B34*$J$7*(1-$J$15%)/2000,0)</f>
        <v>9.4080000000000007E-5</v>
      </c>
      <c r="J34" s="295">
        <f>IFERROR(B34*$J$7*$J$11%*(1-$J$13%)/2000,0)</f>
        <v>1.8432000000000002E-5</v>
      </c>
      <c r="K34" s="293">
        <f>IFERROR(B34*$J$7*(1-$J$11%)/2000,0)</f>
        <v>7.6800000000000024E-5</v>
      </c>
    </row>
    <row r="35" spans="1:11">
      <c r="A35" s="283" t="s">
        <v>266</v>
      </c>
      <c r="B35" s="420">
        <f>B45/100*$B$25</f>
        <v>3.2000000000000005E-5</v>
      </c>
      <c r="C35" s="415" t="s">
        <v>930</v>
      </c>
      <c r="D35" s="286" t="s">
        <v>259</v>
      </c>
      <c r="E35" s="297">
        <f>IFERROR(B35*$J$8,0)</f>
        <v>4.3636363636363642E-5</v>
      </c>
      <c r="F35" s="295">
        <f t="shared" si="5"/>
        <v>1.9112727272727276E-4</v>
      </c>
      <c r="G35" s="420">
        <f>IFERROR(B35*$J$8*(1-$J$15%),0)</f>
        <v>2.1381818181818185E-5</v>
      </c>
      <c r="H35" s="687">
        <f t="shared" si="4"/>
        <v>9.365236363636366E-5</v>
      </c>
      <c r="I35" s="688">
        <f>IFERROR(B35*$J$7*(1-$J$15%)/2000,0)</f>
        <v>2.3520000000000002E-5</v>
      </c>
      <c r="J35" s="295">
        <f>IFERROR(B35*$J$7*$J$11%*(1-$J$13%)/2000,0)</f>
        <v>4.6080000000000006E-6</v>
      </c>
      <c r="K35" s="293">
        <f t="shared" ref="K35:K38" si="6">IFERROR(B35*$J$7*(1-$J$11%)/2000,0)</f>
        <v>1.9200000000000006E-5</v>
      </c>
    </row>
    <row r="36" spans="1:11">
      <c r="A36" s="283" t="s">
        <v>267</v>
      </c>
      <c r="B36" s="420">
        <f>B46/100*$B$25</f>
        <v>3.2000000000000002E-3</v>
      </c>
      <c r="C36" s="415" t="s">
        <v>930</v>
      </c>
      <c r="D36" s="286" t="s">
        <v>259</v>
      </c>
      <c r="E36" s="297">
        <f>IFERROR(B36*$J$8,0)</f>
        <v>4.3636363636363638E-3</v>
      </c>
      <c r="F36" s="295">
        <f t="shared" si="5"/>
        <v>1.9112727272727274E-2</v>
      </c>
      <c r="G36" s="420">
        <f>IFERROR(B36*$J$8*(1-$J$15%),0)</f>
        <v>2.1381818181818182E-3</v>
      </c>
      <c r="H36" s="687">
        <f t="shared" si="4"/>
        <v>9.3652363636363631E-3</v>
      </c>
      <c r="I36" s="688">
        <f>IFERROR(B36*$J$7*(1-$J$15%)/2000,0)</f>
        <v>2.3519999999999999E-3</v>
      </c>
      <c r="J36" s="295">
        <f>IFERROR(B36*$J$7*$J$11%*(1-$J$13%)/2000,0)</f>
        <v>4.6080000000000009E-4</v>
      </c>
      <c r="K36" s="293">
        <f t="shared" si="6"/>
        <v>1.9199999999999998E-3</v>
      </c>
    </row>
    <row r="37" spans="1:11">
      <c r="A37" s="283" t="s">
        <v>268</v>
      </c>
      <c r="B37" s="420">
        <f>B47/100*$B$25</f>
        <v>0.12000228245363767</v>
      </c>
      <c r="C37" s="415" t="s">
        <v>930</v>
      </c>
      <c r="D37" s="286" t="s">
        <v>259</v>
      </c>
      <c r="E37" s="297">
        <f>IFERROR(B37*$J$8,0)</f>
        <v>0.16363947607314228</v>
      </c>
      <c r="F37" s="295">
        <f t="shared" si="5"/>
        <v>0.71674090520036315</v>
      </c>
      <c r="G37" s="420">
        <f>IFERROR(B37*$J$8*(1-$J$15%),0)</f>
        <v>8.0183343275839716E-2</v>
      </c>
      <c r="H37" s="687">
        <f t="shared" si="4"/>
        <v>0.35120304354817794</v>
      </c>
      <c r="I37" s="688">
        <f>IFERROR(B37*$J$7*(1-$J$15%)/2000,0)</f>
        <v>8.8201677603423692E-2</v>
      </c>
      <c r="J37" s="295">
        <f>IFERROR(B37*$J$7*$J$11%*(1-$J$13%)/2000,0)</f>
        <v>1.7280328673323828E-2</v>
      </c>
      <c r="K37" s="738">
        <f t="shared" si="6"/>
        <v>7.2001369472182608E-2</v>
      </c>
    </row>
    <row r="38" spans="1:11" ht="15" thickBot="1">
      <c r="A38" s="298" t="s">
        <v>269</v>
      </c>
      <c r="B38" s="655">
        <f>B48/100*$B$25</f>
        <v>0.14399999999999999</v>
      </c>
      <c r="C38" s="654" t="s">
        <v>930</v>
      </c>
      <c r="D38" s="301" t="s">
        <v>259</v>
      </c>
      <c r="E38" s="302">
        <f>IFERROR(B38*$J$8,0)</f>
        <v>0.19636363636363632</v>
      </c>
      <c r="F38" s="305">
        <f t="shared" si="5"/>
        <v>0.8600727272727271</v>
      </c>
      <c r="G38" s="420">
        <f>IFERROR(B38*$J$8*(1-$J$15%),0)</f>
        <v>9.62181818181818E-2</v>
      </c>
      <c r="H38" s="689">
        <f t="shared" si="4"/>
        <v>0.42143563636363629</v>
      </c>
      <c r="I38" s="690">
        <f>IFERROR(B38*$J$7*(1-$J$15%)/2000,0)</f>
        <v>0.10583999999999999</v>
      </c>
      <c r="J38" s="305">
        <f>IFERROR(B38*$J$7*$J$11%*(1-$J$13%)/2000,0)</f>
        <v>2.0735999999999997E-2</v>
      </c>
      <c r="K38" s="741">
        <f t="shared" si="6"/>
        <v>8.6399999999999991E-2</v>
      </c>
    </row>
    <row r="39" spans="1:11" s="220" customFormat="1" ht="13">
      <c r="A39" s="1558" t="s">
        <v>380</v>
      </c>
      <c r="B39" s="1558"/>
      <c r="C39" s="1558"/>
      <c r="D39" s="1558"/>
      <c r="E39" s="1558"/>
      <c r="F39" s="1558"/>
      <c r="G39" s="1558"/>
      <c r="H39" s="1558"/>
      <c r="I39" s="1558"/>
      <c r="J39" s="1558"/>
      <c r="K39" s="1558"/>
    </row>
    <row r="40" spans="1:11" s="220" customFormat="1" ht="13">
      <c r="A40" s="1387"/>
      <c r="B40" s="1387"/>
      <c r="C40" s="1387"/>
      <c r="D40" s="1387"/>
      <c r="E40" s="1387"/>
      <c r="F40" s="1387"/>
      <c r="G40" s="1387"/>
      <c r="H40" s="1387"/>
      <c r="I40" s="1387"/>
      <c r="J40" s="1387"/>
      <c r="K40" s="1387"/>
    </row>
    <row r="41" spans="1:11" s="424" customFormat="1" ht="13">
      <c r="A41" s="424" t="s">
        <v>381</v>
      </c>
    </row>
    <row r="42" spans="1:11">
      <c r="A42" s="424" t="s">
        <v>698</v>
      </c>
      <c r="B42" s="220"/>
      <c r="C42" s="220"/>
      <c r="D42" s="220"/>
      <c r="E42" s="220"/>
      <c r="F42" s="220"/>
      <c r="G42" s="220"/>
      <c r="H42" s="220"/>
      <c r="I42" s="423"/>
      <c r="J42" s="220"/>
      <c r="K42" s="423"/>
    </row>
    <row r="43" spans="1:11">
      <c r="A43" s="307" t="s">
        <v>40</v>
      </c>
      <c r="B43" s="220">
        <f>'Pouring-Casting-Cooling'!B39</f>
        <v>5</v>
      </c>
      <c r="C43" s="220" t="s">
        <v>272</v>
      </c>
      <c r="D43" s="220"/>
      <c r="E43" s="220"/>
      <c r="F43" s="220"/>
      <c r="G43" s="220"/>
      <c r="H43" s="220"/>
      <c r="I43" s="423"/>
      <c r="J43" s="220"/>
      <c r="K43" s="423"/>
    </row>
    <row r="44" spans="1:11">
      <c r="A44" s="307" t="s">
        <v>265</v>
      </c>
      <c r="B44" s="220">
        <f>'Pouring-Casting-Cooling'!B40</f>
        <v>4.0000000000000001E-3</v>
      </c>
      <c r="C44" s="220" t="s">
        <v>272</v>
      </c>
      <c r="D44" s="220"/>
      <c r="E44" s="220"/>
      <c r="F44" s="220"/>
      <c r="G44" s="220"/>
      <c r="H44" s="220"/>
      <c r="I44" s="423"/>
      <c r="J44" s="220"/>
      <c r="K44" s="423"/>
    </row>
    <row r="45" spans="1:11">
      <c r="A45" s="307" t="s">
        <v>266</v>
      </c>
      <c r="B45" s="220">
        <f>'Pouring-Casting-Cooling'!B41</f>
        <v>1E-3</v>
      </c>
      <c r="C45" s="220" t="s">
        <v>272</v>
      </c>
      <c r="D45" s="220"/>
      <c r="E45" s="220"/>
      <c r="F45" s="220"/>
      <c r="G45" s="220"/>
      <c r="H45" s="220"/>
      <c r="I45" s="423"/>
      <c r="J45" s="220"/>
      <c r="K45" s="423"/>
    </row>
    <row r="46" spans="1:11">
      <c r="A46" s="307" t="s">
        <v>267</v>
      </c>
      <c r="B46" s="220">
        <f>'Pouring-Casting-Cooling'!B42</f>
        <v>0.1</v>
      </c>
      <c r="C46" s="220" t="s">
        <v>272</v>
      </c>
      <c r="D46" s="220"/>
      <c r="E46" s="220"/>
      <c r="F46" s="220"/>
      <c r="G46" s="220"/>
      <c r="H46" s="220"/>
      <c r="I46" s="423"/>
      <c r="J46" s="220"/>
      <c r="K46" s="423"/>
    </row>
    <row r="47" spans="1:11">
      <c r="A47" s="307" t="s">
        <v>268</v>
      </c>
      <c r="B47" s="425">
        <f>'Pouring-Casting-Cooling'!B43</f>
        <v>3.7500713266761769</v>
      </c>
      <c r="C47" s="220" t="s">
        <v>272</v>
      </c>
      <c r="D47" s="220"/>
      <c r="E47" s="220"/>
      <c r="F47" s="220"/>
      <c r="G47" s="220"/>
      <c r="H47" s="220"/>
      <c r="I47" s="423"/>
      <c r="J47" s="220"/>
      <c r="K47" s="423"/>
    </row>
    <row r="48" spans="1:11">
      <c r="A48" s="307" t="s">
        <v>269</v>
      </c>
      <c r="B48" s="220">
        <f>'Pouring-Casting-Cooling'!B44</f>
        <v>4.5</v>
      </c>
      <c r="C48" s="220" t="s">
        <v>272</v>
      </c>
      <c r="D48" s="220"/>
      <c r="E48" s="220"/>
      <c r="F48" s="220"/>
      <c r="G48" s="220"/>
      <c r="H48" s="220"/>
      <c r="I48" s="423"/>
      <c r="J48" s="220"/>
      <c r="K48" s="423"/>
    </row>
    <row r="49" spans="1:8">
      <c r="A49" s="220" t="s">
        <v>680</v>
      </c>
      <c r="B49" s="426"/>
      <c r="C49" s="426"/>
      <c r="D49" s="426"/>
      <c r="E49" s="426"/>
      <c r="F49" s="426"/>
      <c r="G49" s="426"/>
      <c r="H49" s="426"/>
    </row>
    <row r="50" spans="1:8">
      <c r="A50" s="426"/>
      <c r="B50" s="426"/>
      <c r="C50" s="426"/>
      <c r="D50" s="426"/>
      <c r="E50" s="426"/>
      <c r="F50" s="426"/>
      <c r="G50" s="426"/>
      <c r="H50" s="426"/>
    </row>
    <row r="51" spans="1:8">
      <c r="A51" s="426"/>
      <c r="B51" s="426"/>
      <c r="C51" s="426"/>
      <c r="D51" s="426"/>
      <c r="E51" s="426"/>
      <c r="F51" s="426"/>
      <c r="G51" s="426"/>
      <c r="H51" s="426"/>
    </row>
    <row r="52" spans="1:8">
      <c r="A52" s="426"/>
      <c r="B52" s="426"/>
      <c r="C52" s="426"/>
      <c r="D52" s="426"/>
      <c r="E52" s="426"/>
      <c r="F52" s="426"/>
      <c r="G52" s="426"/>
      <c r="H52" s="426"/>
    </row>
    <row r="53" spans="1:8">
      <c r="A53" s="426"/>
      <c r="B53" s="426"/>
      <c r="C53" s="426"/>
      <c r="D53" s="426"/>
      <c r="E53" s="426"/>
      <c r="F53" s="426"/>
      <c r="G53" s="426"/>
      <c r="H53" s="426"/>
    </row>
  </sheetData>
  <mergeCells count="3">
    <mergeCell ref="H5:J5"/>
    <mergeCell ref="A39:K40"/>
    <mergeCell ref="A16:K18"/>
  </mergeCells>
  <phoneticPr fontId="0" type="noConversion"/>
  <pageMargins left="0.7" right="0.7" top="0.75" bottom="0.75" header="0.3" footer="0.3"/>
  <pageSetup scale="8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rowBreaks count="1" manualBreakCount="1">
    <brk id="2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99D79-E8D7-4745-B60D-9D7A56FFBCDD}">
  <sheetPr codeName="Sheet18"/>
  <dimension ref="A1:T53"/>
  <sheetViews>
    <sheetView topLeftCell="A55" zoomScaleNormal="100" workbookViewId="0">
      <selection activeCell="D89" sqref="D89"/>
    </sheetView>
  </sheetViews>
  <sheetFormatPr defaultColWidth="8.81640625" defaultRowHeight="14.5"/>
  <cols>
    <col min="1" max="1" width="23.7265625" style="383" customWidth="1"/>
    <col min="2" max="2" width="12.7265625" style="383" customWidth="1"/>
    <col min="3" max="3" width="16.7265625" style="383" customWidth="1"/>
    <col min="4" max="11" width="12.26953125" style="383" customWidth="1"/>
    <col min="12" max="16384" width="8.81640625" style="383"/>
  </cols>
  <sheetData>
    <row r="1" spans="1:14" s="220" customFormat="1" ht="18.5">
      <c r="A1" s="221" t="s">
        <v>945</v>
      </c>
      <c r="B1" s="221"/>
      <c r="D1" s="221" t="s">
        <v>870</v>
      </c>
      <c r="H1" s="742"/>
    </row>
    <row r="2" spans="1:14" s="220" customFormat="1" ht="18.5">
      <c r="A2" s="221" t="s">
        <v>730</v>
      </c>
      <c r="B2" s="221"/>
      <c r="D2" s="221" t="s">
        <v>944</v>
      </c>
      <c r="G2" s="259"/>
      <c r="H2" s="221"/>
    </row>
    <row r="3" spans="1:14" s="220" customFormat="1" ht="18.5">
      <c r="A3" s="221"/>
      <c r="B3" s="221"/>
      <c r="D3" s="221"/>
    </row>
    <row r="4" spans="1:14" s="220" customFormat="1" ht="19" thickBot="1">
      <c r="A4" s="221"/>
      <c r="B4" s="221"/>
      <c r="D4" s="221"/>
    </row>
    <row r="5" spans="1:14" s="220" customFormat="1" ht="13.5" thickBot="1">
      <c r="A5" s="593" t="s">
        <v>220</v>
      </c>
      <c r="B5" s="594" t="s">
        <v>221</v>
      </c>
      <c r="C5" s="224" t="s">
        <v>222</v>
      </c>
      <c r="D5" s="595"/>
      <c r="E5" s="595"/>
      <c r="F5" s="595"/>
      <c r="G5" s="596"/>
      <c r="H5" s="1544" t="s">
        <v>223</v>
      </c>
      <c r="I5" s="1544"/>
      <c r="J5" s="1544"/>
      <c r="K5" s="226" t="s">
        <v>224</v>
      </c>
    </row>
    <row r="6" spans="1:14" s="220" customFormat="1" ht="13">
      <c r="A6" s="599" t="s">
        <v>310</v>
      </c>
      <c r="B6" s="899" t="s">
        <v>851</v>
      </c>
      <c r="C6" s="549" t="s">
        <v>946</v>
      </c>
      <c r="D6" s="549"/>
      <c r="E6" s="549"/>
      <c r="F6" s="658"/>
      <c r="G6" s="598"/>
      <c r="H6" s="246"/>
      <c r="I6" s="659" t="s">
        <v>376</v>
      </c>
      <c r="J6" s="745">
        <f>'Shakeout, Green Sand'!J7</f>
        <v>3000</v>
      </c>
      <c r="K6" s="746" t="s">
        <v>228</v>
      </c>
      <c r="L6" s="259"/>
    </row>
    <row r="7" spans="1:14" s="220" customFormat="1" ht="13">
      <c r="A7" s="601"/>
      <c r="B7" s="660"/>
      <c r="C7" s="941" t="s">
        <v>929</v>
      </c>
      <c r="F7" s="661"/>
      <c r="G7" s="236"/>
      <c r="H7" s="235"/>
      <c r="I7" s="659" t="s">
        <v>377</v>
      </c>
      <c r="J7" s="662">
        <f>J6/J8</f>
        <v>1.3636363636363635</v>
      </c>
      <c r="K7" s="663" t="s">
        <v>236</v>
      </c>
      <c r="M7" s="259"/>
      <c r="N7" s="743"/>
    </row>
    <row r="8" spans="1:14" s="220" customFormat="1" ht="13">
      <c r="A8" s="601"/>
      <c r="B8" s="660"/>
      <c r="F8" s="661"/>
      <c r="G8" s="664"/>
      <c r="H8" s="665"/>
      <c r="I8" s="666" t="s">
        <v>378</v>
      </c>
      <c r="J8" s="665">
        <v>2200</v>
      </c>
      <c r="K8" s="667" t="s">
        <v>240</v>
      </c>
      <c r="M8" s="259"/>
    </row>
    <row r="9" spans="1:14" s="220" customFormat="1" ht="13.5" thickBot="1">
      <c r="A9" s="603"/>
      <c r="B9" s="668"/>
      <c r="C9" s="604"/>
      <c r="D9" s="604"/>
      <c r="E9" s="604"/>
      <c r="F9" s="669"/>
      <c r="G9" s="242"/>
      <c r="H9" s="241"/>
      <c r="I9" s="243" t="s">
        <v>137</v>
      </c>
      <c r="J9" s="241">
        <v>8760</v>
      </c>
      <c r="K9" s="244" t="s">
        <v>240</v>
      </c>
    </row>
    <row r="10" spans="1:14" s="220" customFormat="1" ht="13">
      <c r="A10" s="599"/>
      <c r="B10" s="549"/>
      <c r="C10" s="549"/>
      <c r="D10" s="549"/>
      <c r="E10" s="549"/>
      <c r="F10" s="549"/>
      <c r="G10" s="549"/>
      <c r="H10" s="549"/>
      <c r="I10" s="600" t="s">
        <v>687</v>
      </c>
      <c r="J10" s="220">
        <v>60</v>
      </c>
      <c r="K10" s="553" t="s">
        <v>272</v>
      </c>
    </row>
    <row r="11" spans="1:14" s="220" customFormat="1" ht="13">
      <c r="A11" s="601"/>
      <c r="I11" s="307" t="s">
        <v>688</v>
      </c>
      <c r="J11" s="602">
        <v>99</v>
      </c>
      <c r="K11" s="553" t="s">
        <v>272</v>
      </c>
    </row>
    <row r="12" spans="1:14" s="220" customFormat="1" ht="13.5" thickBot="1">
      <c r="A12" s="601"/>
      <c r="I12" s="307" t="s">
        <v>689</v>
      </c>
      <c r="J12" s="602">
        <v>93</v>
      </c>
      <c r="K12" s="553" t="s">
        <v>272</v>
      </c>
    </row>
    <row r="13" spans="1:14" s="220" customFormat="1" ht="13">
      <c r="A13" s="599" t="s">
        <v>310</v>
      </c>
      <c r="B13" s="899" t="s">
        <v>943</v>
      </c>
      <c r="C13" s="549" t="s">
        <v>306</v>
      </c>
      <c r="D13" s="549"/>
      <c r="E13" s="549"/>
      <c r="F13" s="549"/>
      <c r="G13" s="670"/>
      <c r="H13" s="549"/>
      <c r="I13" s="600" t="s">
        <v>379</v>
      </c>
      <c r="J13" s="747">
        <f>J10%*J11%*100</f>
        <v>59.4</v>
      </c>
      <c r="K13" s="550" t="s">
        <v>272</v>
      </c>
      <c r="M13" s="607"/>
    </row>
    <row r="14" spans="1:14" s="220" customFormat="1" ht="13.5" thickBot="1">
      <c r="A14" s="603"/>
      <c r="B14" s="668"/>
      <c r="C14" s="604"/>
      <c r="D14" s="604"/>
      <c r="E14" s="604"/>
      <c r="F14" s="604"/>
      <c r="G14" s="671"/>
      <c r="H14" s="604"/>
      <c r="I14" s="605" t="s">
        <v>734</v>
      </c>
      <c r="J14" s="697">
        <f>J10%*J12%*100</f>
        <v>55.800000000000004</v>
      </c>
      <c r="K14" s="609" t="s">
        <v>272</v>
      </c>
    </row>
    <row r="15" spans="1:14" s="220" customFormat="1" ht="13">
      <c r="A15" s="1558" t="s">
        <v>1042</v>
      </c>
      <c r="B15" s="1558"/>
      <c r="C15" s="1558"/>
      <c r="D15" s="1558"/>
      <c r="E15" s="1558"/>
      <c r="F15" s="1558"/>
      <c r="G15" s="1558"/>
      <c r="H15" s="1558"/>
      <c r="I15" s="1558"/>
      <c r="J15" s="1558"/>
      <c r="K15" s="1558"/>
    </row>
    <row r="16" spans="1:14" s="220" customFormat="1" ht="13">
      <c r="A16" s="1387"/>
      <c r="B16" s="1387"/>
      <c r="C16" s="1387"/>
      <c r="D16" s="1387"/>
      <c r="E16" s="1387"/>
      <c r="F16" s="1387"/>
      <c r="G16" s="1387"/>
      <c r="H16" s="1387"/>
      <c r="I16" s="1387"/>
      <c r="J16" s="1387"/>
      <c r="K16" s="1387"/>
    </row>
    <row r="17" spans="1:20" s="220" customFormat="1" ht="13">
      <c r="A17" s="1387"/>
      <c r="B17" s="1387"/>
      <c r="C17" s="1387"/>
      <c r="D17" s="1387"/>
      <c r="E17" s="1387"/>
      <c r="F17" s="1387"/>
      <c r="G17" s="1387"/>
      <c r="H17" s="1387"/>
      <c r="I17" s="1387"/>
      <c r="J17" s="1387"/>
      <c r="K17" s="1387"/>
    </row>
    <row r="18" spans="1:20" s="220" customFormat="1" ht="13">
      <c r="B18" s="588">
        <v>2022</v>
      </c>
      <c r="C18" s="588">
        <v>2023</v>
      </c>
      <c r="D18" s="588">
        <v>2024</v>
      </c>
      <c r="E18" s="588"/>
    </row>
    <row r="19" spans="1:20" s="220" customFormat="1" ht="13">
      <c r="B19" s="428">
        <f>'Materials Usage Records'!D28+'Materials Usage Records'!D29</f>
        <v>332.61</v>
      </c>
      <c r="C19" s="428">
        <f>'Materials Usage Records'!F28+'Materials Usage Records'!F29</f>
        <v>287.13</v>
      </c>
      <c r="D19" s="428">
        <f>'Materials Usage Records'!H28+'Materials Usage Records'!H29</f>
        <v>304.64</v>
      </c>
      <c r="E19" s="220" t="s">
        <v>850</v>
      </c>
    </row>
    <row r="20" spans="1:20" s="220" customFormat="1" ht="13">
      <c r="A20" s="220" t="s">
        <v>733</v>
      </c>
    </row>
    <row r="21" spans="1:20" s="220" customFormat="1" ht="13">
      <c r="A21" s="220" t="s">
        <v>947</v>
      </c>
      <c r="K21" s="722"/>
    </row>
    <row r="22" spans="1:20" s="220" customFormat="1" ht="13">
      <c r="K22" s="722"/>
    </row>
    <row r="23" spans="1:20" s="220" customFormat="1" ht="13.5" thickBot="1"/>
    <row r="24" spans="1:20" ht="66" thickBot="1">
      <c r="A24" s="672" t="s">
        <v>70</v>
      </c>
      <c r="B24" s="402" t="s">
        <v>353</v>
      </c>
      <c r="C24" s="402" t="s">
        <v>1</v>
      </c>
      <c r="D24" s="403" t="s">
        <v>254</v>
      </c>
      <c r="E24" s="269" t="s">
        <v>255</v>
      </c>
      <c r="F24" s="270" t="s">
        <v>256</v>
      </c>
      <c r="G24" s="270" t="s">
        <v>329</v>
      </c>
      <c r="H24" s="673" t="s">
        <v>330</v>
      </c>
      <c r="I24" s="269" t="s">
        <v>331</v>
      </c>
      <c r="J24" s="271" t="s">
        <v>332</v>
      </c>
      <c r="K24" s="673" t="s">
        <v>333</v>
      </c>
      <c r="M24" s="406"/>
      <c r="N24" s="406"/>
      <c r="O24" s="406"/>
      <c r="P24" s="406"/>
      <c r="Q24" s="406"/>
      <c r="R24" s="406"/>
      <c r="S24" s="407"/>
    </row>
    <row r="25" spans="1:20">
      <c r="A25" s="674" t="s">
        <v>19</v>
      </c>
      <c r="B25" s="645">
        <v>3.2</v>
      </c>
      <c r="C25" s="645" t="s">
        <v>930</v>
      </c>
      <c r="D25" s="675" t="s">
        <v>357</v>
      </c>
      <c r="E25" s="277">
        <f>IFERROR(B25*$J$7,0)</f>
        <v>4.3636363636363633</v>
      </c>
      <c r="F25" s="280">
        <f>E25*8760/2000</f>
        <v>19.112727272727273</v>
      </c>
      <c r="G25" s="646">
        <f>IFERROR(B25*$J$7*(1-$J$13%),0)</f>
        <v>1.7716363636363637</v>
      </c>
      <c r="H25" s="676">
        <f>G25*8760/2000</f>
        <v>7.7597672727272728</v>
      </c>
      <c r="I25" s="856">
        <f>IFERROR(B25*$J$6*(1-$J$13%)/2000,0)</f>
        <v>1.9488000000000001</v>
      </c>
      <c r="J25" s="739">
        <f>IFERROR(B25*$J$6*$J$10%*(1-$J$11%)/2000,0)</f>
        <v>2.8800000000000027E-2</v>
      </c>
      <c r="K25" s="316">
        <f>IFERROR(B25*$J$6*(1-$J$10%)/2000,0)</f>
        <v>1.92</v>
      </c>
      <c r="L25" s="411"/>
      <c r="M25" s="407"/>
      <c r="N25" s="395"/>
      <c r="O25" s="395"/>
      <c r="P25" s="395"/>
      <c r="Q25" s="395"/>
      <c r="R25" s="395"/>
      <c r="S25" s="407"/>
    </row>
    <row r="26" spans="1:20">
      <c r="A26" s="413" t="s">
        <v>77</v>
      </c>
      <c r="B26" s="414">
        <f>B25*70%</f>
        <v>2.2399999999999998</v>
      </c>
      <c r="C26" s="415" t="s">
        <v>930</v>
      </c>
      <c r="D26" s="286" t="s">
        <v>358</v>
      </c>
      <c r="E26" s="320">
        <f>IFERROR(B26*$J$7,0)</f>
        <v>3.0545454545454538</v>
      </c>
      <c r="F26" s="289">
        <f t="shared" ref="F26:F32" si="0">E26*8760/2000</f>
        <v>13.378909090909088</v>
      </c>
      <c r="G26" s="414">
        <f>IFERROR(B26*$J$7*(1-$J$14%),0)</f>
        <v>1.3501090909090905</v>
      </c>
      <c r="H26" s="677">
        <f>G26*8760/2000</f>
        <v>5.9134778181818168</v>
      </c>
      <c r="I26" s="678">
        <f>IFERROR(B26*$J$6*(1-$J$14%)/2000,0)</f>
        <v>1.4851199999999998</v>
      </c>
      <c r="J26" s="295">
        <f>IFERROR(B26*$J$6*$J$10%*(1-$J$12%)/2000,0)</f>
        <v>0.14111999999999986</v>
      </c>
      <c r="K26" s="287">
        <f t="shared" ref="K26:K27" si="1">IFERROR(B26*$J$6*(1-$J$10%)/2000,0)</f>
        <v>1.3440000000000001</v>
      </c>
      <c r="M26" s="395"/>
      <c r="N26" s="395"/>
      <c r="O26" s="395"/>
      <c r="P26" s="395"/>
      <c r="Q26" s="395"/>
      <c r="R26" s="395"/>
      <c r="S26" s="407"/>
    </row>
    <row r="27" spans="1:20">
      <c r="A27" s="413" t="s">
        <v>78</v>
      </c>
      <c r="B27" s="414">
        <f>B25*42%</f>
        <v>1.3440000000000001</v>
      </c>
      <c r="C27" s="415" t="s">
        <v>930</v>
      </c>
      <c r="D27" s="286" t="s">
        <v>358</v>
      </c>
      <c r="E27" s="320">
        <f>IFERROR(B27*$J$7,0)</f>
        <v>1.8327272727272728</v>
      </c>
      <c r="F27" s="289">
        <f t="shared" si="0"/>
        <v>8.0273454545454559</v>
      </c>
      <c r="G27" s="414">
        <f>IFERROR(B27*$J$7*(1-$J$14%),0)</f>
        <v>0.81006545454545442</v>
      </c>
      <c r="H27" s="677">
        <f>G27*8760/2000</f>
        <v>3.5480866909090905</v>
      </c>
      <c r="I27" s="678">
        <f>IFERROR(B27*$J$6*(1-$J$14%)/2000,0)</f>
        <v>0.89107199999999998</v>
      </c>
      <c r="J27" s="295">
        <f>IFERROR(B27*$J$6*$J$10%*(1-$J$12%)/2000,0)</f>
        <v>8.4671999999999956E-2</v>
      </c>
      <c r="K27" s="287">
        <f t="shared" si="1"/>
        <v>0.80640000000000012</v>
      </c>
      <c r="M27" s="395"/>
      <c r="N27" s="395"/>
      <c r="O27" s="395"/>
      <c r="P27" s="395"/>
      <c r="Q27" s="395"/>
      <c r="R27" s="395"/>
      <c r="S27" s="395"/>
      <c r="T27" s="407"/>
    </row>
    <row r="28" spans="1:20">
      <c r="A28" s="413" t="s">
        <v>79</v>
      </c>
      <c r="B28" s="679" t="s">
        <v>262</v>
      </c>
      <c r="C28" s="415" t="s">
        <v>262</v>
      </c>
      <c r="D28" s="418" t="s">
        <v>262</v>
      </c>
      <c r="E28" s="680" t="s">
        <v>262</v>
      </c>
      <c r="F28" s="418" t="s">
        <v>262</v>
      </c>
      <c r="G28" s="417" t="s">
        <v>262</v>
      </c>
      <c r="H28" s="681" t="s">
        <v>262</v>
      </c>
      <c r="I28" s="682" t="s">
        <v>262</v>
      </c>
      <c r="J28" s="740" t="s">
        <v>262</v>
      </c>
      <c r="K28" s="738" t="s">
        <v>262</v>
      </c>
      <c r="M28" s="406"/>
      <c r="N28" s="406"/>
      <c r="O28" s="406"/>
      <c r="P28" s="406"/>
      <c r="Q28" s="406"/>
      <c r="R28" s="406"/>
      <c r="S28" s="406"/>
      <c r="T28" s="407"/>
    </row>
    <row r="29" spans="1:20">
      <c r="A29" s="1038" t="s">
        <v>80</v>
      </c>
      <c r="B29" s="679" t="s">
        <v>262</v>
      </c>
      <c r="C29" s="415" t="s">
        <v>262</v>
      </c>
      <c r="D29" s="418" t="s">
        <v>262</v>
      </c>
      <c r="E29" s="680" t="s">
        <v>262</v>
      </c>
      <c r="F29" s="418" t="s">
        <v>262</v>
      </c>
      <c r="G29" s="417" t="s">
        <v>262</v>
      </c>
      <c r="H29" s="681" t="s">
        <v>262</v>
      </c>
      <c r="I29" s="682" t="s">
        <v>262</v>
      </c>
      <c r="J29" s="740" t="s">
        <v>262</v>
      </c>
      <c r="K29" s="738" t="s">
        <v>262</v>
      </c>
      <c r="M29" s="406"/>
      <c r="N29" s="406"/>
      <c r="O29" s="406"/>
      <c r="P29" s="406"/>
      <c r="Q29" s="406"/>
      <c r="R29" s="406"/>
      <c r="S29" s="406"/>
      <c r="T29" s="407"/>
    </row>
    <row r="30" spans="1:20">
      <c r="A30" s="413" t="s">
        <v>81</v>
      </c>
      <c r="B30" s="683" t="s">
        <v>262</v>
      </c>
      <c r="C30" s="415" t="s">
        <v>262</v>
      </c>
      <c r="D30" s="418" t="s">
        <v>262</v>
      </c>
      <c r="E30" s="680" t="s">
        <v>262</v>
      </c>
      <c r="F30" s="684" t="s">
        <v>262</v>
      </c>
      <c r="G30" s="685" t="s">
        <v>262</v>
      </c>
      <c r="H30" s="686" t="s">
        <v>262</v>
      </c>
      <c r="I30" s="682" t="s">
        <v>262</v>
      </c>
      <c r="J30" s="295" t="s">
        <v>262</v>
      </c>
      <c r="K30" s="738" t="s">
        <v>262</v>
      </c>
      <c r="M30" s="395"/>
      <c r="N30" s="395"/>
      <c r="O30" s="395"/>
      <c r="P30" s="395"/>
      <c r="Q30" s="395"/>
      <c r="R30" s="395"/>
      <c r="S30" s="395"/>
      <c r="T30" s="407"/>
    </row>
    <row r="31" spans="1:20">
      <c r="A31" s="413" t="s">
        <v>82</v>
      </c>
      <c r="B31" s="414">
        <v>1.2</v>
      </c>
      <c r="C31" s="415" t="s">
        <v>930</v>
      </c>
      <c r="D31" s="286" t="s">
        <v>358</v>
      </c>
      <c r="E31" s="320">
        <f t="shared" ref="E31" si="2">IFERROR(B31*$J$7,0)</f>
        <v>1.6363636363636362</v>
      </c>
      <c r="F31" s="289">
        <f t="shared" ref="F31" si="3">E31*8760/2000</f>
        <v>7.167272727272727</v>
      </c>
      <c r="G31" s="414">
        <f>IFERROR(B31*$J$7,0)</f>
        <v>1.6363636363636362</v>
      </c>
      <c r="H31" s="677">
        <f t="shared" ref="H31:H38" si="4">G31*8760/2000</f>
        <v>7.167272727272727</v>
      </c>
      <c r="I31" s="678">
        <f>IFERROR(B31*$J$6/2000,0)</f>
        <v>1.8</v>
      </c>
      <c r="J31" s="295">
        <f>IFERROR(B31*J11/2000,0)</f>
        <v>5.9400000000000001E-2</v>
      </c>
      <c r="K31" s="287">
        <f>IFERROR(B31*$J$6/2000,0)</f>
        <v>1.8</v>
      </c>
      <c r="M31" s="395"/>
      <c r="N31" s="395"/>
      <c r="O31" s="395"/>
      <c r="P31" s="395"/>
      <c r="Q31" s="395"/>
      <c r="R31" s="395"/>
      <c r="S31" s="395"/>
      <c r="T31" s="407"/>
    </row>
    <row r="32" spans="1:20">
      <c r="A32" s="413" t="s">
        <v>83</v>
      </c>
      <c r="B32" s="420">
        <f>B43/100*$B$25</f>
        <v>0.16000000000000003</v>
      </c>
      <c r="C32" s="415" t="s">
        <v>930</v>
      </c>
      <c r="D32" s="286" t="s">
        <v>259</v>
      </c>
      <c r="E32" s="320">
        <f>IFERROR(B32*$J$7,0)</f>
        <v>0.2181818181818182</v>
      </c>
      <c r="F32" s="295">
        <f t="shared" si="0"/>
        <v>0.95563636363636373</v>
      </c>
      <c r="G32" s="420">
        <f>IFERROR(B32*$J$7*(1-$J$14%),0)</f>
        <v>9.643636363636364E-2</v>
      </c>
      <c r="H32" s="687">
        <f t="shared" si="4"/>
        <v>0.42239127272727273</v>
      </c>
      <c r="I32" s="688">
        <f>IFERROR(B32*$J$6*(1-$J$14%)/2000,0)</f>
        <v>0.10608000000000001</v>
      </c>
      <c r="J32" s="295">
        <f>IFERROR(B32*$J$6*$J$10%*(1-$J$12%)/2000,0)</f>
        <v>1.0079999999999995E-2</v>
      </c>
      <c r="K32" s="738">
        <f>IFERROR(B32*$J$6*(1-$J$10%)/2000,0)</f>
        <v>9.600000000000003E-2</v>
      </c>
    </row>
    <row r="33" spans="1:11">
      <c r="A33" s="413" t="s">
        <v>84</v>
      </c>
      <c r="B33" s="711"/>
      <c r="C33" s="711"/>
      <c r="D33" s="286" t="s">
        <v>336</v>
      </c>
      <c r="E33" s="688">
        <f>SUM(E34:E38)+E32</f>
        <v>0.5827667488004149</v>
      </c>
      <c r="F33" s="420">
        <f>SUM(F34:F38)+F32</f>
        <v>2.5525183597458176</v>
      </c>
      <c r="G33" s="420">
        <f>SUM(G34:G38)+G32</f>
        <v>0.25758290296978342</v>
      </c>
      <c r="H33" s="687">
        <f t="shared" si="4"/>
        <v>1.1282131150076513</v>
      </c>
      <c r="I33" s="297">
        <f>SUM(I34:I38)+I32</f>
        <v>0.28334119326676177</v>
      </c>
      <c r="J33" s="420">
        <f>SUM(J34:J38)+J32</f>
        <v>2.6923823794579155E-2</v>
      </c>
      <c r="K33" s="293">
        <f>SUM(K34:K38)+K32</f>
        <v>0.25641736947218263</v>
      </c>
    </row>
    <row r="34" spans="1:11">
      <c r="A34" s="283" t="s">
        <v>265</v>
      </c>
      <c r="B34" s="420">
        <f>B44/100*$B$25</f>
        <v>1.2800000000000002E-4</v>
      </c>
      <c r="C34" s="415" t="s">
        <v>930</v>
      </c>
      <c r="D34" s="286" t="s">
        <v>259</v>
      </c>
      <c r="E34" s="297">
        <f>IFERROR(B34*$J$7,0)</f>
        <v>1.7454545454545457E-4</v>
      </c>
      <c r="F34" s="295">
        <f t="shared" ref="F34:F38" si="5">E34*8760/2000</f>
        <v>7.6450909090909104E-4</v>
      </c>
      <c r="G34" s="420">
        <f>IFERROR(B34*$J$7*(1-$J$14%),0)</f>
        <v>7.7149090909090913E-5</v>
      </c>
      <c r="H34" s="687">
        <f t="shared" si="4"/>
        <v>3.3791301818181815E-4</v>
      </c>
      <c r="I34" s="688">
        <f>IFERROR(B34*$J$6*(1-$J$14%)/2000,0)</f>
        <v>8.4864000000000006E-5</v>
      </c>
      <c r="J34" s="295">
        <f>IFERROR(B34*$J$6*$J$10%*(1-$J$12%)/2000,0)</f>
        <v>8.0639999999999943E-6</v>
      </c>
      <c r="K34" s="293">
        <f>IFERROR(B34*$J$6*(1-$J$10%)/2000,0)</f>
        <v>7.6800000000000024E-5</v>
      </c>
    </row>
    <row r="35" spans="1:11">
      <c r="A35" s="283" t="s">
        <v>266</v>
      </c>
      <c r="B35" s="420">
        <f>B45/100*$B$25</f>
        <v>3.2000000000000005E-5</v>
      </c>
      <c r="C35" s="415" t="s">
        <v>930</v>
      </c>
      <c r="D35" s="286" t="s">
        <v>259</v>
      </c>
      <c r="E35" s="297">
        <f>IFERROR(B35*$J$7,0)</f>
        <v>4.3636363636363642E-5</v>
      </c>
      <c r="F35" s="295">
        <f t="shared" si="5"/>
        <v>1.9112727272727276E-4</v>
      </c>
      <c r="G35" s="420">
        <f>IFERROR(B35*$J$7*(1-$J$14%),0)</f>
        <v>1.9287272727272728E-5</v>
      </c>
      <c r="H35" s="687">
        <f t="shared" si="4"/>
        <v>8.4478254545454539E-5</v>
      </c>
      <c r="I35" s="688">
        <f>IFERROR(B35*$J$6*(1-$J$14%)/2000,0)</f>
        <v>2.1216000000000002E-5</v>
      </c>
      <c r="J35" s="295">
        <f>IFERROR(B35*$J$6*$J$10%*(1-$J$12%)/2000,0)</f>
        <v>2.0159999999999986E-6</v>
      </c>
      <c r="K35" s="293">
        <f t="shared" ref="K35:K38" si="6">IFERROR(B35*$J$6*(1-$J$10%)/2000,0)</f>
        <v>1.9200000000000006E-5</v>
      </c>
    </row>
    <row r="36" spans="1:11">
      <c r="A36" s="283" t="s">
        <v>267</v>
      </c>
      <c r="B36" s="420">
        <f>B46/100*$B$25</f>
        <v>3.2000000000000002E-3</v>
      </c>
      <c r="C36" s="415" t="s">
        <v>930</v>
      </c>
      <c r="D36" s="286" t="s">
        <v>259</v>
      </c>
      <c r="E36" s="297">
        <f>IFERROR(B36*$J$7,0)</f>
        <v>4.3636363636363638E-3</v>
      </c>
      <c r="F36" s="295">
        <f t="shared" si="5"/>
        <v>1.9112727272727274E-2</v>
      </c>
      <c r="G36" s="420">
        <f>IFERROR(B36*$J$7*(1-$J$14%),0)</f>
        <v>1.9287272727272725E-3</v>
      </c>
      <c r="H36" s="687">
        <f t="shared" si="4"/>
        <v>8.4478254545454542E-3</v>
      </c>
      <c r="I36" s="688">
        <f>IFERROR(B36*$J$6*(1-$J$14%)/2000,0)</f>
        <v>2.1215999999999995E-3</v>
      </c>
      <c r="J36" s="295">
        <f>IFERROR(B36*$J$6*$J$10%*(1-$J$12%)/2000,0)</f>
        <v>2.0159999999999986E-4</v>
      </c>
      <c r="K36" s="293">
        <f t="shared" si="6"/>
        <v>1.9199999999999998E-3</v>
      </c>
    </row>
    <row r="37" spans="1:11">
      <c r="A37" s="283" t="s">
        <v>268</v>
      </c>
      <c r="B37" s="420">
        <f>B47/100*$B$25</f>
        <v>0.12000228245363767</v>
      </c>
      <c r="C37" s="415" t="s">
        <v>930</v>
      </c>
      <c r="D37" s="286" t="s">
        <v>259</v>
      </c>
      <c r="E37" s="297">
        <f>IFERROR(B37*$J$7,0)</f>
        <v>0.16363947607314228</v>
      </c>
      <c r="F37" s="295">
        <f t="shared" si="5"/>
        <v>0.71674090520036315</v>
      </c>
      <c r="G37" s="420">
        <f>IFERROR(B37*$J$7*(1-$J$14%),0)</f>
        <v>7.2328648424328873E-2</v>
      </c>
      <c r="H37" s="687">
        <f t="shared" si="4"/>
        <v>0.31679948009856046</v>
      </c>
      <c r="I37" s="688">
        <f>IFERROR(B37*$J$6*(1-$J$14%)/2000,0)</f>
        <v>7.9561513266761766E-2</v>
      </c>
      <c r="J37" s="295">
        <f>IFERROR(B37*$J$6*$J$10%*(1-$J$12%)/2000,0)</f>
        <v>7.5601437945791682E-3</v>
      </c>
      <c r="K37" s="738">
        <f t="shared" si="6"/>
        <v>7.2001369472182608E-2</v>
      </c>
    </row>
    <row r="38" spans="1:11" ht="15" thickBot="1">
      <c r="A38" s="298" t="s">
        <v>269</v>
      </c>
      <c r="B38" s="655">
        <f>B48/100*$B$25</f>
        <v>0.14399999999999999</v>
      </c>
      <c r="C38" s="654" t="s">
        <v>930</v>
      </c>
      <c r="D38" s="301" t="s">
        <v>259</v>
      </c>
      <c r="E38" s="302">
        <f>IFERROR(B38*$J$7,0)</f>
        <v>0.19636363636363632</v>
      </c>
      <c r="F38" s="305">
        <f t="shared" si="5"/>
        <v>0.8600727272727271</v>
      </c>
      <c r="G38" s="420">
        <f>IFERROR(B38*$J$7*(1-$J$14%),0)</f>
        <v>8.6792727272727244E-2</v>
      </c>
      <c r="H38" s="689">
        <f t="shared" si="4"/>
        <v>0.38015214545454534</v>
      </c>
      <c r="I38" s="690">
        <f>IFERROR(B38*$J$6*(1-$J$14%)/2000,0)</f>
        <v>9.5471999999999974E-2</v>
      </c>
      <c r="J38" s="305">
        <f>IFERROR(B38*$J$6*$J$10%*(1-$J$12%)/2000,0)</f>
        <v>9.0719999999999915E-3</v>
      </c>
      <c r="K38" s="741">
        <f t="shared" si="6"/>
        <v>8.6399999999999991E-2</v>
      </c>
    </row>
    <row r="39" spans="1:11" s="220" customFormat="1" ht="13">
      <c r="A39" s="1558" t="s">
        <v>380</v>
      </c>
      <c r="B39" s="1558"/>
      <c r="C39" s="1558"/>
      <c r="D39" s="1558"/>
      <c r="E39" s="1558"/>
      <c r="F39" s="1558"/>
      <c r="G39" s="1558"/>
      <c r="H39" s="1558"/>
      <c r="I39" s="1558"/>
      <c r="J39" s="1558"/>
      <c r="K39" s="1558"/>
    </row>
    <row r="40" spans="1:11" s="220" customFormat="1" ht="13">
      <c r="A40" s="1387"/>
      <c r="B40" s="1387"/>
      <c r="C40" s="1387"/>
      <c r="D40" s="1387"/>
      <c r="E40" s="1387"/>
      <c r="F40" s="1387"/>
      <c r="G40" s="1387"/>
      <c r="H40" s="1387"/>
      <c r="I40" s="1387"/>
      <c r="J40" s="1387"/>
      <c r="K40" s="1387"/>
    </row>
    <row r="41" spans="1:11" s="424" customFormat="1" ht="13">
      <c r="A41" s="424" t="s">
        <v>381</v>
      </c>
    </row>
    <row r="42" spans="1:11">
      <c r="A42" s="424" t="s">
        <v>698</v>
      </c>
      <c r="B42" s="220"/>
      <c r="C42" s="220"/>
      <c r="D42" s="220"/>
      <c r="E42" s="220"/>
      <c r="F42" s="220"/>
      <c r="G42" s="220"/>
      <c r="H42" s="220"/>
      <c r="I42" s="423"/>
      <c r="J42" s="220"/>
      <c r="K42" s="423"/>
    </row>
    <row r="43" spans="1:11">
      <c r="A43" s="307" t="s">
        <v>40</v>
      </c>
      <c r="B43" s="220">
        <f>'Pouring-Casting-Cooling'!B39</f>
        <v>5</v>
      </c>
      <c r="C43" s="220" t="s">
        <v>272</v>
      </c>
      <c r="D43" s="220"/>
      <c r="E43" s="220"/>
      <c r="F43" s="220"/>
      <c r="G43" s="220"/>
      <c r="H43" s="220"/>
      <c r="I43" s="423"/>
      <c r="J43" s="220"/>
      <c r="K43" s="423"/>
    </row>
    <row r="44" spans="1:11">
      <c r="A44" s="307" t="s">
        <v>265</v>
      </c>
      <c r="B44" s="220">
        <f>'Pouring-Casting-Cooling'!B40</f>
        <v>4.0000000000000001E-3</v>
      </c>
      <c r="C44" s="220" t="s">
        <v>272</v>
      </c>
      <c r="D44" s="220"/>
      <c r="E44" s="220"/>
      <c r="F44" s="220"/>
      <c r="G44" s="220"/>
      <c r="H44" s="220"/>
      <c r="I44" s="423"/>
      <c r="J44" s="220"/>
      <c r="K44" s="423"/>
    </row>
    <row r="45" spans="1:11">
      <c r="A45" s="307" t="s">
        <v>266</v>
      </c>
      <c r="B45" s="220">
        <f>'Pouring-Casting-Cooling'!B41</f>
        <v>1E-3</v>
      </c>
      <c r="C45" s="220" t="s">
        <v>272</v>
      </c>
      <c r="D45" s="220"/>
      <c r="E45" s="220"/>
      <c r="F45" s="220"/>
      <c r="G45" s="220"/>
      <c r="H45" s="220"/>
      <c r="I45" s="423"/>
      <c r="J45" s="220"/>
      <c r="K45" s="423"/>
    </row>
    <row r="46" spans="1:11">
      <c r="A46" s="307" t="s">
        <v>267</v>
      </c>
      <c r="B46" s="220">
        <f>'Pouring-Casting-Cooling'!B42</f>
        <v>0.1</v>
      </c>
      <c r="C46" s="220" t="s">
        <v>272</v>
      </c>
      <c r="D46" s="220"/>
      <c r="E46" s="220"/>
      <c r="F46" s="220"/>
      <c r="G46" s="220"/>
      <c r="H46" s="220"/>
      <c r="I46" s="423"/>
      <c r="J46" s="220"/>
      <c r="K46" s="423"/>
    </row>
    <row r="47" spans="1:11">
      <c r="A47" s="307" t="s">
        <v>268</v>
      </c>
      <c r="B47" s="425">
        <f>'Pouring-Casting-Cooling'!B43</f>
        <v>3.7500713266761769</v>
      </c>
      <c r="C47" s="220" t="s">
        <v>272</v>
      </c>
      <c r="D47" s="220"/>
      <c r="E47" s="220"/>
      <c r="F47" s="220"/>
      <c r="G47" s="220"/>
      <c r="H47" s="220"/>
      <c r="I47" s="423"/>
      <c r="J47" s="220"/>
      <c r="K47" s="423"/>
    </row>
    <row r="48" spans="1:11">
      <c r="A48" s="307" t="s">
        <v>269</v>
      </c>
      <c r="B48" s="220">
        <f>'Pouring-Casting-Cooling'!B44</f>
        <v>4.5</v>
      </c>
      <c r="C48" s="220" t="s">
        <v>272</v>
      </c>
      <c r="D48" s="220"/>
      <c r="E48" s="220"/>
      <c r="F48" s="220"/>
      <c r="G48" s="220"/>
      <c r="H48" s="220"/>
      <c r="I48" s="423"/>
      <c r="J48" s="220"/>
      <c r="K48" s="423"/>
    </row>
    <row r="49" spans="1:8">
      <c r="A49" s="220" t="s">
        <v>680</v>
      </c>
      <c r="B49" s="426"/>
      <c r="C49" s="426"/>
      <c r="D49" s="426"/>
      <c r="E49" s="426"/>
      <c r="F49" s="426"/>
      <c r="G49" s="426"/>
      <c r="H49" s="426"/>
    </row>
    <row r="50" spans="1:8">
      <c r="A50" s="426"/>
      <c r="B50" s="426"/>
      <c r="C50" s="426"/>
      <c r="D50" s="426"/>
      <c r="E50" s="426"/>
      <c r="F50" s="426"/>
      <c r="G50" s="426"/>
      <c r="H50" s="426"/>
    </row>
    <row r="51" spans="1:8">
      <c r="A51" s="426"/>
      <c r="B51" s="426"/>
      <c r="C51" s="426"/>
      <c r="D51" s="426"/>
      <c r="E51" s="426"/>
      <c r="F51" s="426"/>
      <c r="G51" s="426"/>
      <c r="H51" s="426"/>
    </row>
    <row r="52" spans="1:8">
      <c r="A52" s="426"/>
      <c r="B52" s="426"/>
      <c r="C52" s="426"/>
      <c r="D52" s="426"/>
      <c r="E52" s="426"/>
      <c r="F52" s="426"/>
      <c r="G52" s="426"/>
      <c r="H52" s="426"/>
    </row>
    <row r="53" spans="1:8">
      <c r="A53" s="426"/>
      <c r="B53" s="426"/>
      <c r="C53" s="426"/>
      <c r="D53" s="426"/>
      <c r="E53" s="426"/>
      <c r="F53" s="426"/>
      <c r="G53" s="426"/>
      <c r="H53" s="426"/>
    </row>
  </sheetData>
  <mergeCells count="3">
    <mergeCell ref="A39:K40"/>
    <mergeCell ref="A15:K17"/>
    <mergeCell ref="H5:J5"/>
  </mergeCells>
  <pageMargins left="0.7" right="0.7" top="0.75" bottom="0.75" header="0.3" footer="0.3"/>
  <pageSetup scale="8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rowBreaks count="1" manualBreakCount="1">
    <brk id="2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837BE-BB4F-43C2-A468-E613189D61F7}">
  <sheetPr codeName="Sheet12"/>
  <dimension ref="A1:Y50"/>
  <sheetViews>
    <sheetView topLeftCell="A22" zoomScaleNormal="100" workbookViewId="0">
      <selection activeCell="A33" sqref="A33"/>
    </sheetView>
  </sheetViews>
  <sheetFormatPr defaultColWidth="8.81640625" defaultRowHeight="13"/>
  <cols>
    <col min="1" max="16" width="10.7265625" style="220" customWidth="1"/>
    <col min="17" max="19" width="8.81640625" style="220"/>
    <col min="20" max="20" width="10" style="220" customWidth="1"/>
    <col min="21" max="23" width="8.81640625" style="220"/>
    <col min="24" max="24" width="10.1796875" style="220" customWidth="1"/>
    <col min="25" max="27" width="8.81640625" style="220"/>
    <col min="28" max="28" width="10.26953125" style="220" customWidth="1"/>
    <col min="29" max="31" width="8.81640625" style="220"/>
    <col min="32" max="32" width="10.26953125" style="220" customWidth="1"/>
    <col min="33" max="35" width="8.81640625" style="220"/>
    <col min="36" max="36" width="9.81640625" style="220" customWidth="1"/>
    <col min="37" max="16384" width="8.81640625" style="220"/>
  </cols>
  <sheetData>
    <row r="1" spans="1:12" ht="18.5">
      <c r="A1" s="221" t="s">
        <v>686</v>
      </c>
      <c r="B1" s="221"/>
      <c r="D1" s="221" t="s">
        <v>382</v>
      </c>
    </row>
    <row r="2" spans="1:12" ht="18.5">
      <c r="A2" s="221"/>
      <c r="B2" s="221"/>
      <c r="D2" s="221" t="s">
        <v>691</v>
      </c>
    </row>
    <row r="3" spans="1:12" ht="19" thickBot="1">
      <c r="A3" s="221"/>
      <c r="B3" s="221"/>
      <c r="D3" s="221"/>
    </row>
    <row r="4" spans="1:12" ht="13.5" thickBot="1">
      <c r="A4" s="616" t="s">
        <v>220</v>
      </c>
      <c r="B4" s="691" t="s">
        <v>221</v>
      </c>
      <c r="C4" s="692" t="s">
        <v>222</v>
      </c>
      <c r="D4" s="549"/>
      <c r="E4" s="549"/>
      <c r="F4" s="670"/>
      <c r="G4" s="1537" t="s">
        <v>223</v>
      </c>
      <c r="H4" s="1537"/>
      <c r="I4" s="1537"/>
      <c r="J4" s="693" t="s">
        <v>224</v>
      </c>
    </row>
    <row r="5" spans="1:12">
      <c r="A5" s="606" t="s">
        <v>174</v>
      </c>
      <c r="B5" s="573" t="s">
        <v>383</v>
      </c>
      <c r="C5" s="229" t="s">
        <v>49</v>
      </c>
      <c r="D5" s="229"/>
      <c r="E5" s="229"/>
      <c r="F5" s="230"/>
      <c r="G5" s="229"/>
      <c r="H5" s="231" t="s">
        <v>384</v>
      </c>
      <c r="I5" s="229">
        <v>5020</v>
      </c>
      <c r="J5" s="694" t="s">
        <v>385</v>
      </c>
    </row>
    <row r="6" spans="1:12">
      <c r="A6" s="248" t="s">
        <v>177</v>
      </c>
      <c r="B6" s="523" t="s">
        <v>386</v>
      </c>
      <c r="C6" s="235" t="s">
        <v>387</v>
      </c>
      <c r="D6" s="235"/>
      <c r="E6" s="235"/>
      <c r="F6" s="236"/>
      <c r="G6" s="235"/>
      <c r="H6" s="237" t="s">
        <v>384</v>
      </c>
      <c r="I6" s="235">
        <v>3762.7</v>
      </c>
      <c r="J6" s="695" t="s">
        <v>385</v>
      </c>
    </row>
    <row r="7" spans="1:12" ht="13.5" thickBot="1">
      <c r="A7" s="256" t="s">
        <v>179</v>
      </c>
      <c r="B7" s="535" t="s">
        <v>388</v>
      </c>
      <c r="C7" s="241" t="s">
        <v>389</v>
      </c>
      <c r="D7" s="241"/>
      <c r="E7" s="241"/>
      <c r="F7" s="242"/>
      <c r="G7" s="241"/>
      <c r="H7" s="243" t="s">
        <v>384</v>
      </c>
      <c r="I7" s="241">
        <v>1257.4000000000001</v>
      </c>
      <c r="J7" s="696" t="s">
        <v>385</v>
      </c>
    </row>
    <row r="8" spans="1:12">
      <c r="A8" s="599"/>
      <c r="B8" s="549"/>
      <c r="C8" s="549"/>
      <c r="D8" s="549"/>
      <c r="E8" s="549"/>
      <c r="F8" s="549"/>
      <c r="G8" s="549"/>
      <c r="H8" s="600" t="s">
        <v>299</v>
      </c>
      <c r="I8" s="549">
        <v>100</v>
      </c>
      <c r="J8" s="550" t="s">
        <v>272</v>
      </c>
    </row>
    <row r="9" spans="1:12">
      <c r="A9" s="601"/>
      <c r="H9" s="307" t="s">
        <v>300</v>
      </c>
      <c r="I9" s="220">
        <v>99</v>
      </c>
      <c r="J9" s="553" t="s">
        <v>272</v>
      </c>
    </row>
    <row r="10" spans="1:12" ht="13.5" thickBot="1">
      <c r="A10" s="603"/>
      <c r="B10" s="604"/>
      <c r="C10" s="604"/>
      <c r="D10" s="604"/>
      <c r="E10" s="604"/>
      <c r="F10" s="604"/>
      <c r="G10" s="604"/>
      <c r="H10" s="605" t="s">
        <v>694</v>
      </c>
      <c r="I10" s="697">
        <v>93</v>
      </c>
      <c r="J10" s="609" t="s">
        <v>272</v>
      </c>
    </row>
    <row r="11" spans="1:12">
      <c r="A11" s="599" t="s">
        <v>390</v>
      </c>
      <c r="B11" s="657" t="s">
        <v>391</v>
      </c>
      <c r="C11" s="549" t="s">
        <v>306</v>
      </c>
      <c r="D11" s="549"/>
      <c r="E11" s="549"/>
      <c r="F11" s="670"/>
      <c r="G11" s="549"/>
      <c r="H11" s="600" t="s">
        <v>309</v>
      </c>
      <c r="I11" s="549">
        <f>I8%*I9%*100</f>
        <v>99</v>
      </c>
      <c r="J11" s="550" t="s">
        <v>272</v>
      </c>
      <c r="L11" s="607"/>
    </row>
    <row r="12" spans="1:12" ht="13.5" thickBot="1">
      <c r="A12" s="603"/>
      <c r="B12" s="668"/>
      <c r="C12" s="604"/>
      <c r="D12" s="604"/>
      <c r="E12" s="669"/>
      <c r="F12" s="604"/>
      <c r="G12" s="604"/>
      <c r="H12" s="605" t="s">
        <v>695</v>
      </c>
      <c r="I12" s="604">
        <f>I8%*I10%*100</f>
        <v>93</v>
      </c>
      <c r="J12" s="609" t="s">
        <v>272</v>
      </c>
      <c r="L12" s="607"/>
    </row>
    <row r="13" spans="1:12">
      <c r="A13" s="601"/>
      <c r="H13" s="610" t="s">
        <v>682</v>
      </c>
      <c r="I13" s="220">
        <v>3.8</v>
      </c>
      <c r="J13" s="553" t="s">
        <v>236</v>
      </c>
    </row>
    <row r="14" spans="1:12">
      <c r="A14" s="248"/>
      <c r="B14" s="235"/>
      <c r="C14" s="235"/>
      <c r="D14" s="235"/>
      <c r="E14" s="235"/>
      <c r="F14" s="235"/>
      <c r="G14" s="235"/>
      <c r="H14" s="249" t="s">
        <v>779</v>
      </c>
      <c r="I14" s="250">
        <f>I13*I17</f>
        <v>33288</v>
      </c>
      <c r="J14" s="238" t="s">
        <v>228</v>
      </c>
    </row>
    <row r="15" spans="1:12">
      <c r="A15" s="251"/>
      <c r="B15" s="252"/>
      <c r="C15" s="252"/>
      <c r="D15" s="252"/>
      <c r="E15" s="252"/>
      <c r="F15" s="252"/>
      <c r="G15" s="252"/>
      <c r="H15" s="253" t="s">
        <v>683</v>
      </c>
      <c r="I15" s="611">
        <v>3000</v>
      </c>
      <c r="J15" s="254" t="s">
        <v>392</v>
      </c>
    </row>
    <row r="16" spans="1:12">
      <c r="A16" s="612"/>
      <c r="B16" s="613"/>
      <c r="C16" s="613"/>
      <c r="D16" s="613"/>
      <c r="E16" s="613"/>
      <c r="F16" s="613"/>
      <c r="G16" s="613"/>
      <c r="H16" s="253" t="s">
        <v>693</v>
      </c>
      <c r="I16" s="855">
        <f>G28</f>
        <v>0.64599999999999991</v>
      </c>
      <c r="J16" s="615" t="s">
        <v>17</v>
      </c>
    </row>
    <row r="17" spans="1:25" ht="13.5" thickBot="1">
      <c r="A17" s="256"/>
      <c r="B17" s="241"/>
      <c r="C17" s="241"/>
      <c r="D17" s="241"/>
      <c r="E17" s="241"/>
      <c r="F17" s="241"/>
      <c r="G17" s="241"/>
      <c r="H17" s="243" t="s">
        <v>137</v>
      </c>
      <c r="I17" s="241">
        <v>8760</v>
      </c>
      <c r="J17" s="244" t="s">
        <v>240</v>
      </c>
    </row>
    <row r="18" spans="1:25" ht="12.75" customHeight="1">
      <c r="A18" s="549" t="s">
        <v>681</v>
      </c>
      <c r="B18" s="549"/>
      <c r="C18" s="549"/>
      <c r="D18" s="549"/>
      <c r="E18" s="549"/>
      <c r="F18" s="549"/>
      <c r="G18" s="549"/>
      <c r="H18" s="549"/>
      <c r="I18" s="549"/>
      <c r="J18" s="549"/>
    </row>
    <row r="19" spans="1:25">
      <c r="A19" s="424" t="s">
        <v>684</v>
      </c>
      <c r="B19" s="352"/>
      <c r="C19" s="352"/>
      <c r="D19" s="352"/>
      <c r="E19" s="352"/>
      <c r="F19" s="352"/>
      <c r="G19" s="352"/>
      <c r="H19" s="352"/>
      <c r="I19" s="352"/>
      <c r="J19" s="352"/>
    </row>
    <row r="20" spans="1:25" ht="12.75" customHeight="1">
      <c r="A20" s="220" t="s">
        <v>692</v>
      </c>
    </row>
    <row r="21" spans="1:25" ht="12.75" customHeight="1">
      <c r="A21" s="220" t="s">
        <v>1071</v>
      </c>
    </row>
    <row r="22" spans="1:25" ht="12.75" customHeight="1">
      <c r="A22" s="1387" t="s">
        <v>925</v>
      </c>
      <c r="B22" s="1387"/>
      <c r="C22" s="1387"/>
      <c r="D22" s="1387"/>
      <c r="E22" s="1387"/>
      <c r="F22" s="1387"/>
      <c r="G22" s="1387"/>
      <c r="H22" s="1387"/>
      <c r="I22" s="1387"/>
      <c r="J22" s="1387"/>
      <c r="W22" s="258"/>
      <c r="X22" s="258"/>
      <c r="Y22" s="258"/>
    </row>
    <row r="23" spans="1:25">
      <c r="A23" s="1387"/>
      <c r="B23" s="1387"/>
      <c r="C23" s="1387"/>
      <c r="D23" s="1387"/>
      <c r="E23" s="1387"/>
      <c r="F23" s="1387"/>
      <c r="G23" s="1387"/>
      <c r="H23" s="1387"/>
      <c r="I23" s="1387"/>
      <c r="J23" s="1387"/>
      <c r="V23" s="259"/>
    </row>
    <row r="24" spans="1:25" ht="13.5" thickBot="1"/>
    <row r="25" spans="1:25">
      <c r="E25" s="1536" t="s">
        <v>739</v>
      </c>
      <c r="F25" s="1537"/>
      <c r="G25" s="1537"/>
      <c r="H25" s="1538"/>
      <c r="I25" s="1615"/>
      <c r="J25" s="1614"/>
      <c r="K25" s="1614"/>
      <c r="L25" s="1614"/>
      <c r="M25" s="1614"/>
      <c r="N25" s="1614"/>
      <c r="O25" s="1614"/>
      <c r="P25" s="1614"/>
    </row>
    <row r="26" spans="1:25" ht="13.5" thickBot="1">
      <c r="E26" s="1611" t="s">
        <v>740</v>
      </c>
      <c r="F26" s="1612"/>
      <c r="G26" s="1612"/>
      <c r="H26" s="1613"/>
      <c r="I26" s="709"/>
      <c r="J26" s="542"/>
      <c r="K26" s="542"/>
      <c r="L26" s="542"/>
      <c r="M26" s="542"/>
      <c r="N26" s="542"/>
      <c r="O26" s="542"/>
      <c r="P26" s="542"/>
    </row>
    <row r="27" spans="1:25" ht="65.5" thickBot="1">
      <c r="A27" s="401" t="s">
        <v>70</v>
      </c>
      <c r="B27" s="402" t="s">
        <v>353</v>
      </c>
      <c r="C27" s="402" t="s">
        <v>1</v>
      </c>
      <c r="D27" s="403" t="s">
        <v>254</v>
      </c>
      <c r="E27" s="698" t="s">
        <v>354</v>
      </c>
      <c r="F27" s="402" t="s">
        <v>355</v>
      </c>
      <c r="G27" s="699" t="s">
        <v>329</v>
      </c>
      <c r="H27" s="643" t="s">
        <v>393</v>
      </c>
      <c r="I27" s="700"/>
      <c r="J27" s="701"/>
      <c r="K27" s="701"/>
      <c r="L27" s="701"/>
      <c r="M27" s="701"/>
      <c r="N27" s="701"/>
      <c r="O27" s="701"/>
      <c r="P27" s="701"/>
    </row>
    <row r="28" spans="1:25">
      <c r="A28" s="702" t="s">
        <v>35</v>
      </c>
      <c r="B28" s="645">
        <v>17</v>
      </c>
      <c r="C28" s="645" t="s">
        <v>258</v>
      </c>
      <c r="D28" s="276" t="s">
        <v>696</v>
      </c>
      <c r="E28" s="315">
        <f>$I$13*B28</f>
        <v>64.599999999999994</v>
      </c>
      <c r="F28" s="646">
        <f t="shared" ref="F28:F37" si="0">E28*8760/2000</f>
        <v>282.94799999999998</v>
      </c>
      <c r="G28" s="854">
        <f>E28*(100-$I$9)/100</f>
        <v>0.64599999999999991</v>
      </c>
      <c r="H28" s="316">
        <f>$I$15*B28*(100-$I$9)/100/2000</f>
        <v>0.255</v>
      </c>
      <c r="I28" s="703"/>
      <c r="J28" s="554"/>
      <c r="K28" s="554"/>
      <c r="L28" s="554"/>
      <c r="M28" s="554"/>
      <c r="N28" s="554"/>
      <c r="O28" s="554"/>
      <c r="P28" s="554"/>
    </row>
    <row r="29" spans="1:25">
      <c r="A29" s="526" t="s">
        <v>36</v>
      </c>
      <c r="B29" s="415">
        <v>1.7</v>
      </c>
      <c r="C29" s="415" t="s">
        <v>258</v>
      </c>
      <c r="D29" s="286" t="s">
        <v>334</v>
      </c>
      <c r="E29" s="320">
        <f t="shared" ref="E29:E37" si="1">$I$13*B29</f>
        <v>6.46</v>
      </c>
      <c r="F29" s="414">
        <f t="shared" si="0"/>
        <v>28.294799999999999</v>
      </c>
      <c r="G29" s="414">
        <f>E29*(100-$I$10)/100</f>
        <v>0.45219999999999999</v>
      </c>
      <c r="H29" s="287">
        <f>$I$15*B29*(100-$I$10)/100/2000</f>
        <v>0.17849999999999999</v>
      </c>
      <c r="I29" s="703"/>
      <c r="J29" s="554"/>
      <c r="K29" s="554"/>
      <c r="L29" s="554"/>
      <c r="M29" s="554"/>
      <c r="N29" s="554"/>
      <c r="O29" s="260"/>
      <c r="P29" s="554"/>
    </row>
    <row r="30" spans="1:25">
      <c r="A30" s="526" t="s">
        <v>37</v>
      </c>
      <c r="B30" s="415">
        <v>1.7</v>
      </c>
      <c r="C30" s="415" t="s">
        <v>258</v>
      </c>
      <c r="D30" s="286" t="s">
        <v>335</v>
      </c>
      <c r="E30" s="320">
        <f t="shared" si="1"/>
        <v>6.46</v>
      </c>
      <c r="F30" s="414">
        <f t="shared" si="0"/>
        <v>28.294799999999999</v>
      </c>
      <c r="G30" s="414">
        <f>E30*(100-$I$10)/100</f>
        <v>0.45219999999999999</v>
      </c>
      <c r="H30" s="287">
        <f>$I$15*B30*(100-$I$10)/100/2000</f>
        <v>0.17849999999999999</v>
      </c>
      <c r="I30" s="703"/>
      <c r="J30" s="554"/>
      <c r="K30" s="554"/>
      <c r="L30" s="554"/>
      <c r="M30" s="554"/>
      <c r="N30" s="554"/>
      <c r="O30" s="260"/>
      <c r="P30" s="554"/>
    </row>
    <row r="31" spans="1:25">
      <c r="A31" s="526" t="s">
        <v>40</v>
      </c>
      <c r="B31" s="415">
        <f>B44%*B28</f>
        <v>0.85000000000000009</v>
      </c>
      <c r="C31" s="415" t="s">
        <v>258</v>
      </c>
      <c r="D31" s="286" t="s">
        <v>336</v>
      </c>
      <c r="E31" s="320">
        <f>$I$13*B31</f>
        <v>3.23</v>
      </c>
      <c r="F31" s="414">
        <f t="shared" si="0"/>
        <v>14.147399999999999</v>
      </c>
      <c r="G31" s="414">
        <f>E31*(100-$I$10)/100</f>
        <v>0.2261</v>
      </c>
      <c r="H31" s="287">
        <f>$I$15*B31*(100-$I$10)/100/2000</f>
        <v>8.925000000000001E-2</v>
      </c>
      <c r="I31" s="704"/>
      <c r="J31" s="705"/>
      <c r="K31" s="705"/>
      <c r="L31" s="705"/>
      <c r="M31" s="705"/>
      <c r="N31" s="705"/>
      <c r="O31" s="705"/>
      <c r="P31" s="705"/>
    </row>
    <row r="32" spans="1:25">
      <c r="A32" s="526" t="s">
        <v>42</v>
      </c>
      <c r="B32" s="711"/>
      <c r="C32" s="711"/>
      <c r="D32" s="713"/>
      <c r="E32" s="297">
        <f>SUM(E33:E37)+E31</f>
        <v>6.0452760770328098</v>
      </c>
      <c r="F32" s="420">
        <f t="shared" ref="F32:H32" si="2">SUM(F33:F37)+F31</f>
        <v>26.478309217403705</v>
      </c>
      <c r="G32" s="420">
        <f t="shared" si="2"/>
        <v>0.42316932539229668</v>
      </c>
      <c r="H32" s="293">
        <f t="shared" si="2"/>
        <v>0.16704052318116974</v>
      </c>
      <c r="I32" s="704"/>
      <c r="J32" s="705"/>
      <c r="K32" s="705"/>
      <c r="L32" s="705"/>
      <c r="M32" s="705"/>
      <c r="N32" s="705"/>
      <c r="O32" s="705"/>
      <c r="P32" s="705"/>
    </row>
    <row r="33" spans="1:16">
      <c r="A33" s="710" t="s">
        <v>265</v>
      </c>
      <c r="B33" s="409">
        <f>B45%*B28</f>
        <v>6.8000000000000005E-4</v>
      </c>
      <c r="C33" s="409" t="s">
        <v>258</v>
      </c>
      <c r="D33" s="286" t="s">
        <v>336</v>
      </c>
      <c r="E33" s="292">
        <f t="shared" si="1"/>
        <v>2.5839999999999999E-3</v>
      </c>
      <c r="F33" s="712">
        <f t="shared" si="0"/>
        <v>1.1317919999999999E-2</v>
      </c>
      <c r="G33" s="712">
        <f>E33*(100-$I$10)/100</f>
        <v>1.8087999999999999E-4</v>
      </c>
      <c r="H33" s="328">
        <f>$I$15*B33*(100-$I$10)/100/2000</f>
        <v>7.1400000000000001E-5</v>
      </c>
      <c r="I33" s="704"/>
      <c r="J33" s="705"/>
      <c r="K33" s="705"/>
      <c r="L33" s="705"/>
      <c r="M33" s="705"/>
      <c r="N33" s="705"/>
      <c r="O33" s="705"/>
      <c r="P33" s="705"/>
    </row>
    <row r="34" spans="1:16">
      <c r="A34" s="526" t="s">
        <v>266</v>
      </c>
      <c r="B34" s="415">
        <f>B46%*B28</f>
        <v>1.7000000000000001E-4</v>
      </c>
      <c r="C34" s="415" t="s">
        <v>258</v>
      </c>
      <c r="D34" s="286" t="s">
        <v>336</v>
      </c>
      <c r="E34" s="297">
        <f t="shared" si="1"/>
        <v>6.4599999999999998E-4</v>
      </c>
      <c r="F34" s="420">
        <f t="shared" si="0"/>
        <v>2.8294799999999997E-3</v>
      </c>
      <c r="G34" s="420">
        <f>E34*(100-$I$10)/100</f>
        <v>4.5219999999999997E-5</v>
      </c>
      <c r="H34" s="293">
        <f>$I$15*B34*(100-$I$10)/100/2000</f>
        <v>1.785E-5</v>
      </c>
      <c r="I34" s="704"/>
      <c r="J34" s="705"/>
      <c r="K34" s="705"/>
      <c r="L34" s="705"/>
      <c r="M34" s="705"/>
      <c r="N34" s="705"/>
      <c r="O34" s="705"/>
      <c r="P34" s="705"/>
    </row>
    <row r="35" spans="1:16">
      <c r="A35" s="526" t="s">
        <v>267</v>
      </c>
      <c r="B35" s="415">
        <f>B47%*B28</f>
        <v>1.7000000000000001E-2</v>
      </c>
      <c r="C35" s="415" t="s">
        <v>258</v>
      </c>
      <c r="D35" s="286" t="s">
        <v>336</v>
      </c>
      <c r="E35" s="297">
        <f t="shared" si="1"/>
        <v>6.4600000000000005E-2</v>
      </c>
      <c r="F35" s="420">
        <f t="shared" si="0"/>
        <v>0.28294800000000003</v>
      </c>
      <c r="G35" s="420">
        <f>E35*(100-$I$10)/100</f>
        <v>4.5220000000000008E-3</v>
      </c>
      <c r="H35" s="293">
        <f>$I$15*B35*(100-$I$10)/100/2000</f>
        <v>1.7850000000000003E-3</v>
      </c>
      <c r="I35" s="704"/>
      <c r="J35" s="705"/>
      <c r="K35" s="705"/>
      <c r="L35" s="705"/>
      <c r="M35" s="705"/>
      <c r="N35" s="705"/>
      <c r="O35" s="705"/>
      <c r="P35" s="705"/>
    </row>
    <row r="36" spans="1:16">
      <c r="A36" s="526" t="s">
        <v>268</v>
      </c>
      <c r="B36" s="415">
        <f>B48%*B28</f>
        <v>0.63751212553495007</v>
      </c>
      <c r="C36" s="415" t="s">
        <v>258</v>
      </c>
      <c r="D36" s="286" t="s">
        <v>336</v>
      </c>
      <c r="E36" s="297">
        <f t="shared" si="1"/>
        <v>2.42254607703281</v>
      </c>
      <c r="F36" s="420">
        <f t="shared" si="0"/>
        <v>10.610751817403708</v>
      </c>
      <c r="G36" s="420">
        <f>E36*(100-$I$10)/100</f>
        <v>0.16957822539229672</v>
      </c>
      <c r="H36" s="293">
        <f>$I$15*B36*(100-$I$10)/100/2000</f>
        <v>6.6938773181169753E-2</v>
      </c>
      <c r="I36" s="704"/>
      <c r="J36" s="705"/>
      <c r="K36" s="705"/>
      <c r="L36" s="705"/>
      <c r="M36" s="705"/>
      <c r="N36" s="705"/>
      <c r="O36" s="705"/>
      <c r="P36" s="705"/>
    </row>
    <row r="37" spans="1:16" ht="13.5" thickBot="1">
      <c r="A37" s="706" t="s">
        <v>269</v>
      </c>
      <c r="B37" s="654">
        <f>B49%*1.9</f>
        <v>8.5499999999999993E-2</v>
      </c>
      <c r="C37" s="654" t="s">
        <v>258</v>
      </c>
      <c r="D37" s="301" t="s">
        <v>336</v>
      </c>
      <c r="E37" s="302">
        <f t="shared" si="1"/>
        <v>0.32489999999999997</v>
      </c>
      <c r="F37" s="655">
        <f t="shared" si="0"/>
        <v>1.4230619999999998</v>
      </c>
      <c r="G37" s="655">
        <f>E37*(100-$I$10)/100</f>
        <v>2.2742999999999999E-2</v>
      </c>
      <c r="H37" s="303">
        <f>$I$15*B37*(100-$I$10)/100/2000</f>
        <v>8.9774999999999994E-3</v>
      </c>
      <c r="I37" s="704"/>
      <c r="J37" s="705"/>
      <c r="K37" s="705"/>
      <c r="L37" s="705"/>
      <c r="M37" s="705"/>
      <c r="N37" s="705"/>
      <c r="O37" s="705"/>
      <c r="P37" s="705"/>
    </row>
    <row r="38" spans="1:16" ht="13.5" customHeight="1">
      <c r="A38" s="1558" t="s">
        <v>697</v>
      </c>
      <c r="B38" s="1558"/>
      <c r="C38" s="1558"/>
      <c r="D38" s="1558"/>
      <c r="E38" s="1558"/>
      <c r="F38" s="1558"/>
      <c r="G38" s="1558"/>
      <c r="H38" s="1558"/>
      <c r="I38" s="1387"/>
      <c r="J38" s="1387"/>
      <c r="K38" s="426"/>
      <c r="L38" s="426"/>
      <c r="M38" s="426"/>
      <c r="N38" s="426"/>
      <c r="O38" s="426"/>
      <c r="P38" s="426"/>
    </row>
    <row r="39" spans="1:16">
      <c r="A39" s="1387"/>
      <c r="B39" s="1387"/>
      <c r="C39" s="1387"/>
      <c r="D39" s="1387"/>
      <c r="E39" s="1387"/>
      <c r="F39" s="1387"/>
      <c r="G39" s="1387"/>
      <c r="H39" s="1387"/>
      <c r="I39" s="1387"/>
      <c r="J39" s="1387"/>
      <c r="K39" s="426"/>
      <c r="L39" s="426"/>
      <c r="M39" s="426"/>
      <c r="N39" s="426"/>
      <c r="O39" s="426"/>
      <c r="P39" s="426"/>
    </row>
    <row r="40" spans="1:16">
      <c r="A40" s="1387"/>
      <c r="B40" s="1387"/>
      <c r="C40" s="1387"/>
      <c r="D40" s="1387"/>
      <c r="E40" s="1387"/>
      <c r="F40" s="1387"/>
      <c r="G40" s="1387"/>
      <c r="H40" s="1387"/>
      <c r="I40" s="1387"/>
      <c r="J40" s="1387"/>
      <c r="K40" s="426"/>
      <c r="L40" s="426"/>
      <c r="M40" s="426"/>
      <c r="N40" s="426"/>
      <c r="O40" s="426"/>
      <c r="P40" s="426"/>
    </row>
    <row r="41" spans="1:16">
      <c r="A41" s="220" t="s">
        <v>846</v>
      </c>
    </row>
    <row r="42" spans="1:16">
      <c r="A42" s="220" t="s">
        <v>339</v>
      </c>
    </row>
    <row r="43" spans="1:16">
      <c r="A43" s="424" t="s">
        <v>699</v>
      </c>
    </row>
    <row r="44" spans="1:16">
      <c r="A44" s="424" t="s">
        <v>40</v>
      </c>
      <c r="B44" s="425">
        <f>'Brass Melting'!B50</f>
        <v>5</v>
      </c>
      <c r="C44" s="220" t="s">
        <v>272</v>
      </c>
    </row>
    <row r="45" spans="1:16">
      <c r="A45" s="424" t="s">
        <v>265</v>
      </c>
      <c r="B45" s="423">
        <f>'AL Melting'!B50</f>
        <v>4.0000000000000001E-3</v>
      </c>
      <c r="C45" s="220" t="s">
        <v>272</v>
      </c>
    </row>
    <row r="46" spans="1:16">
      <c r="A46" s="424" t="s">
        <v>266</v>
      </c>
      <c r="B46" s="423">
        <f>'AL Melting'!B51</f>
        <v>1E-3</v>
      </c>
      <c r="C46" s="220" t="s">
        <v>272</v>
      </c>
    </row>
    <row r="47" spans="1:16">
      <c r="A47" s="424" t="s">
        <v>267</v>
      </c>
      <c r="B47" s="425">
        <f>'AL Melting'!B52</f>
        <v>0.1</v>
      </c>
      <c r="C47" s="220" t="s">
        <v>272</v>
      </c>
    </row>
    <row r="48" spans="1:16">
      <c r="A48" s="424" t="s">
        <v>268</v>
      </c>
      <c r="B48" s="425">
        <f>'Brass Melting'!B51</f>
        <v>3.7500713266761769</v>
      </c>
      <c r="C48" s="220" t="s">
        <v>272</v>
      </c>
    </row>
    <row r="49" spans="1:3">
      <c r="A49" s="424" t="s">
        <v>269</v>
      </c>
      <c r="B49" s="425">
        <f>'Brass Melting'!B52</f>
        <v>4.5</v>
      </c>
      <c r="C49" s="220" t="s">
        <v>272</v>
      </c>
    </row>
    <row r="50" spans="1:3">
      <c r="A50" s="424" t="s">
        <v>702</v>
      </c>
    </row>
  </sheetData>
  <mergeCells count="7">
    <mergeCell ref="E26:H26"/>
    <mergeCell ref="A38:J40"/>
    <mergeCell ref="A22:J23"/>
    <mergeCell ref="G4:I4"/>
    <mergeCell ref="M25:P25"/>
    <mergeCell ref="E25:H25"/>
    <mergeCell ref="I25:L25"/>
  </mergeCells>
  <pageMargins left="0.7" right="0.7" top="0.75" bottom="0.75" header="0.3" footer="0.3"/>
  <pageSetup scale="80" orientation="landscape" r:id="rId1"/>
  <headerFooter>
    <oddHeader>&amp;C&amp;"Aptos Narror,Bold"&amp;14&amp;A Emission Calculations</oddHeader>
    <oddFooter>&amp;L&amp;"-,Regular"St. Paul Brass &amp; Aluminum Foundry (Facility ID: 12300001)
B2303515&amp;C&amp;"-,Regular"&amp;P of &amp;N&amp;R&amp;"-,Regular"&amp;D</oddFooter>
  </headerFooter>
  <rowBreaks count="1" manualBreakCount="1">
    <brk id="24" max="1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6B1C8-D57D-4D51-9825-DA6FDDA4A0F2}">
  <sheetPr codeName="Sheet13"/>
  <dimension ref="A1:L61"/>
  <sheetViews>
    <sheetView topLeftCell="A51" zoomScaleNormal="100" workbookViewId="0">
      <selection activeCell="D89" sqref="D89"/>
    </sheetView>
  </sheetViews>
  <sheetFormatPr defaultColWidth="8.81640625" defaultRowHeight="13"/>
  <cols>
    <col min="1" max="1" width="13.7265625" style="220" customWidth="1"/>
    <col min="2" max="4" width="10.7265625" style="220" customWidth="1"/>
    <col min="5" max="12" width="12.7265625" style="220" customWidth="1"/>
    <col min="13" max="16" width="10.7265625" style="220" customWidth="1"/>
    <col min="17" max="19" width="8.81640625" style="220"/>
    <col min="20" max="20" width="10" style="220" customWidth="1"/>
    <col min="21" max="23" width="8.81640625" style="220"/>
    <col min="24" max="24" width="10.1796875" style="220" customWidth="1"/>
    <col min="25" max="27" width="8.81640625" style="220"/>
    <col min="28" max="28" width="10.26953125" style="220" customWidth="1"/>
    <col min="29" max="31" width="8.81640625" style="220"/>
    <col min="32" max="32" width="10.26953125" style="220" customWidth="1"/>
    <col min="33" max="35" width="8.81640625" style="220"/>
    <col min="36" max="36" width="9.81640625" style="220" customWidth="1"/>
    <col min="37" max="16384" width="8.81640625" style="220"/>
  </cols>
  <sheetData>
    <row r="1" spans="1:10" ht="18.5">
      <c r="A1" s="221" t="s">
        <v>741</v>
      </c>
      <c r="B1" s="221"/>
      <c r="D1" s="221"/>
      <c r="E1" s="221"/>
    </row>
    <row r="2" spans="1:10">
      <c r="A2" s="261"/>
      <c r="B2" s="261"/>
      <c r="D2" s="261"/>
      <c r="E2" s="261"/>
    </row>
    <row r="3" spans="1:10">
      <c r="A3" s="1623" t="s">
        <v>847</v>
      </c>
      <c r="B3" s="1623"/>
      <c r="C3" s="1623"/>
      <c r="D3" s="1623"/>
      <c r="E3" s="1623"/>
      <c r="F3" s="1623"/>
      <c r="G3" s="1623"/>
      <c r="H3" s="1623"/>
      <c r="I3" s="1623"/>
      <c r="J3" s="1623"/>
    </row>
    <row r="4" spans="1:10">
      <c r="A4" s="1623"/>
      <c r="B4" s="1623"/>
      <c r="C4" s="1623"/>
      <c r="D4" s="1623"/>
      <c r="E4" s="1623"/>
      <c r="F4" s="1623"/>
      <c r="G4" s="1623"/>
      <c r="H4" s="1623"/>
      <c r="I4" s="1623"/>
      <c r="J4" s="1623"/>
    </row>
    <row r="5" spans="1:10" s="424" customFormat="1">
      <c r="A5" s="1623"/>
      <c r="B5" s="1623"/>
      <c r="C5" s="1623"/>
      <c r="D5" s="1623"/>
      <c r="E5" s="1623"/>
      <c r="F5" s="1623"/>
      <c r="G5" s="1623"/>
      <c r="H5" s="1623"/>
      <c r="I5" s="1623"/>
      <c r="J5" s="1623"/>
    </row>
    <row r="6" spans="1:10">
      <c r="A6" s="1623"/>
      <c r="B6" s="1623"/>
      <c r="C6" s="1623"/>
      <c r="D6" s="1623"/>
      <c r="E6" s="1623"/>
      <c r="F6" s="1623"/>
      <c r="G6" s="1623"/>
      <c r="H6" s="1623"/>
      <c r="I6" s="1623"/>
      <c r="J6" s="1623"/>
    </row>
    <row r="7" spans="1:10" ht="13.5" thickBot="1">
      <c r="A7" s="261"/>
      <c r="B7" s="261"/>
      <c r="D7" s="261"/>
    </row>
    <row r="8" spans="1:10" ht="13.5" thickBot="1">
      <c r="A8" s="593" t="s">
        <v>220</v>
      </c>
      <c r="B8" s="594" t="s">
        <v>221</v>
      </c>
      <c r="C8" s="224" t="s">
        <v>222</v>
      </c>
      <c r="D8" s="595"/>
      <c r="E8" s="595"/>
      <c r="F8" s="225"/>
      <c r="G8" s="1544" t="s">
        <v>223</v>
      </c>
      <c r="H8" s="1544"/>
      <c r="I8" s="1544"/>
      <c r="J8" s="226" t="s">
        <v>224</v>
      </c>
    </row>
    <row r="9" spans="1:10">
      <c r="A9" s="606" t="s">
        <v>703</v>
      </c>
      <c r="B9" s="573" t="s">
        <v>690</v>
      </c>
      <c r="C9" s="229" t="s">
        <v>705</v>
      </c>
      <c r="D9" s="229"/>
      <c r="E9" s="229"/>
      <c r="F9" s="228"/>
      <c r="G9" s="549"/>
      <c r="H9" s="549"/>
      <c r="I9" s="1617" t="s">
        <v>710</v>
      </c>
      <c r="J9" s="1620"/>
    </row>
    <row r="10" spans="1:10">
      <c r="A10" s="248" t="s">
        <v>703</v>
      </c>
      <c r="B10" s="523" t="s">
        <v>690</v>
      </c>
      <c r="C10" s="235" t="s">
        <v>706</v>
      </c>
      <c r="D10" s="235"/>
      <c r="E10" s="235"/>
      <c r="F10" s="234"/>
      <c r="I10" s="1618"/>
      <c r="J10" s="1621"/>
    </row>
    <row r="11" spans="1:10">
      <c r="A11" s="248" t="s">
        <v>310</v>
      </c>
      <c r="B11" s="523" t="s">
        <v>690</v>
      </c>
      <c r="C11" s="235" t="s">
        <v>707</v>
      </c>
      <c r="D11" s="235"/>
      <c r="E11" s="235"/>
      <c r="F11" s="234"/>
      <c r="I11" s="1618"/>
      <c r="J11" s="1621"/>
    </row>
    <row r="12" spans="1:10">
      <c r="A12" s="248" t="s">
        <v>704</v>
      </c>
      <c r="B12" s="523" t="s">
        <v>690</v>
      </c>
      <c r="C12" s="235" t="s">
        <v>711</v>
      </c>
      <c r="D12" s="235"/>
      <c r="E12" s="235"/>
      <c r="F12" s="234"/>
      <c r="I12" s="1618"/>
      <c r="J12" s="1621"/>
    </row>
    <row r="13" spans="1:10">
      <c r="A13" s="248" t="s">
        <v>704</v>
      </c>
      <c r="B13" s="523" t="s">
        <v>690</v>
      </c>
      <c r="C13" s="235" t="s">
        <v>712</v>
      </c>
      <c r="D13" s="235"/>
      <c r="E13" s="235"/>
      <c r="F13" s="234"/>
      <c r="I13" s="1618"/>
      <c r="J13" s="1621"/>
    </row>
    <row r="14" spans="1:10">
      <c r="A14" s="248" t="s">
        <v>704</v>
      </c>
      <c r="B14" s="523" t="s">
        <v>690</v>
      </c>
      <c r="C14" s="235" t="s">
        <v>713</v>
      </c>
      <c r="D14" s="235"/>
      <c r="E14" s="235"/>
      <c r="F14" s="234"/>
      <c r="I14" s="1618"/>
      <c r="J14" s="1621"/>
    </row>
    <row r="15" spans="1:10">
      <c r="A15" s="248" t="s">
        <v>310</v>
      </c>
      <c r="B15" s="523" t="s">
        <v>690</v>
      </c>
      <c r="C15" s="235" t="s">
        <v>708</v>
      </c>
      <c r="D15" s="235"/>
      <c r="E15" s="235"/>
      <c r="F15" s="234"/>
      <c r="I15" s="1618"/>
      <c r="J15" s="1621"/>
    </row>
    <row r="16" spans="1:10" ht="13.5" thickBot="1">
      <c r="A16" s="256" t="s">
        <v>310</v>
      </c>
      <c r="B16" s="535" t="s">
        <v>690</v>
      </c>
      <c r="C16" s="241" t="s">
        <v>709</v>
      </c>
      <c r="D16" s="241"/>
      <c r="E16" s="241"/>
      <c r="F16" s="240"/>
      <c r="G16" s="604"/>
      <c r="H16" s="604"/>
      <c r="I16" s="1619"/>
      <c r="J16" s="1622"/>
    </row>
    <row r="17" spans="1:12">
      <c r="A17" s="601"/>
      <c r="H17" s="610" t="s">
        <v>682</v>
      </c>
      <c r="I17" s="220">
        <v>3.8</v>
      </c>
      <c r="J17" s="553" t="s">
        <v>236</v>
      </c>
    </row>
    <row r="18" spans="1:12">
      <c r="A18" s="248"/>
      <c r="B18" s="235"/>
      <c r="C18" s="235"/>
      <c r="D18" s="235"/>
      <c r="E18" s="235"/>
      <c r="F18" s="235"/>
      <c r="G18" s="235"/>
      <c r="H18" s="249" t="s">
        <v>316</v>
      </c>
      <c r="I18" s="250">
        <f>I17*I20</f>
        <v>33288</v>
      </c>
      <c r="J18" s="238" t="s">
        <v>228</v>
      </c>
    </row>
    <row r="19" spans="1:12">
      <c r="A19" s="251"/>
      <c r="B19" s="252"/>
      <c r="C19" s="252"/>
      <c r="D19" s="252"/>
      <c r="E19" s="252"/>
      <c r="F19" s="252"/>
      <c r="G19" s="252"/>
      <c r="H19" s="253" t="s">
        <v>683</v>
      </c>
      <c r="I19" s="795">
        <v>3000</v>
      </c>
      <c r="J19" s="254" t="s">
        <v>392</v>
      </c>
    </row>
    <row r="20" spans="1:12" ht="13.5" thickBot="1">
      <c r="A20" s="256"/>
      <c r="B20" s="241"/>
      <c r="C20" s="241"/>
      <c r="D20" s="241"/>
      <c r="E20" s="241"/>
      <c r="F20" s="241"/>
      <c r="G20" s="241"/>
      <c r="H20" s="243" t="s">
        <v>137</v>
      </c>
      <c r="I20" s="241">
        <v>8760</v>
      </c>
      <c r="J20" s="244" t="s">
        <v>240</v>
      </c>
    </row>
    <row r="21" spans="1:12" ht="12.75" customHeight="1">
      <c r="A21" s="549" t="s">
        <v>681</v>
      </c>
      <c r="B21" s="549"/>
      <c r="C21" s="549"/>
      <c r="D21" s="549"/>
      <c r="E21" s="549"/>
      <c r="F21" s="549"/>
      <c r="G21" s="549"/>
      <c r="H21" s="549"/>
      <c r="I21" s="549"/>
      <c r="J21" s="549"/>
    </row>
    <row r="22" spans="1:12">
      <c r="A22" s="424" t="s">
        <v>726</v>
      </c>
      <c r="B22" s="352"/>
      <c r="C22" s="352"/>
      <c r="D22" s="352"/>
      <c r="E22" s="352"/>
      <c r="F22" s="352"/>
      <c r="G22" s="352"/>
      <c r="H22" s="352"/>
      <c r="I22" s="352"/>
      <c r="J22" s="352"/>
    </row>
    <row r="23" spans="1:12" ht="13.5" thickBot="1">
      <c r="A23" s="424"/>
      <c r="B23" s="352"/>
      <c r="C23" s="352"/>
      <c r="D23" s="352"/>
      <c r="E23" s="352"/>
      <c r="F23" s="352"/>
      <c r="G23" s="352"/>
      <c r="H23" s="352"/>
      <c r="I23" s="352"/>
      <c r="J23" s="352"/>
    </row>
    <row r="24" spans="1:12" ht="32.25" customHeight="1" thickBot="1">
      <c r="E24" s="1548" t="s">
        <v>727</v>
      </c>
      <c r="F24" s="1550"/>
      <c r="G24" s="1550"/>
      <c r="H24" s="1550"/>
      <c r="I24" s="1550"/>
      <c r="J24" s="1550"/>
      <c r="K24" s="1550"/>
      <c r="L24" s="1549"/>
    </row>
    <row r="25" spans="1:12" ht="13.5" customHeight="1">
      <c r="E25" s="1536" t="s">
        <v>717</v>
      </c>
      <c r="F25" s="1537"/>
      <c r="G25" s="1536" t="s">
        <v>717</v>
      </c>
      <c r="H25" s="1537"/>
      <c r="I25" s="1536" t="s">
        <v>717</v>
      </c>
      <c r="J25" s="1537"/>
      <c r="K25" s="1536" t="s">
        <v>717</v>
      </c>
      <c r="L25" s="1538"/>
    </row>
    <row r="26" spans="1:12" ht="13.5" thickBot="1">
      <c r="E26" s="1611" t="s">
        <v>705</v>
      </c>
      <c r="F26" s="1612"/>
      <c r="G26" s="1611" t="s">
        <v>706</v>
      </c>
      <c r="H26" s="1613"/>
      <c r="I26" s="1612" t="s">
        <v>714</v>
      </c>
      <c r="J26" s="1612"/>
      <c r="K26" s="1611" t="s">
        <v>715</v>
      </c>
      <c r="L26" s="1613"/>
    </row>
    <row r="27" spans="1:12" ht="39.5" thickBot="1">
      <c r="A27" s="401" t="s">
        <v>70</v>
      </c>
      <c r="B27" s="402" t="s">
        <v>353</v>
      </c>
      <c r="C27" s="402" t="s">
        <v>1</v>
      </c>
      <c r="D27" s="403" t="s">
        <v>254</v>
      </c>
      <c r="E27" s="698" t="s">
        <v>354</v>
      </c>
      <c r="F27" s="402" t="s">
        <v>355</v>
      </c>
      <c r="G27" s="698" t="s">
        <v>354</v>
      </c>
      <c r="H27" s="402" t="s">
        <v>355</v>
      </c>
      <c r="I27" s="698" t="s">
        <v>354</v>
      </c>
      <c r="J27" s="402" t="s">
        <v>355</v>
      </c>
      <c r="K27" s="698" t="s">
        <v>354</v>
      </c>
      <c r="L27" s="643" t="s">
        <v>355</v>
      </c>
    </row>
    <row r="28" spans="1:12">
      <c r="A28" s="702" t="s">
        <v>35</v>
      </c>
      <c r="B28" s="645">
        <v>3.2000000000000001E-2</v>
      </c>
      <c r="C28" s="645" t="s">
        <v>258</v>
      </c>
      <c r="D28" s="276" t="s">
        <v>357</v>
      </c>
      <c r="E28" s="315">
        <f>$I$17*B28</f>
        <v>0.1216</v>
      </c>
      <c r="F28" s="646">
        <f>E28*8760/2000</f>
        <v>0.53260799999999997</v>
      </c>
      <c r="G28" s="315">
        <f>$I$17*$B28</f>
        <v>0.1216</v>
      </c>
      <c r="H28" s="646">
        <f t="shared" ref="H28:H37" si="0">G28*8760/2000</f>
        <v>0.53260799999999997</v>
      </c>
      <c r="I28" s="315">
        <f>$I$17*$B28</f>
        <v>0.1216</v>
      </c>
      <c r="J28" s="646">
        <f t="shared" ref="J28:J37" si="1">I28*8760/2000</f>
        <v>0.53260799999999997</v>
      </c>
      <c r="K28" s="315">
        <f>$I$17*$B28</f>
        <v>0.1216</v>
      </c>
      <c r="L28" s="316">
        <f t="shared" ref="L28:L37" si="2">K28*8760/2000</f>
        <v>0.53260799999999997</v>
      </c>
    </row>
    <row r="29" spans="1:12">
      <c r="A29" s="526" t="s">
        <v>36</v>
      </c>
      <c r="B29" s="415">
        <v>4.4999999999999997E-3</v>
      </c>
      <c r="C29" s="415" t="s">
        <v>258</v>
      </c>
      <c r="D29" s="286" t="s">
        <v>357</v>
      </c>
      <c r="E29" s="320">
        <f>$I$17*B29</f>
        <v>1.7099999999999997E-2</v>
      </c>
      <c r="F29" s="414">
        <f t="shared" ref="F29:F37" si="3">E29*8760/2000</f>
        <v>7.4897999999999978E-2</v>
      </c>
      <c r="G29" s="320">
        <f>$I$17*$B29</f>
        <v>1.7099999999999997E-2</v>
      </c>
      <c r="H29" s="414">
        <f t="shared" si="0"/>
        <v>7.4897999999999978E-2</v>
      </c>
      <c r="I29" s="320">
        <f>$I$17*$B29</f>
        <v>1.7099999999999997E-2</v>
      </c>
      <c r="J29" s="414">
        <f t="shared" si="1"/>
        <v>7.4897999999999978E-2</v>
      </c>
      <c r="K29" s="320">
        <f>$I$17*$B29</f>
        <v>1.7099999999999997E-2</v>
      </c>
      <c r="L29" s="287">
        <f t="shared" si="2"/>
        <v>7.4897999999999978E-2</v>
      </c>
    </row>
    <row r="30" spans="1:12">
      <c r="A30" s="526" t="s">
        <v>37</v>
      </c>
      <c r="B30" s="415">
        <f>B29</f>
        <v>4.4999999999999997E-3</v>
      </c>
      <c r="C30" s="415" t="s">
        <v>258</v>
      </c>
      <c r="D30" s="286" t="s">
        <v>696</v>
      </c>
      <c r="E30" s="320">
        <f>$I$17*B30</f>
        <v>1.7099999999999997E-2</v>
      </c>
      <c r="F30" s="414">
        <f t="shared" si="3"/>
        <v>7.4897999999999978E-2</v>
      </c>
      <c r="G30" s="320">
        <f>$I$17*$B30</f>
        <v>1.7099999999999997E-2</v>
      </c>
      <c r="H30" s="414">
        <f t="shared" si="0"/>
        <v>7.4897999999999978E-2</v>
      </c>
      <c r="I30" s="320">
        <f>$I$17*$B30</f>
        <v>1.7099999999999997E-2</v>
      </c>
      <c r="J30" s="414">
        <f t="shared" si="1"/>
        <v>7.4897999999999978E-2</v>
      </c>
      <c r="K30" s="320">
        <f>$I$17*$B30</f>
        <v>1.7099999999999997E-2</v>
      </c>
      <c r="L30" s="287">
        <f t="shared" si="2"/>
        <v>7.4897999999999978E-2</v>
      </c>
    </row>
    <row r="31" spans="1:12">
      <c r="A31" s="526" t="s">
        <v>40</v>
      </c>
      <c r="B31" s="415">
        <f>B55%*B28</f>
        <v>1.6000000000000001E-3</v>
      </c>
      <c r="C31" s="415" t="s">
        <v>258</v>
      </c>
      <c r="D31" s="286" t="s">
        <v>259</v>
      </c>
      <c r="E31" s="297">
        <f>$I$17*B31</f>
        <v>6.0800000000000003E-3</v>
      </c>
      <c r="F31" s="420">
        <f t="shared" si="3"/>
        <v>2.6630400000000002E-2</v>
      </c>
      <c r="G31" s="297">
        <f>$I$17*$B31</f>
        <v>6.0800000000000003E-3</v>
      </c>
      <c r="H31" s="420">
        <f t="shared" si="0"/>
        <v>2.6630400000000002E-2</v>
      </c>
      <c r="I31" s="297">
        <f>$I$17*$B31</f>
        <v>6.0800000000000003E-3</v>
      </c>
      <c r="J31" s="420">
        <f t="shared" si="1"/>
        <v>2.6630400000000002E-2</v>
      </c>
      <c r="K31" s="297">
        <f>$I$17*$B31</f>
        <v>6.0800000000000003E-3</v>
      </c>
      <c r="L31" s="293">
        <f t="shared" si="2"/>
        <v>2.6630400000000002E-2</v>
      </c>
    </row>
    <row r="32" spans="1:12">
      <c r="A32" s="526" t="s">
        <v>42</v>
      </c>
      <c r="B32" s="711"/>
      <c r="C32" s="711"/>
      <c r="D32" s="713"/>
      <c r="E32" s="297">
        <f>SUM(E33:E37)+E31</f>
        <v>1.623976673323823E-2</v>
      </c>
      <c r="F32" s="420">
        <f t="shared" ref="F32:L32" si="4">SUM(F33:F37)+F31</f>
        <v>7.1130178291583454E-2</v>
      </c>
      <c r="G32" s="297">
        <f t="shared" si="4"/>
        <v>1.623976673323823E-2</v>
      </c>
      <c r="H32" s="420">
        <f t="shared" si="4"/>
        <v>7.1130178291583454E-2</v>
      </c>
      <c r="I32" s="297">
        <f t="shared" si="4"/>
        <v>1.623976673323823E-2</v>
      </c>
      <c r="J32" s="420">
        <f t="shared" si="4"/>
        <v>7.1130178291583454E-2</v>
      </c>
      <c r="K32" s="297">
        <f t="shared" si="4"/>
        <v>1.623976673323823E-2</v>
      </c>
      <c r="L32" s="293">
        <f t="shared" si="4"/>
        <v>7.1130178291583454E-2</v>
      </c>
    </row>
    <row r="33" spans="1:12">
      <c r="A33" s="710" t="s">
        <v>265</v>
      </c>
      <c r="B33" s="712">
        <f>B56%*$B$28</f>
        <v>1.28E-6</v>
      </c>
      <c r="C33" s="409" t="s">
        <v>258</v>
      </c>
      <c r="D33" s="629" t="s">
        <v>259</v>
      </c>
      <c r="E33" s="292">
        <f>$I$17*B33</f>
        <v>4.8639999999999995E-6</v>
      </c>
      <c r="F33" s="712">
        <f t="shared" si="3"/>
        <v>2.1304319999999997E-5</v>
      </c>
      <c r="G33" s="292">
        <f>$I$17*$B33</f>
        <v>4.8639999999999995E-6</v>
      </c>
      <c r="H33" s="712">
        <f t="shared" si="0"/>
        <v>2.1304319999999997E-5</v>
      </c>
      <c r="I33" s="292">
        <f>$I$17*$B33</f>
        <v>4.8639999999999995E-6</v>
      </c>
      <c r="J33" s="712">
        <f t="shared" si="1"/>
        <v>2.1304319999999997E-5</v>
      </c>
      <c r="K33" s="292">
        <f>$I$17*$B33</f>
        <v>4.8639999999999995E-6</v>
      </c>
      <c r="L33" s="328">
        <f t="shared" si="2"/>
        <v>2.1304319999999997E-5</v>
      </c>
    </row>
    <row r="34" spans="1:12">
      <c r="A34" s="526" t="s">
        <v>266</v>
      </c>
      <c r="B34" s="420">
        <f t="shared" ref="B34:B37" si="5">B57%*$B$28</f>
        <v>3.2000000000000001E-7</v>
      </c>
      <c r="C34" s="415" t="s">
        <v>258</v>
      </c>
      <c r="D34" s="286" t="s">
        <v>259</v>
      </c>
      <c r="E34" s="297">
        <f>$I$17*B34</f>
        <v>1.2159999999999999E-6</v>
      </c>
      <c r="F34" s="420">
        <f t="shared" si="3"/>
        <v>5.3260799999999992E-6</v>
      </c>
      <c r="G34" s="297">
        <f>$I$17*$B34</f>
        <v>1.2159999999999999E-6</v>
      </c>
      <c r="H34" s="420">
        <f t="shared" si="0"/>
        <v>5.3260799999999992E-6</v>
      </c>
      <c r="I34" s="297">
        <f>$I$17*$B34</f>
        <v>1.2159999999999999E-6</v>
      </c>
      <c r="J34" s="420">
        <f t="shared" si="1"/>
        <v>5.3260799999999992E-6</v>
      </c>
      <c r="K34" s="297">
        <f>$I$17*$B34</f>
        <v>1.2159999999999999E-6</v>
      </c>
      <c r="L34" s="293">
        <f t="shared" si="2"/>
        <v>5.3260799999999992E-6</v>
      </c>
    </row>
    <row r="35" spans="1:12">
      <c r="A35" s="526" t="s">
        <v>267</v>
      </c>
      <c r="B35" s="420">
        <f t="shared" si="5"/>
        <v>3.1999999999999999E-5</v>
      </c>
      <c r="C35" s="415" t="s">
        <v>258</v>
      </c>
      <c r="D35" s="286" t="s">
        <v>259</v>
      </c>
      <c r="E35" s="297">
        <f>$I$17*B35</f>
        <v>1.2159999999999999E-4</v>
      </c>
      <c r="F35" s="420">
        <f t="shared" si="3"/>
        <v>5.3260799999999995E-4</v>
      </c>
      <c r="G35" s="297">
        <f>$I$17*$B35</f>
        <v>1.2159999999999999E-4</v>
      </c>
      <c r="H35" s="420">
        <f t="shared" si="0"/>
        <v>5.3260799999999995E-4</v>
      </c>
      <c r="I35" s="297">
        <f>$I$17*$B35</f>
        <v>1.2159999999999999E-4</v>
      </c>
      <c r="J35" s="420">
        <f t="shared" si="1"/>
        <v>5.3260799999999995E-4</v>
      </c>
      <c r="K35" s="297">
        <f>$I$17*$B35</f>
        <v>1.2159999999999999E-4</v>
      </c>
      <c r="L35" s="293">
        <f t="shared" si="2"/>
        <v>5.3260799999999995E-4</v>
      </c>
    </row>
    <row r="36" spans="1:12">
      <c r="A36" s="526" t="s">
        <v>268</v>
      </c>
      <c r="B36" s="420">
        <f t="shared" si="5"/>
        <v>1.2000228245363767E-3</v>
      </c>
      <c r="C36" s="415" t="s">
        <v>258</v>
      </c>
      <c r="D36" s="286" t="s">
        <v>259</v>
      </c>
      <c r="E36" s="297">
        <f>$I$17*B36</f>
        <v>4.5600867332382311E-3</v>
      </c>
      <c r="F36" s="420">
        <f t="shared" si="3"/>
        <v>1.9973179891583454E-2</v>
      </c>
      <c r="G36" s="297">
        <f>$I$17*$B36</f>
        <v>4.5600867332382311E-3</v>
      </c>
      <c r="H36" s="420">
        <f t="shared" si="0"/>
        <v>1.9973179891583454E-2</v>
      </c>
      <c r="I36" s="297">
        <f>$I$17*$B36</f>
        <v>4.5600867332382311E-3</v>
      </c>
      <c r="J36" s="420">
        <f t="shared" si="1"/>
        <v>1.9973179891583454E-2</v>
      </c>
      <c r="K36" s="297">
        <f>$I$17*$B36</f>
        <v>4.5600867332382311E-3</v>
      </c>
      <c r="L36" s="293">
        <f t="shared" si="2"/>
        <v>1.9973179891583454E-2</v>
      </c>
    </row>
    <row r="37" spans="1:12" ht="13.5" thickBot="1">
      <c r="A37" s="706" t="s">
        <v>269</v>
      </c>
      <c r="B37" s="655">
        <f t="shared" si="5"/>
        <v>1.4399999999999999E-3</v>
      </c>
      <c r="C37" s="654" t="s">
        <v>258</v>
      </c>
      <c r="D37" s="301" t="s">
        <v>259</v>
      </c>
      <c r="E37" s="302">
        <f>$I$17*B37</f>
        <v>5.4719999999999994E-3</v>
      </c>
      <c r="F37" s="655">
        <f t="shared" si="3"/>
        <v>2.3967359999999997E-2</v>
      </c>
      <c r="G37" s="302">
        <f>$I$17*$B37</f>
        <v>5.4719999999999994E-3</v>
      </c>
      <c r="H37" s="655">
        <f t="shared" si="0"/>
        <v>2.3967359999999997E-2</v>
      </c>
      <c r="I37" s="302">
        <f>$I$17*$B37</f>
        <v>5.4719999999999994E-3</v>
      </c>
      <c r="J37" s="655">
        <f t="shared" si="1"/>
        <v>2.3967359999999997E-2</v>
      </c>
      <c r="K37" s="302">
        <f>$I$17*$B37</f>
        <v>5.4719999999999994E-3</v>
      </c>
      <c r="L37" s="303">
        <f t="shared" si="2"/>
        <v>2.3967359999999997E-2</v>
      </c>
    </row>
    <row r="38" spans="1:12" ht="13.5" customHeight="1">
      <c r="A38" s="1200"/>
      <c r="B38" s="1201"/>
      <c r="C38" s="1200"/>
      <c r="D38" s="1200"/>
      <c r="E38" s="1536" t="s">
        <v>717</v>
      </c>
      <c r="F38" s="1537"/>
      <c r="G38" s="1616" t="s">
        <v>352</v>
      </c>
      <c r="H38" s="1538"/>
      <c r="I38" s="1616" t="s">
        <v>352</v>
      </c>
      <c r="J38" s="1538"/>
      <c r="K38" s="1616" t="s">
        <v>352</v>
      </c>
      <c r="L38" s="1538"/>
    </row>
    <row r="39" spans="1:12" ht="13.5" thickBot="1">
      <c r="A39" s="260"/>
      <c r="B39" s="705"/>
      <c r="C39" s="260"/>
      <c r="D39" s="260"/>
      <c r="E39" s="1611" t="s">
        <v>716</v>
      </c>
      <c r="F39" s="1612"/>
      <c r="G39" s="1611" t="s">
        <v>394</v>
      </c>
      <c r="H39" s="1613"/>
      <c r="I39" s="1611" t="s">
        <v>395</v>
      </c>
      <c r="J39" s="1613"/>
      <c r="K39" s="1611" t="s">
        <v>707</v>
      </c>
      <c r="L39" s="1613"/>
    </row>
    <row r="40" spans="1:12" ht="39.5" thickBot="1">
      <c r="A40" s="401" t="s">
        <v>70</v>
      </c>
      <c r="B40" s="402" t="s">
        <v>353</v>
      </c>
      <c r="C40" s="402" t="s">
        <v>1</v>
      </c>
      <c r="D40" s="403" t="s">
        <v>254</v>
      </c>
      <c r="E40" s="698" t="s">
        <v>354</v>
      </c>
      <c r="F40" s="402" t="s">
        <v>355</v>
      </c>
      <c r="G40" s="698" t="s">
        <v>354</v>
      </c>
      <c r="H40" s="402" t="s">
        <v>355</v>
      </c>
      <c r="I40" s="698" t="s">
        <v>354</v>
      </c>
      <c r="J40" s="402" t="s">
        <v>355</v>
      </c>
      <c r="K40" s="698" t="s">
        <v>354</v>
      </c>
      <c r="L40" s="643" t="s">
        <v>355</v>
      </c>
    </row>
    <row r="41" spans="1:12">
      <c r="A41" s="702" t="s">
        <v>35</v>
      </c>
      <c r="B41" s="645">
        <v>3.2000000000000001E-2</v>
      </c>
      <c r="C41" s="645" t="s">
        <v>258</v>
      </c>
      <c r="D41" s="276" t="s">
        <v>357</v>
      </c>
      <c r="E41" s="315">
        <f>$I$17*$B28</f>
        <v>0.1216</v>
      </c>
      <c r="F41" s="646">
        <f t="shared" ref="F41:F50" si="6">E41*8760/2000</f>
        <v>0.53260799999999997</v>
      </c>
      <c r="G41" s="315">
        <f>$I$17*$B28</f>
        <v>0.1216</v>
      </c>
      <c r="H41" s="646">
        <f t="shared" ref="H41:H50" si="7">G41*8760/2000</f>
        <v>0.53260799999999997</v>
      </c>
      <c r="I41" s="315">
        <f>$I$17*$B28</f>
        <v>0.1216</v>
      </c>
      <c r="J41" s="646">
        <f t="shared" ref="J41:J50" si="8">I41*8760/2000</f>
        <v>0.53260799999999997</v>
      </c>
      <c r="K41" s="315">
        <f>$I$17*$B28</f>
        <v>0.1216</v>
      </c>
      <c r="L41" s="316">
        <f t="shared" ref="L41:L50" si="9">K41*8760/2000</f>
        <v>0.53260799999999997</v>
      </c>
    </row>
    <row r="42" spans="1:12">
      <c r="A42" s="526" t="s">
        <v>36</v>
      </c>
      <c r="B42" s="415">
        <v>4.4999999999999997E-3</v>
      </c>
      <c r="C42" s="415" t="s">
        <v>258</v>
      </c>
      <c r="D42" s="286" t="s">
        <v>357</v>
      </c>
      <c r="E42" s="320">
        <f>$I$17*$B29</f>
        <v>1.7099999999999997E-2</v>
      </c>
      <c r="F42" s="414">
        <f t="shared" si="6"/>
        <v>7.4897999999999978E-2</v>
      </c>
      <c r="G42" s="320">
        <f>$I$17*$B29</f>
        <v>1.7099999999999997E-2</v>
      </c>
      <c r="H42" s="414">
        <f t="shared" si="7"/>
        <v>7.4897999999999978E-2</v>
      </c>
      <c r="I42" s="320">
        <f>$I$17*$B29</f>
        <v>1.7099999999999997E-2</v>
      </c>
      <c r="J42" s="414">
        <f t="shared" si="8"/>
        <v>7.4897999999999978E-2</v>
      </c>
      <c r="K42" s="320">
        <f>$I$17*$B29</f>
        <v>1.7099999999999997E-2</v>
      </c>
      <c r="L42" s="287">
        <f t="shared" si="9"/>
        <v>7.4897999999999978E-2</v>
      </c>
    </row>
    <row r="43" spans="1:12">
      <c r="A43" s="526" t="s">
        <v>37</v>
      </c>
      <c r="B43" s="415">
        <f>B42</f>
        <v>4.4999999999999997E-3</v>
      </c>
      <c r="C43" s="415" t="s">
        <v>258</v>
      </c>
      <c r="D43" s="286" t="s">
        <v>696</v>
      </c>
      <c r="E43" s="320">
        <f>$I$17*$B30</f>
        <v>1.7099999999999997E-2</v>
      </c>
      <c r="F43" s="414">
        <f t="shared" si="6"/>
        <v>7.4897999999999978E-2</v>
      </c>
      <c r="G43" s="320">
        <f>$I$17*$B30</f>
        <v>1.7099999999999997E-2</v>
      </c>
      <c r="H43" s="414">
        <f t="shared" si="7"/>
        <v>7.4897999999999978E-2</v>
      </c>
      <c r="I43" s="320">
        <f>$I$17*$B30</f>
        <v>1.7099999999999997E-2</v>
      </c>
      <c r="J43" s="414">
        <f t="shared" si="8"/>
        <v>7.4897999999999978E-2</v>
      </c>
      <c r="K43" s="320">
        <f>$I$17*$B30</f>
        <v>1.7099999999999997E-2</v>
      </c>
      <c r="L43" s="287">
        <f t="shared" si="9"/>
        <v>7.4897999999999978E-2</v>
      </c>
    </row>
    <row r="44" spans="1:12">
      <c r="A44" s="526" t="s">
        <v>40</v>
      </c>
      <c r="B44" s="415">
        <f>B66%*B41</f>
        <v>0</v>
      </c>
      <c r="C44" s="415" t="s">
        <v>258</v>
      </c>
      <c r="D44" s="286" t="s">
        <v>259</v>
      </c>
      <c r="E44" s="297">
        <f>$I$17*$B31</f>
        <v>6.0800000000000003E-3</v>
      </c>
      <c r="F44" s="420">
        <f t="shared" si="6"/>
        <v>2.6630400000000002E-2</v>
      </c>
      <c r="G44" s="297">
        <f>$I$17*$B31</f>
        <v>6.0800000000000003E-3</v>
      </c>
      <c r="H44" s="420">
        <f t="shared" si="7"/>
        <v>2.6630400000000002E-2</v>
      </c>
      <c r="I44" s="297">
        <f>$I$17*$B31</f>
        <v>6.0800000000000003E-3</v>
      </c>
      <c r="J44" s="420">
        <f t="shared" si="8"/>
        <v>2.6630400000000002E-2</v>
      </c>
      <c r="K44" s="297">
        <f>$I$17*$B31</f>
        <v>6.0800000000000003E-3</v>
      </c>
      <c r="L44" s="293">
        <f t="shared" si="9"/>
        <v>2.6630400000000002E-2</v>
      </c>
    </row>
    <row r="45" spans="1:12">
      <c r="A45" s="526" t="s">
        <v>42</v>
      </c>
      <c r="B45" s="711"/>
      <c r="C45" s="711"/>
      <c r="D45" s="713"/>
      <c r="E45" s="297">
        <f t="shared" ref="E45:L45" si="10">SUM(E46:E50)+E44</f>
        <v>1.623976673323823E-2</v>
      </c>
      <c r="F45" s="420">
        <f t="shared" si="10"/>
        <v>7.1130178291583454E-2</v>
      </c>
      <c r="G45" s="297">
        <f t="shared" si="10"/>
        <v>1.623976673323823E-2</v>
      </c>
      <c r="H45" s="420">
        <f t="shared" si="10"/>
        <v>7.1130178291583454E-2</v>
      </c>
      <c r="I45" s="297">
        <f t="shared" si="10"/>
        <v>1.623976673323823E-2</v>
      </c>
      <c r="J45" s="420">
        <f t="shared" si="10"/>
        <v>7.1130178291583454E-2</v>
      </c>
      <c r="K45" s="297">
        <f t="shared" si="10"/>
        <v>1.623976673323823E-2</v>
      </c>
      <c r="L45" s="293">
        <f t="shared" si="10"/>
        <v>7.1130178291583454E-2</v>
      </c>
    </row>
    <row r="46" spans="1:12">
      <c r="A46" s="710" t="s">
        <v>265</v>
      </c>
      <c r="B46" s="712">
        <f>B67%*$B$28</f>
        <v>0</v>
      </c>
      <c r="C46" s="409" t="s">
        <v>258</v>
      </c>
      <c r="D46" s="629" t="s">
        <v>259</v>
      </c>
      <c r="E46" s="292">
        <f>$I$17*$B33</f>
        <v>4.8639999999999995E-6</v>
      </c>
      <c r="F46" s="712">
        <f t="shared" si="6"/>
        <v>2.1304319999999997E-5</v>
      </c>
      <c r="G46" s="292">
        <f>$I$17*$B33</f>
        <v>4.8639999999999995E-6</v>
      </c>
      <c r="H46" s="712">
        <f t="shared" si="7"/>
        <v>2.1304319999999997E-5</v>
      </c>
      <c r="I46" s="292">
        <f>$I$17*$B33</f>
        <v>4.8639999999999995E-6</v>
      </c>
      <c r="J46" s="712">
        <f t="shared" si="8"/>
        <v>2.1304319999999997E-5</v>
      </c>
      <c r="K46" s="292">
        <f>$I$17*$B33</f>
        <v>4.8639999999999995E-6</v>
      </c>
      <c r="L46" s="328">
        <f t="shared" si="9"/>
        <v>2.1304319999999997E-5</v>
      </c>
    </row>
    <row r="47" spans="1:12">
      <c r="A47" s="526" t="s">
        <v>266</v>
      </c>
      <c r="B47" s="420">
        <f t="shared" ref="B47:B50" si="11">B68%*$B$28</f>
        <v>0</v>
      </c>
      <c r="C47" s="415" t="s">
        <v>258</v>
      </c>
      <c r="D47" s="286" t="s">
        <v>259</v>
      </c>
      <c r="E47" s="297">
        <f>$I$17*$B34</f>
        <v>1.2159999999999999E-6</v>
      </c>
      <c r="F47" s="420">
        <f t="shared" si="6"/>
        <v>5.3260799999999992E-6</v>
      </c>
      <c r="G47" s="297">
        <f>$I$17*$B34</f>
        <v>1.2159999999999999E-6</v>
      </c>
      <c r="H47" s="420">
        <f t="shared" si="7"/>
        <v>5.3260799999999992E-6</v>
      </c>
      <c r="I47" s="297">
        <f>$I$17*$B34</f>
        <v>1.2159999999999999E-6</v>
      </c>
      <c r="J47" s="420">
        <f t="shared" si="8"/>
        <v>5.3260799999999992E-6</v>
      </c>
      <c r="K47" s="297">
        <f>$I$17*$B34</f>
        <v>1.2159999999999999E-6</v>
      </c>
      <c r="L47" s="293">
        <f t="shared" si="9"/>
        <v>5.3260799999999992E-6</v>
      </c>
    </row>
    <row r="48" spans="1:12">
      <c r="A48" s="526" t="s">
        <v>267</v>
      </c>
      <c r="B48" s="420">
        <f t="shared" si="11"/>
        <v>0</v>
      </c>
      <c r="C48" s="415" t="s">
        <v>258</v>
      </c>
      <c r="D48" s="286" t="s">
        <v>259</v>
      </c>
      <c r="E48" s="297">
        <f>$I$17*$B35</f>
        <v>1.2159999999999999E-4</v>
      </c>
      <c r="F48" s="420">
        <f t="shared" si="6"/>
        <v>5.3260799999999995E-4</v>
      </c>
      <c r="G48" s="297">
        <f>$I$17*$B35</f>
        <v>1.2159999999999999E-4</v>
      </c>
      <c r="H48" s="420">
        <f t="shared" si="7"/>
        <v>5.3260799999999995E-4</v>
      </c>
      <c r="I48" s="297">
        <f>$I$17*$B35</f>
        <v>1.2159999999999999E-4</v>
      </c>
      <c r="J48" s="420">
        <f t="shared" si="8"/>
        <v>5.3260799999999995E-4</v>
      </c>
      <c r="K48" s="297">
        <f>$I$17*$B35</f>
        <v>1.2159999999999999E-4</v>
      </c>
      <c r="L48" s="293">
        <f t="shared" si="9"/>
        <v>5.3260799999999995E-4</v>
      </c>
    </row>
    <row r="49" spans="1:12">
      <c r="A49" s="526" t="s">
        <v>268</v>
      </c>
      <c r="B49" s="420">
        <f t="shared" si="11"/>
        <v>0</v>
      </c>
      <c r="C49" s="415" t="s">
        <v>258</v>
      </c>
      <c r="D49" s="286" t="s">
        <v>259</v>
      </c>
      <c r="E49" s="297">
        <f>$I$17*$B36</f>
        <v>4.5600867332382311E-3</v>
      </c>
      <c r="F49" s="420">
        <f t="shared" si="6"/>
        <v>1.9973179891583454E-2</v>
      </c>
      <c r="G49" s="297">
        <f>$I$17*$B36</f>
        <v>4.5600867332382311E-3</v>
      </c>
      <c r="H49" s="420">
        <f t="shared" si="7"/>
        <v>1.9973179891583454E-2</v>
      </c>
      <c r="I49" s="297">
        <f>$I$17*$B36</f>
        <v>4.5600867332382311E-3</v>
      </c>
      <c r="J49" s="420">
        <f t="shared" si="8"/>
        <v>1.9973179891583454E-2</v>
      </c>
      <c r="K49" s="297">
        <f>$I$17*$B36</f>
        <v>4.5600867332382311E-3</v>
      </c>
      <c r="L49" s="293">
        <f t="shared" si="9"/>
        <v>1.9973179891583454E-2</v>
      </c>
    </row>
    <row r="50" spans="1:12" ht="13.5" thickBot="1">
      <c r="A50" s="706" t="s">
        <v>269</v>
      </c>
      <c r="B50" s="655">
        <f t="shared" si="11"/>
        <v>0</v>
      </c>
      <c r="C50" s="654" t="s">
        <v>258</v>
      </c>
      <c r="D50" s="301" t="s">
        <v>259</v>
      </c>
      <c r="E50" s="302">
        <f>$I$17*$B37</f>
        <v>5.4719999999999994E-3</v>
      </c>
      <c r="F50" s="655">
        <f t="shared" si="6"/>
        <v>2.3967359999999997E-2</v>
      </c>
      <c r="G50" s="302">
        <f>$I$17*$B37</f>
        <v>5.4719999999999994E-3</v>
      </c>
      <c r="H50" s="655">
        <f t="shared" si="7"/>
        <v>2.3967359999999997E-2</v>
      </c>
      <c r="I50" s="302">
        <f>$I$17*$B37</f>
        <v>5.4719999999999994E-3</v>
      </c>
      <c r="J50" s="655">
        <f t="shared" si="8"/>
        <v>2.3967359999999997E-2</v>
      </c>
      <c r="K50" s="302">
        <f>$I$17*$B37</f>
        <v>5.4719999999999994E-3</v>
      </c>
      <c r="L50" s="303">
        <f t="shared" si="9"/>
        <v>2.3967359999999997E-2</v>
      </c>
    </row>
    <row r="51" spans="1:12">
      <c r="A51" s="1558" t="s">
        <v>700</v>
      </c>
      <c r="B51" s="1558"/>
      <c r="C51" s="1558"/>
      <c r="D51" s="1558"/>
      <c r="E51" s="1558"/>
      <c r="F51" s="1558"/>
      <c r="G51" s="1558"/>
      <c r="H51" s="1558"/>
      <c r="I51" s="1558"/>
      <c r="J51" s="1558"/>
      <c r="K51" s="1558"/>
      <c r="L51" s="1558"/>
    </row>
    <row r="52" spans="1:12">
      <c r="A52" s="1387"/>
      <c r="B52" s="1387"/>
      <c r="C52" s="1387"/>
      <c r="D52" s="1387"/>
      <c r="E52" s="1387"/>
      <c r="F52" s="1387"/>
      <c r="G52" s="1387"/>
      <c r="H52" s="1387"/>
      <c r="I52" s="1387"/>
      <c r="J52" s="1387"/>
      <c r="K52" s="1387"/>
      <c r="L52" s="1387"/>
    </row>
    <row r="53" spans="1:12">
      <c r="A53" s="220" t="s">
        <v>701</v>
      </c>
    </row>
    <row r="54" spans="1:12">
      <c r="A54" s="424" t="s">
        <v>698</v>
      </c>
    </row>
    <row r="55" spans="1:12">
      <c r="A55" s="424" t="s">
        <v>40</v>
      </c>
      <c r="B55" s="425">
        <f>Shotblast!B44</f>
        <v>5</v>
      </c>
      <c r="C55" s="425" t="str">
        <f>Shotblast!C44</f>
        <v>%</v>
      </c>
    </row>
    <row r="56" spans="1:12">
      <c r="A56" s="424" t="s">
        <v>265</v>
      </c>
      <c r="B56" s="621">
        <f>Shotblast!B45</f>
        <v>4.0000000000000001E-3</v>
      </c>
      <c r="C56" s="425" t="str">
        <f>Shotblast!C45</f>
        <v>%</v>
      </c>
    </row>
    <row r="57" spans="1:12">
      <c r="A57" s="424" t="s">
        <v>266</v>
      </c>
      <c r="B57" s="621">
        <f>Shotblast!B46</f>
        <v>1E-3</v>
      </c>
      <c r="C57" s="425" t="str">
        <f>Shotblast!C46</f>
        <v>%</v>
      </c>
    </row>
    <row r="58" spans="1:12">
      <c r="A58" s="424" t="s">
        <v>267</v>
      </c>
      <c r="B58" s="425">
        <f>Shotblast!B47</f>
        <v>0.1</v>
      </c>
      <c r="C58" s="425" t="str">
        <f>Shotblast!C47</f>
        <v>%</v>
      </c>
    </row>
    <row r="59" spans="1:12">
      <c r="A59" s="424" t="s">
        <v>268</v>
      </c>
      <c r="B59" s="425">
        <f>Shotblast!B48</f>
        <v>3.7500713266761769</v>
      </c>
      <c r="C59" s="425" t="str">
        <f>Shotblast!C48</f>
        <v>%</v>
      </c>
    </row>
    <row r="60" spans="1:12">
      <c r="A60" s="424" t="s">
        <v>269</v>
      </c>
      <c r="B60" s="425">
        <f>Shotblast!B49</f>
        <v>4.5</v>
      </c>
      <c r="C60" s="425" t="str">
        <f>Shotblast!C49</f>
        <v>%</v>
      </c>
    </row>
    <row r="61" spans="1:12">
      <c r="A61" s="424"/>
    </row>
  </sheetData>
  <mergeCells count="22">
    <mergeCell ref="I9:I16"/>
    <mergeCell ref="J9:J16"/>
    <mergeCell ref="A3:J6"/>
    <mergeCell ref="E26:F26"/>
    <mergeCell ref="G26:H26"/>
    <mergeCell ref="I26:J26"/>
    <mergeCell ref="G8:I8"/>
    <mergeCell ref="E24:L24"/>
    <mergeCell ref="A51:L52"/>
    <mergeCell ref="K39:L39"/>
    <mergeCell ref="K38:L38"/>
    <mergeCell ref="E25:F25"/>
    <mergeCell ref="G25:H25"/>
    <mergeCell ref="I25:J25"/>
    <mergeCell ref="K25:L25"/>
    <mergeCell ref="E38:F38"/>
    <mergeCell ref="G38:H38"/>
    <mergeCell ref="I38:J38"/>
    <mergeCell ref="K26:L26"/>
    <mergeCell ref="E39:F39"/>
    <mergeCell ref="G39:H39"/>
    <mergeCell ref="I39:J39"/>
  </mergeCells>
  <phoneticPr fontId="0" type="noConversion"/>
  <pageMargins left="0.7" right="0.7" top="0.75" bottom="0.75" header="0.3" footer="0.3"/>
  <pageSetup scale="80" orientation="landscape" r:id="rId1"/>
  <headerFooter>
    <oddHeader>&amp;C&amp;"Aptos Narror,Bold"&amp;14&amp;A Emission Calculations</oddHeader>
    <oddFooter>&amp;L&amp;"-,Regular"St. Paul Brass &amp; Aluminum Foundry (Facility ID: 12300001)
B2303515&amp;C&amp;"-,Regular"&amp;P of &amp;N&amp;R&amp;"-,Regular"&amp;D</oddFooter>
  </headerFooter>
  <rowBreaks count="1" manualBreakCount="1">
    <brk id="23" max="16383" man="1"/>
  </rowBreaks>
  <ignoredErrors>
    <ignoredError sqref="F32 G32:H32 I32:J32 K32:L3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81784-D5A8-482C-B2A7-B427D5DC122C}">
  <sheetPr codeName="Sheet1">
    <tabColor theme="0" tint="-0.14999847407452621"/>
    <pageSetUpPr fitToPage="1"/>
  </sheetPr>
  <dimension ref="A1:P203"/>
  <sheetViews>
    <sheetView showGridLines="0" zoomScaleNormal="100" zoomScalePageLayoutView="50" workbookViewId="0">
      <selection activeCell="BH18" sqref="BH18"/>
    </sheetView>
  </sheetViews>
  <sheetFormatPr defaultColWidth="12.7265625" defaultRowHeight="14.15" customHeight="1"/>
  <cols>
    <col min="1" max="1" width="29.453125" style="396" customWidth="1"/>
    <col min="2" max="2" width="18.26953125" style="396" customWidth="1"/>
    <col min="3" max="6" width="17" style="396" customWidth="1"/>
    <col min="7" max="8" width="12.7265625" style="396"/>
    <col min="9" max="9" width="26.1796875" style="396" bestFit="1" customWidth="1"/>
    <col min="10" max="16384" width="12.7265625" style="396"/>
  </cols>
  <sheetData>
    <row r="1" spans="1:13" ht="14.15" customHeight="1">
      <c r="A1" s="396" t="s">
        <v>916</v>
      </c>
    </row>
    <row r="2" spans="1:13" ht="14.15" customHeight="1">
      <c r="A2" s="396" t="s">
        <v>919</v>
      </c>
    </row>
    <row r="3" spans="1:13" ht="14.15" customHeight="1">
      <c r="A3" s="396" t="s">
        <v>920</v>
      </c>
    </row>
    <row r="4" spans="1:13" ht="14.15" customHeight="1">
      <c r="A4" s="396" t="s">
        <v>921</v>
      </c>
    </row>
    <row r="5" spans="1:13" ht="14.15" customHeight="1" thickBot="1"/>
    <row r="6" spans="1:13" ht="14.15" customHeight="1">
      <c r="A6" s="1423" t="s">
        <v>0</v>
      </c>
      <c r="B6" s="1426" t="s">
        <v>1</v>
      </c>
      <c r="C6" s="1429" t="s">
        <v>887</v>
      </c>
      <c r="D6" s="1430"/>
      <c r="E6" s="1430"/>
      <c r="F6" s="1433" t="s">
        <v>737</v>
      </c>
    </row>
    <row r="7" spans="1:13" ht="14.15" customHeight="1">
      <c r="A7" s="1424"/>
      <c r="B7" s="1427"/>
      <c r="C7" s="1431"/>
      <c r="D7" s="1432"/>
      <c r="E7" s="1432"/>
      <c r="F7" s="1434"/>
    </row>
    <row r="8" spans="1:13" ht="14.15" customHeight="1">
      <c r="A8" s="1424"/>
      <c r="B8" s="1427"/>
      <c r="C8" s="714" t="s">
        <v>876</v>
      </c>
      <c r="D8" s="907"/>
      <c r="E8" s="907"/>
      <c r="F8" s="430"/>
    </row>
    <row r="9" spans="1:13" ht="14.15" customHeight="1">
      <c r="A9" s="1424"/>
      <c r="B9" s="1427"/>
      <c r="C9" s="714" t="s">
        <v>877</v>
      </c>
      <c r="D9" s="907"/>
      <c r="E9" s="907"/>
      <c r="F9" s="430"/>
    </row>
    <row r="10" spans="1:13" ht="14.15" customHeight="1">
      <c r="A10" s="1425"/>
      <c r="B10" s="1428"/>
      <c r="C10" s="715"/>
      <c r="D10" s="452"/>
      <c r="E10" s="452"/>
      <c r="F10" s="453"/>
    </row>
    <row r="11" spans="1:13" ht="14.15" customHeight="1">
      <c r="A11" s="432" t="s">
        <v>5</v>
      </c>
      <c r="B11" s="433" t="s">
        <v>6</v>
      </c>
      <c r="C11" s="1393">
        <v>13000</v>
      </c>
      <c r="D11" s="1394"/>
      <c r="E11" s="1394"/>
      <c r="F11" s="1395"/>
      <c r="H11" s="221"/>
      <c r="I11" s="220"/>
      <c r="J11" s="220"/>
      <c r="K11" s="220"/>
      <c r="L11" s="221"/>
      <c r="M11" s="220"/>
    </row>
    <row r="12" spans="1:13" ht="14.15" customHeight="1">
      <c r="A12" s="432" t="s">
        <v>7</v>
      </c>
      <c r="B12" s="433" t="s">
        <v>8</v>
      </c>
      <c r="C12" s="1396">
        <v>75</v>
      </c>
      <c r="D12" s="1397"/>
      <c r="E12" s="1397"/>
      <c r="F12" s="1398"/>
      <c r="H12" s="221"/>
      <c r="I12" s="220"/>
      <c r="J12" s="220"/>
      <c r="K12" s="220"/>
      <c r="L12" s="221"/>
      <c r="M12" s="220"/>
    </row>
    <row r="13" spans="1:13" ht="14.15" customHeight="1">
      <c r="A13" s="432" t="s">
        <v>9</v>
      </c>
      <c r="B13" s="433" t="s">
        <v>10</v>
      </c>
      <c r="C13" s="1396">
        <v>0</v>
      </c>
      <c r="D13" s="1397"/>
      <c r="E13" s="1397"/>
      <c r="F13" s="1398"/>
      <c r="H13" s="221"/>
      <c r="I13" s="220"/>
      <c r="J13" s="220"/>
      <c r="K13" s="220"/>
      <c r="L13" s="221"/>
      <c r="M13" s="220"/>
    </row>
    <row r="14" spans="1:13" ht="14.15" customHeight="1">
      <c r="A14" s="432" t="s">
        <v>5</v>
      </c>
      <c r="B14" s="433" t="s">
        <v>11</v>
      </c>
      <c r="C14" s="1393">
        <f>C11*(459.67+68)/(C12+459.67)*(C13+14.78)/14.78</f>
        <v>12829.801559840649</v>
      </c>
      <c r="D14" s="1394"/>
      <c r="E14" s="1394"/>
      <c r="F14" s="1395"/>
    </row>
    <row r="15" spans="1:13" ht="14.15" customHeight="1" thickBot="1">
      <c r="A15" s="909" t="s">
        <v>12</v>
      </c>
      <c r="B15" s="721" t="s">
        <v>13</v>
      </c>
      <c r="C15" s="1399">
        <v>8760</v>
      </c>
      <c r="D15" s="1400"/>
      <c r="E15" s="1400"/>
      <c r="F15" s="1401"/>
    </row>
    <row r="16" spans="1:13" ht="52">
      <c r="A16" s="1402" t="s">
        <v>14</v>
      </c>
      <c r="B16" s="1403"/>
      <c r="C16" s="912" t="s">
        <v>15</v>
      </c>
      <c r="D16" s="913" t="s">
        <v>16</v>
      </c>
      <c r="E16" s="913" t="s">
        <v>890</v>
      </c>
      <c r="F16" s="914" t="s">
        <v>888</v>
      </c>
    </row>
    <row r="17" spans="1:13" ht="14.15" customHeight="1">
      <c r="A17" s="1404"/>
      <c r="B17" s="1405"/>
      <c r="C17" s="434" t="s">
        <v>17</v>
      </c>
      <c r="D17" s="435" t="s">
        <v>18</v>
      </c>
      <c r="E17" s="435" t="s">
        <v>17</v>
      </c>
      <c r="F17" s="436" t="s">
        <v>18</v>
      </c>
      <c r="G17" s="454"/>
      <c r="H17" s="454"/>
      <c r="I17" s="454"/>
      <c r="J17" s="454"/>
    </row>
    <row r="18" spans="1:13" ht="14.15" customHeight="1" thickBot="1">
      <c r="A18" s="1406" t="s">
        <v>19</v>
      </c>
      <c r="B18" s="1407"/>
      <c r="C18" s="438">
        <f>'Shakeout, Green Sand'!E25</f>
        <v>4.3636363636363633</v>
      </c>
      <c r="D18" s="439">
        <f>'Shakeout, Green Sand'!F25</f>
        <v>19.112727272727273</v>
      </c>
      <c r="E18" s="439">
        <f>'Shakeout, Green Sand'!E25*(1-'Shakeout, Green Sand'!J11%)</f>
        <v>1.7454545454545454</v>
      </c>
      <c r="F18" s="440">
        <f>'Shakeout, Green Sand'!K25</f>
        <v>1.92</v>
      </c>
      <c r="G18" s="454"/>
      <c r="H18" s="454"/>
      <c r="I18" s="454"/>
      <c r="J18" s="454"/>
    </row>
    <row r="19" spans="1:13" ht="14.15" customHeight="1">
      <c r="A19" s="1408"/>
      <c r="B19" s="1409"/>
      <c r="C19" s="1412" t="s">
        <v>894</v>
      </c>
      <c r="D19" s="1413"/>
      <c r="E19" s="1413"/>
      <c r="F19" s="1414"/>
      <c r="G19" s="454"/>
      <c r="H19" s="454"/>
      <c r="I19" s="454"/>
      <c r="J19" s="454"/>
    </row>
    <row r="20" spans="1:13" ht="14.15" customHeight="1">
      <c r="A20" s="1408"/>
      <c r="B20" s="1409"/>
      <c r="C20" s="1415" t="s">
        <v>20</v>
      </c>
      <c r="D20" s="1416"/>
      <c r="E20" s="441">
        <f>IF(C14&lt;7001, 0.1, 1.7627*(C14^-0.3241))</f>
        <v>8.2168303858477301E-2</v>
      </c>
      <c r="F20" s="442" t="s">
        <v>21</v>
      </c>
      <c r="G20" s="454"/>
      <c r="H20" s="454"/>
      <c r="I20" s="454"/>
      <c r="J20" s="454"/>
    </row>
    <row r="21" spans="1:13" ht="14.15" customHeight="1">
      <c r="A21" s="1408"/>
      <c r="B21" s="1409"/>
      <c r="C21" s="1417" t="s">
        <v>22</v>
      </c>
      <c r="D21" s="1418"/>
      <c r="E21" s="441">
        <f>E18*7000/60/C14</f>
        <v>1.5872136656717929E-2</v>
      </c>
      <c r="F21" s="442" t="s">
        <v>21</v>
      </c>
      <c r="G21" s="454"/>
      <c r="H21" s="454"/>
      <c r="I21" s="454"/>
      <c r="J21" s="454"/>
    </row>
    <row r="22" spans="1:13" ht="14.15" customHeight="1" thickBot="1">
      <c r="A22" s="1408"/>
      <c r="B22" s="1409"/>
      <c r="C22" s="1419" t="s">
        <v>23</v>
      </c>
      <c r="D22" s="1420"/>
      <c r="E22" s="1421" t="str">
        <f>IF(E21&lt;E20, "YES", "NO")</f>
        <v>YES</v>
      </c>
      <c r="F22" s="1422"/>
    </row>
    <row r="23" spans="1:13" ht="14.15" customHeight="1">
      <c r="A23" s="1408"/>
      <c r="B23" s="1409"/>
      <c r="C23" s="444" t="s">
        <v>24</v>
      </c>
      <c r="D23" s="445">
        <f>E20*C14/7000*60</f>
        <v>9.0360259972538781</v>
      </c>
      <c r="E23" s="446" t="s">
        <v>895</v>
      </c>
      <c r="F23" s="447"/>
    </row>
    <row r="24" spans="1:13" ht="14.15" customHeight="1" thickBot="1">
      <c r="A24" s="1410"/>
      <c r="B24" s="1411"/>
      <c r="C24" s="450" t="s">
        <v>25</v>
      </c>
      <c r="D24" s="451">
        <f>E18</f>
        <v>1.7454545454545454</v>
      </c>
      <c r="E24" s="392" t="s">
        <v>26</v>
      </c>
      <c r="F24" s="707"/>
    </row>
    <row r="25" spans="1:13" ht="14.15" customHeight="1" thickBot="1">
      <c r="A25" s="449"/>
      <c r="B25" s="448"/>
      <c r="C25" s="448"/>
      <c r="D25" s="448"/>
      <c r="E25" s="449"/>
      <c r="F25" s="449"/>
    </row>
    <row r="26" spans="1:13" ht="14.15" customHeight="1">
      <c r="A26" s="1423" t="s">
        <v>0</v>
      </c>
      <c r="B26" s="1426" t="s">
        <v>1</v>
      </c>
      <c r="C26" s="1429" t="s">
        <v>918</v>
      </c>
      <c r="D26" s="1430"/>
      <c r="E26" s="1430"/>
      <c r="F26" s="1433" t="s">
        <v>917</v>
      </c>
    </row>
    <row r="27" spans="1:13" ht="14.15" customHeight="1">
      <c r="A27" s="1424"/>
      <c r="B27" s="1427"/>
      <c r="C27" s="1431"/>
      <c r="D27" s="1432"/>
      <c r="E27" s="1432"/>
      <c r="F27" s="1434"/>
    </row>
    <row r="28" spans="1:13" ht="14.15" customHeight="1">
      <c r="A28" s="1424"/>
      <c r="B28" s="1427"/>
      <c r="C28" s="714" t="s">
        <v>746</v>
      </c>
      <c r="D28" s="907"/>
      <c r="E28" s="907"/>
      <c r="F28" s="430"/>
    </row>
    <row r="29" spans="1:13" ht="14.15" customHeight="1">
      <c r="A29" s="1424"/>
      <c r="B29" s="1427"/>
      <c r="C29" s="714" t="s">
        <v>747</v>
      </c>
      <c r="D29" s="907"/>
      <c r="E29" s="907"/>
      <c r="F29" s="430"/>
    </row>
    <row r="30" spans="1:13" ht="14.15" customHeight="1">
      <c r="A30" s="1425"/>
      <c r="B30" s="1428"/>
      <c r="C30" s="715"/>
      <c r="D30" s="452"/>
      <c r="E30" s="452"/>
      <c r="F30" s="453"/>
    </row>
    <row r="31" spans="1:13" ht="14.15" customHeight="1">
      <c r="A31" s="432" t="s">
        <v>5</v>
      </c>
      <c r="B31" s="433" t="s">
        <v>6</v>
      </c>
      <c r="C31" s="1393">
        <v>950</v>
      </c>
      <c r="D31" s="1394"/>
      <c r="E31" s="1394"/>
      <c r="F31" s="1395"/>
      <c r="H31" s="221"/>
      <c r="I31" s="220"/>
      <c r="J31" s="220"/>
      <c r="K31" s="220"/>
      <c r="L31" s="221"/>
      <c r="M31" s="220"/>
    </row>
    <row r="32" spans="1:13" ht="14.15" customHeight="1">
      <c r="A32" s="432" t="s">
        <v>7</v>
      </c>
      <c r="B32" s="433" t="s">
        <v>8</v>
      </c>
      <c r="C32" s="1396">
        <v>350</v>
      </c>
      <c r="D32" s="1397"/>
      <c r="E32" s="1397"/>
      <c r="F32" s="1398"/>
      <c r="H32" s="221"/>
      <c r="I32" s="220"/>
      <c r="J32" s="220"/>
      <c r="K32" s="220"/>
      <c r="L32" s="221"/>
      <c r="M32" s="220"/>
    </row>
    <row r="33" spans="1:13" ht="14.15" customHeight="1">
      <c r="A33" s="432" t="s">
        <v>9</v>
      </c>
      <c r="B33" s="433" t="s">
        <v>10</v>
      </c>
      <c r="C33" s="1396">
        <v>0</v>
      </c>
      <c r="D33" s="1397"/>
      <c r="E33" s="1397"/>
      <c r="F33" s="1398"/>
      <c r="H33" s="221"/>
      <c r="I33" s="220"/>
      <c r="J33" s="220"/>
      <c r="K33" s="220"/>
      <c r="L33" s="221"/>
      <c r="M33" s="220"/>
    </row>
    <row r="34" spans="1:13" ht="14.15" customHeight="1">
      <c r="A34" s="432" t="s">
        <v>5</v>
      </c>
      <c r="B34" s="433" t="s">
        <v>11</v>
      </c>
      <c r="C34" s="1393">
        <f>C31*(459.67+68)/(C32+459.67)*(C33+14.78)/14.78</f>
        <v>619.12445811256441</v>
      </c>
      <c r="D34" s="1394"/>
      <c r="E34" s="1394"/>
      <c r="F34" s="1395"/>
    </row>
    <row r="35" spans="1:13" ht="14.15" customHeight="1" thickBot="1">
      <c r="A35" s="909" t="s">
        <v>12</v>
      </c>
      <c r="B35" s="721" t="s">
        <v>13</v>
      </c>
      <c r="C35" s="1399">
        <v>8760</v>
      </c>
      <c r="D35" s="1400"/>
      <c r="E35" s="1400"/>
      <c r="F35" s="1401"/>
    </row>
    <row r="36" spans="1:13" ht="26">
      <c r="A36" s="1402" t="s">
        <v>14</v>
      </c>
      <c r="B36" s="1403"/>
      <c r="C36" s="912" t="s">
        <v>15</v>
      </c>
      <c r="D36" s="913" t="s">
        <v>16</v>
      </c>
      <c r="E36" s="932"/>
      <c r="F36" s="933"/>
    </row>
    <row r="37" spans="1:13" ht="14.15" customHeight="1">
      <c r="A37" s="1404"/>
      <c r="B37" s="1405"/>
      <c r="C37" s="434" t="s">
        <v>17</v>
      </c>
      <c r="D37" s="435" t="s">
        <v>18</v>
      </c>
      <c r="E37" s="934"/>
      <c r="F37" s="935"/>
      <c r="G37" s="454"/>
      <c r="H37" s="454"/>
      <c r="I37" s="454"/>
      <c r="J37" s="454"/>
    </row>
    <row r="38" spans="1:13" ht="14.15" customHeight="1" thickBot="1">
      <c r="A38" s="1406" t="s">
        <v>19</v>
      </c>
      <c r="B38" s="1407"/>
      <c r="C38" s="726">
        <f>'Core Wash'!B98</f>
        <v>2.6078431372549013E-3</v>
      </c>
      <c r="D38" s="727">
        <f>'Core Wash'!C98</f>
        <v>1.1422352941176469E-2</v>
      </c>
      <c r="E38" s="936"/>
      <c r="F38" s="937"/>
      <c r="G38" s="454"/>
      <c r="H38" s="454"/>
      <c r="I38" s="454"/>
      <c r="J38" s="454"/>
    </row>
    <row r="39" spans="1:13" ht="14.15" customHeight="1">
      <c r="A39" s="1408"/>
      <c r="B39" s="1409"/>
      <c r="C39" s="1412" t="s">
        <v>894</v>
      </c>
      <c r="D39" s="1413"/>
      <c r="E39" s="1413"/>
      <c r="F39" s="1414"/>
      <c r="G39" s="454"/>
      <c r="H39" s="454"/>
      <c r="I39" s="454"/>
      <c r="J39" s="454"/>
    </row>
    <row r="40" spans="1:13" ht="14.15" customHeight="1">
      <c r="A40" s="1408"/>
      <c r="B40" s="1409"/>
      <c r="C40" s="1415" t="s">
        <v>20</v>
      </c>
      <c r="D40" s="1416"/>
      <c r="E40" s="441">
        <f>IF(C34&lt;7001, 0.1, 1.7627*(C34^-0.3241))</f>
        <v>0.1</v>
      </c>
      <c r="F40" s="442" t="s">
        <v>21</v>
      </c>
      <c r="G40" s="454"/>
      <c r="H40" s="454"/>
      <c r="I40" s="454"/>
      <c r="J40" s="454"/>
    </row>
    <row r="41" spans="1:13" ht="14.15" customHeight="1">
      <c r="A41" s="1408"/>
      <c r="B41" s="1409"/>
      <c r="C41" s="1417" t="s">
        <v>22</v>
      </c>
      <c r="D41" s="1418"/>
      <c r="E41" s="938">
        <f>C38*7000/60/C34</f>
        <v>4.914171327370752E-4</v>
      </c>
      <c r="F41" s="442" t="s">
        <v>21</v>
      </c>
      <c r="G41" s="454"/>
      <c r="H41" s="454"/>
      <c r="I41" s="454"/>
      <c r="J41" s="454"/>
    </row>
    <row r="42" spans="1:13" ht="14.15" customHeight="1" thickBot="1">
      <c r="A42" s="1408"/>
      <c r="B42" s="1409"/>
      <c r="C42" s="1419" t="s">
        <v>23</v>
      </c>
      <c r="D42" s="1420"/>
      <c r="E42" s="1421" t="str">
        <f>IF(E41&lt;E40, "YES", "NO")</f>
        <v>YES</v>
      </c>
      <c r="F42" s="1422"/>
    </row>
    <row r="43" spans="1:13" ht="14.15" customHeight="1">
      <c r="A43" s="1408"/>
      <c r="B43" s="1409"/>
      <c r="C43" s="444" t="s">
        <v>24</v>
      </c>
      <c r="D43" s="445">
        <f>E40*C34/7000*60</f>
        <v>0.53067810695362672</v>
      </c>
      <c r="E43" s="446" t="s">
        <v>895</v>
      </c>
      <c r="F43" s="447"/>
    </row>
    <row r="44" spans="1:13" ht="14.15" customHeight="1" thickBot="1">
      <c r="A44" s="1410"/>
      <c r="B44" s="1411"/>
      <c r="C44" s="450" t="s">
        <v>25</v>
      </c>
      <c r="D44" s="939">
        <f>C38</f>
        <v>2.6078431372549013E-3</v>
      </c>
      <c r="E44" s="392" t="s">
        <v>26</v>
      </c>
      <c r="F44" s="707"/>
    </row>
    <row r="45" spans="1:13" ht="14.15" customHeight="1" thickBot="1">
      <c r="A45" s="449"/>
      <c r="B45" s="448"/>
      <c r="C45" s="448"/>
      <c r="D45" s="448"/>
      <c r="E45" s="449"/>
      <c r="F45" s="449"/>
    </row>
    <row r="46" spans="1:13" ht="14.15" customHeight="1">
      <c r="A46" s="1423" t="s">
        <v>0</v>
      </c>
      <c r="B46" s="1426" t="s">
        <v>1</v>
      </c>
      <c r="C46" s="1429" t="s">
        <v>686</v>
      </c>
      <c r="D46" s="1430"/>
      <c r="E46" s="1430"/>
      <c r="F46" s="1433" t="s">
        <v>738</v>
      </c>
    </row>
    <row r="47" spans="1:13" ht="14.15" customHeight="1">
      <c r="A47" s="1424"/>
      <c r="B47" s="1427"/>
      <c r="C47" s="1431"/>
      <c r="D47" s="1432"/>
      <c r="E47" s="1432"/>
      <c r="F47" s="1434"/>
    </row>
    <row r="48" spans="1:13" ht="14.15" customHeight="1">
      <c r="A48" s="1424"/>
      <c r="B48" s="1427"/>
      <c r="C48" s="714" t="s">
        <v>382</v>
      </c>
      <c r="D48" s="907"/>
      <c r="E48" s="907"/>
      <c r="F48" s="430"/>
    </row>
    <row r="49" spans="1:10" ht="14.15" customHeight="1">
      <c r="A49" s="1424"/>
      <c r="B49" s="1427"/>
      <c r="C49" s="714" t="s">
        <v>691</v>
      </c>
      <c r="D49" s="907"/>
      <c r="E49" s="907"/>
      <c r="F49" s="430"/>
    </row>
    <row r="50" spans="1:10" ht="14.15" customHeight="1">
      <c r="A50" s="1425"/>
      <c r="B50" s="1428"/>
      <c r="C50" s="715"/>
      <c r="D50" s="452"/>
      <c r="E50" s="452"/>
      <c r="F50" s="453"/>
    </row>
    <row r="51" spans="1:10" ht="14.15" customHeight="1">
      <c r="A51" s="432" t="s">
        <v>5</v>
      </c>
      <c r="B51" s="433" t="s">
        <v>6</v>
      </c>
      <c r="C51" s="1393">
        <v>2000</v>
      </c>
      <c r="D51" s="1394"/>
      <c r="E51" s="1394"/>
      <c r="F51" s="1395"/>
    </row>
    <row r="52" spans="1:10" ht="14.15" customHeight="1">
      <c r="A52" s="432" t="s">
        <v>7</v>
      </c>
      <c r="B52" s="433" t="s">
        <v>8</v>
      </c>
      <c r="C52" s="1396">
        <v>70</v>
      </c>
      <c r="D52" s="1397"/>
      <c r="E52" s="1397"/>
      <c r="F52" s="1398"/>
      <c r="H52" s="748"/>
    </row>
    <row r="53" spans="1:10" ht="14.15" customHeight="1">
      <c r="A53" s="432" t="s">
        <v>9</v>
      </c>
      <c r="B53" s="433" t="s">
        <v>10</v>
      </c>
      <c r="C53" s="1396">
        <v>0</v>
      </c>
      <c r="D53" s="1397"/>
      <c r="E53" s="1397"/>
      <c r="F53" s="1398"/>
      <c r="H53" s="748"/>
    </row>
    <row r="54" spans="1:10" ht="14.15" customHeight="1">
      <c r="A54" s="432" t="s">
        <v>5</v>
      </c>
      <c r="B54" s="433" t="s">
        <v>11</v>
      </c>
      <c r="C54" s="1393">
        <f>C51*(459.67+68)/(C52+459.67)*(C53+14.78)/14.78</f>
        <v>1992.4481280797479</v>
      </c>
      <c r="D54" s="1394"/>
      <c r="E54" s="1394"/>
      <c r="F54" s="1395"/>
    </row>
    <row r="55" spans="1:10" ht="14.15" customHeight="1" thickBot="1">
      <c r="A55" s="909" t="s">
        <v>12</v>
      </c>
      <c r="B55" s="721" t="s">
        <v>13</v>
      </c>
      <c r="C55" s="1399">
        <v>8760</v>
      </c>
      <c r="D55" s="1400"/>
      <c r="E55" s="1400"/>
      <c r="F55" s="1401"/>
    </row>
    <row r="56" spans="1:10" ht="65">
      <c r="A56" s="1402" t="s">
        <v>14</v>
      </c>
      <c r="B56" s="1403"/>
      <c r="C56" s="912" t="s">
        <v>15</v>
      </c>
      <c r="D56" s="913" t="s">
        <v>16</v>
      </c>
      <c r="E56" s="913" t="s">
        <v>905</v>
      </c>
      <c r="F56" s="914" t="s">
        <v>29</v>
      </c>
    </row>
    <row r="57" spans="1:10" ht="14.15" customHeight="1">
      <c r="A57" s="1404"/>
      <c r="B57" s="1405"/>
      <c r="C57" s="434" t="s">
        <v>17</v>
      </c>
      <c r="D57" s="435" t="s">
        <v>18</v>
      </c>
      <c r="E57" s="435" t="s">
        <v>17</v>
      </c>
      <c r="F57" s="436" t="s">
        <v>18</v>
      </c>
      <c r="G57" s="454"/>
      <c r="H57" s="454"/>
      <c r="I57" s="454"/>
      <c r="J57" s="454"/>
    </row>
    <row r="58" spans="1:10" ht="14.15" customHeight="1" thickBot="1">
      <c r="A58" s="1406" t="s">
        <v>19</v>
      </c>
      <c r="B58" s="1407"/>
      <c r="C58" s="438">
        <f>Shotblast!E28</f>
        <v>64.599999999999994</v>
      </c>
      <c r="D58" s="439">
        <f>Shotblast!F28</f>
        <v>282.94799999999998</v>
      </c>
      <c r="E58" s="727">
        <f>Shotblast!G28</f>
        <v>0.64599999999999991</v>
      </c>
      <c r="F58" s="900">
        <f>Shotblast!H28</f>
        <v>0.255</v>
      </c>
      <c r="G58" s="454"/>
      <c r="H58" s="454"/>
      <c r="I58" s="454"/>
      <c r="J58" s="454"/>
    </row>
    <row r="59" spans="1:10" ht="14.15" customHeight="1">
      <c r="A59" s="1408"/>
      <c r="B59" s="1409"/>
      <c r="C59" s="1412" t="s">
        <v>894</v>
      </c>
      <c r="D59" s="1413"/>
      <c r="E59" s="1413"/>
      <c r="F59" s="1414"/>
      <c r="G59" s="454"/>
      <c r="H59" s="454"/>
      <c r="I59" s="454"/>
      <c r="J59" s="454"/>
    </row>
    <row r="60" spans="1:10" ht="14.15" customHeight="1">
      <c r="A60" s="1408"/>
      <c r="B60" s="1409"/>
      <c r="C60" s="1415" t="s">
        <v>20</v>
      </c>
      <c r="D60" s="1416"/>
      <c r="E60" s="441">
        <f>IF(C54&lt;7001, 0.1, 1.7627*(C54^-0.3241))</f>
        <v>0.1</v>
      </c>
      <c r="F60" s="442" t="s">
        <v>21</v>
      </c>
      <c r="G60" s="454"/>
      <c r="H60" s="454"/>
      <c r="I60" s="454"/>
      <c r="J60" s="454"/>
    </row>
    <row r="61" spans="1:10" ht="14.15" customHeight="1">
      <c r="A61" s="1408"/>
      <c r="B61" s="1409"/>
      <c r="C61" s="1417" t="s">
        <v>22</v>
      </c>
      <c r="D61" s="1418"/>
      <c r="E61" s="441">
        <f>E58*7000/60/C54</f>
        <v>3.7826162500552735E-2</v>
      </c>
      <c r="F61" s="442" t="s">
        <v>21</v>
      </c>
      <c r="G61" s="454"/>
      <c r="H61" s="454"/>
      <c r="I61" s="454"/>
      <c r="J61" s="454"/>
    </row>
    <row r="62" spans="1:10" ht="14.15" customHeight="1" thickBot="1">
      <c r="A62" s="1408"/>
      <c r="B62" s="1409"/>
      <c r="C62" s="1419" t="s">
        <v>23</v>
      </c>
      <c r="D62" s="1420"/>
      <c r="E62" s="1421" t="str">
        <f>IF(E61&lt;E60, "YES", "NO")</f>
        <v>YES</v>
      </c>
      <c r="F62" s="1422"/>
    </row>
    <row r="63" spans="1:10" ht="14.15" customHeight="1">
      <c r="A63" s="1408"/>
      <c r="B63" s="1409"/>
      <c r="C63" s="444" t="s">
        <v>24</v>
      </c>
      <c r="D63" s="445">
        <f>E60*C54/7000*60</f>
        <v>1.7078126812112127</v>
      </c>
      <c r="E63" s="446" t="s">
        <v>895</v>
      </c>
      <c r="F63" s="447"/>
    </row>
    <row r="64" spans="1:10" ht="14.15" customHeight="1" thickBot="1">
      <c r="A64" s="1410"/>
      <c r="B64" s="1411"/>
      <c r="C64" s="450" t="s">
        <v>25</v>
      </c>
      <c r="D64" s="451">
        <f>E58</f>
        <v>0.64599999999999991</v>
      </c>
      <c r="E64" s="392" t="s">
        <v>685</v>
      </c>
      <c r="F64" s="707"/>
    </row>
    <row r="65" spans="1:7" ht="14.15" customHeight="1" thickBot="1">
      <c r="A65" s="449"/>
      <c r="B65" s="448"/>
      <c r="C65" s="448"/>
      <c r="D65" s="448"/>
      <c r="E65" s="449"/>
      <c r="F65" s="449"/>
    </row>
    <row r="66" spans="1:7" ht="14.15" customHeight="1">
      <c r="A66" s="1423" t="s">
        <v>0</v>
      </c>
      <c r="B66" s="1426" t="s">
        <v>1</v>
      </c>
      <c r="C66" s="1438" t="s">
        <v>891</v>
      </c>
      <c r="D66" s="1439"/>
      <c r="E66" s="1439"/>
      <c r="F66" s="1442" t="s">
        <v>892</v>
      </c>
      <c r="G66" s="903"/>
    </row>
    <row r="67" spans="1:7" ht="14.15" customHeight="1">
      <c r="A67" s="1424"/>
      <c r="B67" s="1427"/>
      <c r="C67" s="1440"/>
      <c r="D67" s="1441"/>
      <c r="E67" s="1441"/>
      <c r="F67" s="1443"/>
      <c r="G67" s="903"/>
    </row>
    <row r="68" spans="1:7" ht="14.15" customHeight="1">
      <c r="A68" s="1424"/>
      <c r="B68" s="1427"/>
      <c r="C68" s="714" t="s">
        <v>1067</v>
      </c>
      <c r="D68" s="907"/>
      <c r="E68" s="940" t="s">
        <v>729</v>
      </c>
      <c r="F68" s="430"/>
    </row>
    <row r="69" spans="1:7" ht="14.15" customHeight="1">
      <c r="A69" s="1424"/>
      <c r="B69" s="1427"/>
      <c r="C69" s="714" t="s">
        <v>923</v>
      </c>
      <c r="D69" s="907"/>
      <c r="E69" s="940" t="s">
        <v>128</v>
      </c>
      <c r="F69" s="430"/>
    </row>
    <row r="70" spans="1:7" ht="14.15" customHeight="1">
      <c r="A70" s="1424"/>
      <c r="B70" s="1427"/>
      <c r="C70" s="714" t="s">
        <v>1068</v>
      </c>
      <c r="D70" s="907"/>
      <c r="E70" s="940" t="s">
        <v>1069</v>
      </c>
      <c r="F70" s="430"/>
    </row>
    <row r="71" spans="1:7" ht="14.15" customHeight="1">
      <c r="A71" s="1425"/>
      <c r="B71" s="1428"/>
      <c r="C71" s="715"/>
      <c r="D71" s="452"/>
      <c r="E71" s="452"/>
      <c r="F71" s="453"/>
    </row>
    <row r="72" spans="1:7" ht="14.15" customHeight="1">
      <c r="A72" s="432" t="s">
        <v>5</v>
      </c>
      <c r="B72" s="433" t="s">
        <v>6</v>
      </c>
      <c r="C72" s="1396">
        <v>6981.6</v>
      </c>
      <c r="D72" s="1397"/>
      <c r="E72" s="1397"/>
      <c r="F72" s="1398"/>
      <c r="G72" s="903"/>
    </row>
    <row r="73" spans="1:7" ht="14.15" customHeight="1">
      <c r="A73" s="432" t="s">
        <v>7</v>
      </c>
      <c r="B73" s="433" t="s">
        <v>8</v>
      </c>
      <c r="C73" s="1396">
        <v>70</v>
      </c>
      <c r="D73" s="1397"/>
      <c r="E73" s="1397"/>
      <c r="F73" s="1398"/>
    </row>
    <row r="74" spans="1:7" ht="14.15" customHeight="1">
      <c r="A74" s="432" t="s">
        <v>9</v>
      </c>
      <c r="B74" s="433" t="s">
        <v>10</v>
      </c>
      <c r="C74" s="1396">
        <v>0</v>
      </c>
      <c r="D74" s="1397"/>
      <c r="E74" s="1397"/>
      <c r="F74" s="1398"/>
    </row>
    <row r="75" spans="1:7" ht="14.15" customHeight="1">
      <c r="A75" s="432" t="s">
        <v>5</v>
      </c>
      <c r="B75" s="433" t="s">
        <v>11</v>
      </c>
      <c r="C75" s="1393">
        <f>C72*(459.67+68)/(C73+459.67)*(C74+14.78)/14.78</f>
        <v>6955.2379255007836</v>
      </c>
      <c r="D75" s="1394"/>
      <c r="E75" s="1394"/>
      <c r="F75" s="1395"/>
    </row>
    <row r="76" spans="1:7" ht="14.15" customHeight="1" thickBot="1">
      <c r="A76" s="909" t="s">
        <v>12</v>
      </c>
      <c r="B76" s="721" t="s">
        <v>13</v>
      </c>
      <c r="C76" s="1399">
        <v>8760</v>
      </c>
      <c r="D76" s="1400"/>
      <c r="E76" s="1400"/>
      <c r="F76" s="1401"/>
    </row>
    <row r="77" spans="1:7" ht="104">
      <c r="A77" s="1402" t="s">
        <v>14</v>
      </c>
      <c r="B77" s="1403"/>
      <c r="C77" s="912" t="s">
        <v>15</v>
      </c>
      <c r="D77" s="913" t="s">
        <v>16</v>
      </c>
      <c r="E77" s="913" t="s">
        <v>1065</v>
      </c>
      <c r="F77" s="914" t="s">
        <v>1066</v>
      </c>
    </row>
    <row r="78" spans="1:7" ht="14.15" customHeight="1">
      <c r="A78" s="1404"/>
      <c r="B78" s="1405"/>
      <c r="C78" s="434" t="s">
        <v>17</v>
      </c>
      <c r="D78" s="435" t="s">
        <v>18</v>
      </c>
      <c r="E78" s="435" t="s">
        <v>17</v>
      </c>
      <c r="F78" s="436" t="s">
        <v>18</v>
      </c>
      <c r="G78" s="454"/>
    </row>
    <row r="79" spans="1:7" ht="14.15" customHeight="1">
      <c r="A79" s="718" t="s">
        <v>35</v>
      </c>
      <c r="B79" s="719" t="s">
        <v>945</v>
      </c>
      <c r="C79" s="728">
        <f>'Shakeout, Green Sand'!E25</f>
        <v>4.3636363636363633</v>
      </c>
      <c r="D79" s="730">
        <f>'Shakeout, Green Sand'!F25</f>
        <v>19.112727272727273</v>
      </c>
      <c r="E79" s="730">
        <f>'Shakeout, Green Sand'!B25*'Shakeout, Green Sand'!J8*(1-'Shakeout, Green Sand'!J11%)</f>
        <v>1.7454545454545454</v>
      </c>
      <c r="F79" s="736">
        <f>'Shakeout, Green Sand'!I25</f>
        <v>2.3519999999999999</v>
      </c>
      <c r="G79" s="454"/>
    </row>
    <row r="80" spans="1:7" ht="14.15" customHeight="1">
      <c r="A80" s="718" t="s">
        <v>35</v>
      </c>
      <c r="B80" s="719" t="s">
        <v>1064</v>
      </c>
      <c r="C80" s="729">
        <f>'Shell Core Machine, Large'!E13+'Shell Core Machine, Small 1'!E13+'Shell Core Machine, Small 2'!E13</f>
        <v>3.4274509803921566E-3</v>
      </c>
      <c r="D80" s="731">
        <f>'Shell Core Machine, Large'!G13+'Shell Core Machine, Small 1'!G13+'Shell Core Machine, Small 2'!G13</f>
        <v>1.5012235294117646E-2</v>
      </c>
      <c r="E80" s="731">
        <f>C80</f>
        <v>3.4274509803921566E-3</v>
      </c>
      <c r="F80" s="735">
        <f>D80</f>
        <v>1.5012235294117646E-2</v>
      </c>
      <c r="G80" s="454"/>
    </row>
    <row r="81" spans="1:10" ht="14.15" customHeight="1" thickBot="1">
      <c r="A81" s="1406" t="s">
        <v>922</v>
      </c>
      <c r="B81" s="1407"/>
      <c r="C81" s="438">
        <f>SUM(C79:C80)</f>
        <v>4.3670638146167553</v>
      </c>
      <c r="D81" s="439">
        <f>SUM(D79:D80)</f>
        <v>19.127739508021392</v>
      </c>
      <c r="E81" s="439">
        <f>SUM(E79:E80)</f>
        <v>1.7488819964349376</v>
      </c>
      <c r="F81" s="440">
        <f>SUM(F79:F80)</f>
        <v>2.3670122352941174</v>
      </c>
      <c r="G81" s="454"/>
      <c r="H81" s="454"/>
      <c r="I81" s="454"/>
      <c r="J81" s="454"/>
    </row>
    <row r="82" spans="1:10" ht="14.15" customHeight="1">
      <c r="A82" s="1042"/>
      <c r="B82" s="1043"/>
      <c r="C82" s="1412" t="s">
        <v>894</v>
      </c>
      <c r="D82" s="1413"/>
      <c r="E82" s="1413"/>
      <c r="F82" s="1414"/>
      <c r="G82" s="454"/>
      <c r="H82" s="454"/>
      <c r="I82" s="454"/>
      <c r="J82" s="454"/>
    </row>
    <row r="83" spans="1:10" ht="14.15" customHeight="1">
      <c r="A83" s="1042"/>
      <c r="B83" s="1043"/>
      <c r="C83" s="1415" t="s">
        <v>20</v>
      </c>
      <c r="D83" s="1416"/>
      <c r="E83" s="441">
        <f>IF(C75&lt;7001, 0.1, 1.7627*(C75^-0.3241))</f>
        <v>0.1</v>
      </c>
      <c r="F83" s="442" t="s">
        <v>21</v>
      </c>
      <c r="G83" s="454"/>
      <c r="H83" s="454"/>
      <c r="I83" s="454"/>
      <c r="J83" s="454"/>
    </row>
    <row r="84" spans="1:10" ht="14.15" customHeight="1">
      <c r="A84" s="1042"/>
      <c r="B84" s="1043"/>
      <c r="C84" s="1417" t="s">
        <v>22</v>
      </c>
      <c r="D84" s="1418"/>
      <c r="E84" s="441">
        <f>E81*7000/60/C75</f>
        <v>2.9335622318444065E-2</v>
      </c>
      <c r="F84" s="442" t="s">
        <v>21</v>
      </c>
      <c r="G84" s="454"/>
      <c r="H84" s="454"/>
      <c r="I84" s="454"/>
      <c r="J84" s="454"/>
    </row>
    <row r="85" spans="1:10" ht="14.15" customHeight="1" thickBot="1">
      <c r="A85" s="1042"/>
      <c r="B85" s="1043"/>
      <c r="C85" s="1419" t="s">
        <v>23</v>
      </c>
      <c r="D85" s="1420"/>
      <c r="E85" s="1421" t="str">
        <f>IF(E84&lt;E83, "YES", "NO")</f>
        <v>YES</v>
      </c>
      <c r="F85" s="1422"/>
    </row>
    <row r="86" spans="1:10" ht="14.15" customHeight="1">
      <c r="A86" s="1042"/>
      <c r="B86" s="1043"/>
      <c r="C86" s="444" t="s">
        <v>24</v>
      </c>
      <c r="D86" s="445">
        <f>E83*C75/7000*60</f>
        <v>5.9616325075721006</v>
      </c>
      <c r="E86" s="446" t="s">
        <v>895</v>
      </c>
      <c r="F86" s="447"/>
    </row>
    <row r="87" spans="1:10" ht="14.15" customHeight="1" thickBot="1">
      <c r="A87" s="1044"/>
      <c r="B87" s="1045"/>
      <c r="C87" s="450" t="s">
        <v>25</v>
      </c>
      <c r="D87" s="451">
        <f>E81</f>
        <v>1.7488819964349376</v>
      </c>
      <c r="E87" s="392" t="s">
        <v>26</v>
      </c>
      <c r="F87" s="707"/>
    </row>
    <row r="88" spans="1:10" ht="14.15" customHeight="1">
      <c r="A88" s="1048" t="s">
        <v>1058</v>
      </c>
      <c r="B88" s="1046"/>
      <c r="C88" s="1046"/>
      <c r="D88" s="1046"/>
      <c r="E88" s="1046"/>
      <c r="F88" s="1046"/>
    </row>
    <row r="89" spans="1:10" ht="14.15" customHeight="1" thickBot="1">
      <c r="A89" s="1047"/>
      <c r="B89" s="1047"/>
      <c r="C89" s="1047"/>
      <c r="D89" s="1047"/>
      <c r="E89" s="1047"/>
      <c r="F89" s="1047"/>
    </row>
    <row r="90" spans="1:10" ht="14.15" customHeight="1">
      <c r="A90" s="1423" t="s">
        <v>0</v>
      </c>
      <c r="B90" s="1426" t="s">
        <v>1</v>
      </c>
      <c r="C90" s="1429" t="s">
        <v>46</v>
      </c>
      <c r="D90" s="1430"/>
      <c r="E90" s="1430"/>
      <c r="F90" s="1433" t="s">
        <v>897</v>
      </c>
    </row>
    <row r="91" spans="1:10" ht="14.15" customHeight="1">
      <c r="A91" s="1424"/>
      <c r="B91" s="1427"/>
      <c r="C91" s="1431"/>
      <c r="D91" s="1432"/>
      <c r="E91" s="1432"/>
      <c r="F91" s="1434"/>
    </row>
    <row r="92" spans="1:10" ht="14.15" customHeight="1">
      <c r="A92" s="1424"/>
      <c r="B92" s="1427"/>
      <c r="C92" s="904" t="s">
        <v>898</v>
      </c>
      <c r="D92" s="905"/>
      <c r="E92" s="906" t="s">
        <v>121</v>
      </c>
      <c r="F92" s="733"/>
    </row>
    <row r="93" spans="1:10" ht="14.15" customHeight="1">
      <c r="A93" s="1424"/>
      <c r="B93" s="1427"/>
      <c r="C93" s="904" t="s">
        <v>899</v>
      </c>
      <c r="D93" s="905"/>
      <c r="E93" s="906" t="s">
        <v>125</v>
      </c>
      <c r="F93" s="733"/>
    </row>
    <row r="94" spans="1:10" ht="14.15" customHeight="1">
      <c r="A94" s="1424"/>
      <c r="B94" s="1427"/>
      <c r="C94" s="904" t="s">
        <v>900</v>
      </c>
      <c r="D94" s="905"/>
      <c r="E94" s="906" t="s">
        <v>130</v>
      </c>
      <c r="F94" s="733"/>
    </row>
    <row r="95" spans="1:10" ht="14.15" customHeight="1">
      <c r="A95" s="1424"/>
      <c r="B95" s="1427"/>
      <c r="C95" s="904" t="s">
        <v>901</v>
      </c>
      <c r="D95" s="905"/>
      <c r="E95" s="906" t="s">
        <v>132</v>
      </c>
      <c r="F95" s="733"/>
    </row>
    <row r="96" spans="1:10" ht="14.15" customHeight="1">
      <c r="A96" s="1424"/>
      <c r="B96" s="1427"/>
      <c r="C96" s="904" t="s">
        <v>902</v>
      </c>
      <c r="D96" s="905"/>
      <c r="E96" s="906" t="s">
        <v>128</v>
      </c>
      <c r="F96" s="733"/>
    </row>
    <row r="97" spans="1:8" ht="14.15" customHeight="1">
      <c r="A97" s="1424"/>
      <c r="B97" s="1427"/>
      <c r="C97" s="904" t="s">
        <v>903</v>
      </c>
      <c r="D97" s="905"/>
      <c r="E97" s="906" t="s">
        <v>857</v>
      </c>
      <c r="F97" s="733"/>
    </row>
    <row r="98" spans="1:8" ht="14.15" customHeight="1">
      <c r="A98" s="1424"/>
      <c r="B98" s="1427"/>
      <c r="C98" s="904" t="s">
        <v>904</v>
      </c>
      <c r="D98" s="905"/>
      <c r="E98" s="906" t="s">
        <v>858</v>
      </c>
      <c r="F98" s="733"/>
    </row>
    <row r="99" spans="1:8" ht="14.15" customHeight="1">
      <c r="A99" s="1425"/>
      <c r="B99" s="1428"/>
      <c r="C99" s="715"/>
      <c r="D99" s="452"/>
      <c r="E99" s="452"/>
      <c r="F99" s="453"/>
    </row>
    <row r="100" spans="1:8" ht="14.15" customHeight="1">
      <c r="A100" s="432" t="s">
        <v>906</v>
      </c>
      <c r="B100" s="433" t="s">
        <v>17</v>
      </c>
      <c r="C100" s="1396">
        <f>SUM(C101:F107)</f>
        <v>28334.703196347029</v>
      </c>
      <c r="D100" s="1397"/>
      <c r="E100" s="1397"/>
      <c r="F100" s="1398"/>
    </row>
    <row r="101" spans="1:8" ht="14.15" customHeight="1">
      <c r="A101" s="908" t="s">
        <v>121</v>
      </c>
      <c r="B101" s="433" t="s">
        <v>17</v>
      </c>
      <c r="C101" s="1396">
        <f>'Sand Handling (incl Mold&amp;Core)'!F10*2000/'Sand Handling (incl Mold&amp;Core)'!$G$20</f>
        <v>6000</v>
      </c>
      <c r="D101" s="1397"/>
      <c r="E101" s="1397"/>
      <c r="F101" s="1398"/>
    </row>
    <row r="102" spans="1:8" ht="14.15" customHeight="1">
      <c r="A102" s="908" t="s">
        <v>125</v>
      </c>
      <c r="B102" s="433" t="s">
        <v>17</v>
      </c>
      <c r="C102" s="1396">
        <f>'Sand Handling (incl Mold&amp;Core)'!F11*2000/'Sand Handling (incl Mold&amp;Core)'!$G$20</f>
        <v>6000</v>
      </c>
      <c r="D102" s="1397"/>
      <c r="E102" s="1397"/>
      <c r="F102" s="1398"/>
    </row>
    <row r="103" spans="1:8" ht="14.15" customHeight="1">
      <c r="A103" s="908" t="s">
        <v>130</v>
      </c>
      <c r="B103" s="433" t="s">
        <v>17</v>
      </c>
      <c r="C103" s="1396">
        <f>'Sand Handling (incl Mold&amp;Core)'!F12*2000/'Sand Handling (incl Mold&amp;Core)'!$G$20</f>
        <v>6000</v>
      </c>
      <c r="D103" s="1397"/>
      <c r="E103" s="1397"/>
      <c r="F103" s="1398"/>
    </row>
    <row r="104" spans="1:8" ht="14.15" customHeight="1">
      <c r="A104" s="908" t="s">
        <v>132</v>
      </c>
      <c r="B104" s="433" t="s">
        <v>17</v>
      </c>
      <c r="C104" s="1396">
        <f>'Sand Handling (incl Mold&amp;Core)'!F13*2000/'Sand Handling (incl Mold&amp;Core)'!$G$20</f>
        <v>6000</v>
      </c>
      <c r="D104" s="1397"/>
      <c r="E104" s="1397"/>
      <c r="F104" s="1398"/>
    </row>
    <row r="105" spans="1:8" ht="14.15" customHeight="1">
      <c r="A105" s="908" t="s">
        <v>128</v>
      </c>
      <c r="B105" s="433" t="s">
        <v>17</v>
      </c>
      <c r="C105" s="1396">
        <f>'Sand Handling (incl Mold&amp;Core)'!F14*2000/'Sand Handling (incl Mold&amp;Core)'!$G$20</f>
        <v>4109.58904109589</v>
      </c>
      <c r="D105" s="1397"/>
      <c r="E105" s="1397"/>
      <c r="F105" s="1398"/>
    </row>
    <row r="106" spans="1:8" ht="14.15" customHeight="1">
      <c r="A106" s="908" t="s">
        <v>857</v>
      </c>
      <c r="B106" s="433" t="s">
        <v>17</v>
      </c>
      <c r="C106" s="1396">
        <f>'Sand Handling (incl Mold&amp;Core)'!F15*2000/'Sand Handling (incl Mold&amp;Core)'!$G$20</f>
        <v>112.55707762557077</v>
      </c>
      <c r="D106" s="1397"/>
      <c r="E106" s="1397"/>
      <c r="F106" s="1398"/>
    </row>
    <row r="107" spans="1:8" ht="14.15" customHeight="1" thickBot="1">
      <c r="A107" s="915" t="s">
        <v>858</v>
      </c>
      <c r="B107" s="721" t="s">
        <v>17</v>
      </c>
      <c r="C107" s="1444">
        <f>'Sand Handling (incl Mold&amp;Core)'!F16*2000/'Sand Handling (incl Mold&amp;Core)'!$G$20</f>
        <v>112.55707762557077</v>
      </c>
      <c r="D107" s="1445"/>
      <c r="E107" s="1445"/>
      <c r="F107" s="1446"/>
    </row>
    <row r="108" spans="1:8" ht="104">
      <c r="A108" s="1447" t="s">
        <v>14</v>
      </c>
      <c r="B108" s="1448"/>
      <c r="C108" s="922" t="s">
        <v>908</v>
      </c>
      <c r="D108" s="923" t="s">
        <v>909</v>
      </c>
      <c r="E108" s="923" t="s">
        <v>914</v>
      </c>
      <c r="F108" s="924" t="s">
        <v>913</v>
      </c>
    </row>
    <row r="109" spans="1:8" ht="14.15" customHeight="1">
      <c r="A109" s="1404"/>
      <c r="B109" s="1405"/>
      <c r="C109" s="434" t="s">
        <v>17</v>
      </c>
      <c r="D109" s="435" t="s">
        <v>18</v>
      </c>
      <c r="E109" s="435" t="s">
        <v>17</v>
      </c>
      <c r="F109" s="436" t="s">
        <v>18</v>
      </c>
      <c r="G109" s="454"/>
      <c r="H109" s="454"/>
    </row>
    <row r="110" spans="1:8" ht="26">
      <c r="A110" s="432" t="s">
        <v>19</v>
      </c>
      <c r="B110" s="910" t="s">
        <v>911</v>
      </c>
      <c r="C110" s="456">
        <f>MAX('Sand Handling (incl Mold&amp;Core)'!I10:I13)</f>
        <v>10.8</v>
      </c>
      <c r="D110" s="457">
        <f>MAX('Sand Handling (incl Mold&amp;Core)'!J10:J13)</f>
        <v>47.304000000000002</v>
      </c>
      <c r="E110" s="441">
        <f>C110*('Sand Handling (incl Mold&amp;Core)'!K10/'Sand Handling (incl Mold&amp;Core)'!J10)</f>
        <v>6.3698630136986303</v>
      </c>
      <c r="F110" s="911">
        <f>D110*('Sand Handling (incl Mold&amp;Core)'!K10/'Sand Handling (incl Mold&amp;Core)'!J10)</f>
        <v>27.9</v>
      </c>
      <c r="G110" s="454"/>
      <c r="H110" s="454"/>
    </row>
    <row r="111" spans="1:8" ht="14.15" customHeight="1">
      <c r="A111" s="1408"/>
      <c r="B111" s="1409"/>
      <c r="C111" s="1435" t="s">
        <v>896</v>
      </c>
      <c r="D111" s="1436"/>
      <c r="E111" s="1436"/>
      <c r="F111" s="1437"/>
      <c r="G111" s="454"/>
      <c r="H111" s="454"/>
    </row>
    <row r="112" spans="1:8" ht="14.15" customHeight="1">
      <c r="A112" s="1408"/>
      <c r="B112" s="1409"/>
      <c r="C112" s="1415" t="s">
        <v>907</v>
      </c>
      <c r="D112" s="1416"/>
      <c r="E112" s="441">
        <f>IF(C101&lt;60000, 3.59*((C101/2000)^0.62))</f>
        <v>7.0943012539788066</v>
      </c>
      <c r="F112" s="442" t="s">
        <v>17</v>
      </c>
      <c r="G112" s="454"/>
      <c r="H112" s="454"/>
    </row>
    <row r="113" spans="1:8" ht="14.15" customHeight="1">
      <c r="A113" s="1408"/>
      <c r="B113" s="1409"/>
      <c r="C113" s="1417" t="s">
        <v>910</v>
      </c>
      <c r="D113" s="1418"/>
      <c r="E113" s="441">
        <f>E110</f>
        <v>6.3698630136986303</v>
      </c>
      <c r="F113" s="442" t="s">
        <v>17</v>
      </c>
      <c r="G113" s="454"/>
      <c r="H113" s="454"/>
    </row>
    <row r="114" spans="1:8" ht="14.15" customHeight="1" thickBot="1">
      <c r="A114" s="1410"/>
      <c r="B114" s="1411"/>
      <c r="C114" s="1419" t="s">
        <v>23</v>
      </c>
      <c r="D114" s="1420"/>
      <c r="E114" s="1421" t="str">
        <f>IF(E113&lt;E112, "YES", "NO")</f>
        <v>YES</v>
      </c>
      <c r="F114" s="1422"/>
    </row>
    <row r="115" spans="1:8" ht="13">
      <c r="A115" s="925" t="s">
        <v>19</v>
      </c>
      <c r="B115" s="926" t="s">
        <v>912</v>
      </c>
      <c r="C115" s="927">
        <f>'Sand Handling (incl Mold&amp;Core)'!I14</f>
        <v>7.397260273972603</v>
      </c>
      <c r="D115" s="928">
        <f>'Sand Handling (incl Mold&amp;Core)'!J14</f>
        <v>32.4</v>
      </c>
      <c r="E115" s="929">
        <f>C115*('Sand Handling (incl Mold&amp;Core)'!K10/'Sand Handling (incl Mold&amp;Core)'!J10)</f>
        <v>4.3629198723963221</v>
      </c>
      <c r="F115" s="930">
        <f>D115*('Sand Handling (incl Mold&amp;Core)'!K10/'Sand Handling (incl Mold&amp;Core)'!J10)</f>
        <v>19.109589041095887</v>
      </c>
      <c r="G115" s="454"/>
      <c r="H115" s="454"/>
    </row>
    <row r="116" spans="1:8" ht="14.15" customHeight="1">
      <c r="A116" s="1408"/>
      <c r="B116" s="1409"/>
      <c r="C116" s="1435" t="s">
        <v>896</v>
      </c>
      <c r="D116" s="1436"/>
      <c r="E116" s="1436"/>
      <c r="F116" s="1437"/>
      <c r="G116" s="454"/>
      <c r="H116" s="454"/>
    </row>
    <row r="117" spans="1:8" ht="14.15" customHeight="1">
      <c r="A117" s="1408"/>
      <c r="B117" s="1409"/>
      <c r="C117" s="1415" t="s">
        <v>907</v>
      </c>
      <c r="D117" s="1416"/>
      <c r="E117" s="441">
        <f>IF(C105&lt;60000, 3.59*((C105/2000)^0.62))</f>
        <v>5.6106200054185047</v>
      </c>
      <c r="F117" s="442" t="s">
        <v>17</v>
      </c>
      <c r="G117" s="454"/>
      <c r="H117" s="454"/>
    </row>
    <row r="118" spans="1:8" ht="14.15" customHeight="1">
      <c r="A118" s="1408"/>
      <c r="B118" s="1409"/>
      <c r="C118" s="1417" t="s">
        <v>910</v>
      </c>
      <c r="D118" s="1418"/>
      <c r="E118" s="441">
        <f>E115</f>
        <v>4.3629198723963221</v>
      </c>
      <c r="F118" s="442" t="s">
        <v>17</v>
      </c>
      <c r="G118" s="454"/>
      <c r="H118" s="454"/>
    </row>
    <row r="119" spans="1:8" ht="14.15" customHeight="1" thickBot="1">
      <c r="A119" s="1410"/>
      <c r="B119" s="1411"/>
      <c r="C119" s="1419" t="s">
        <v>23</v>
      </c>
      <c r="D119" s="1420"/>
      <c r="E119" s="1421" t="str">
        <f>IF(E118&lt;E117, "YES", "NO")</f>
        <v>YES</v>
      </c>
      <c r="F119" s="1422"/>
    </row>
    <row r="120" spans="1:8" ht="26">
      <c r="A120" s="917" t="s">
        <v>19</v>
      </c>
      <c r="B120" s="931" t="s">
        <v>915</v>
      </c>
      <c r="C120" s="918">
        <f>'Sand Handling (incl Mold&amp;Core)'!I15</f>
        <v>0.20260273972602738</v>
      </c>
      <c r="D120" s="919">
        <f>'Sand Handling (incl Mold&amp;Core)'!J15</f>
        <v>0.88739999999999997</v>
      </c>
      <c r="E120" s="920">
        <f>C120*('Sand Handling (incl Mold&amp;Core)'!K10/'Sand Handling (incl Mold&amp;Core)'!J10)</f>
        <v>0.11949552761618813</v>
      </c>
      <c r="F120" s="921">
        <f>D120*('Sand Handling (incl Mold&amp;Core)'!K10/'Sand Handling (incl Mold&amp;Core)'!J10)</f>
        <v>0.52339041095890404</v>
      </c>
      <c r="G120" s="454"/>
      <c r="H120" s="454"/>
    </row>
    <row r="121" spans="1:8" ht="14.15" customHeight="1">
      <c r="A121" s="1408"/>
      <c r="B121" s="1409"/>
      <c r="C121" s="1435" t="s">
        <v>896</v>
      </c>
      <c r="D121" s="1436"/>
      <c r="E121" s="1436"/>
      <c r="F121" s="1437"/>
      <c r="G121" s="454"/>
      <c r="H121" s="454"/>
    </row>
    <row r="122" spans="1:8" ht="14.15" customHeight="1">
      <c r="A122" s="1408"/>
      <c r="B122" s="1409"/>
      <c r="C122" s="1415" t="s">
        <v>907</v>
      </c>
      <c r="D122" s="1416"/>
      <c r="E122" s="441">
        <f>IF(C110&lt;60000, 3.59*((C110/2000)^0.62))</f>
        <v>0.14098684099225595</v>
      </c>
      <c r="F122" s="442" t="s">
        <v>17</v>
      </c>
      <c r="G122" s="454"/>
      <c r="H122" s="454"/>
    </row>
    <row r="123" spans="1:8" ht="14.15" customHeight="1">
      <c r="A123" s="1408"/>
      <c r="B123" s="1409"/>
      <c r="C123" s="1417" t="s">
        <v>910</v>
      </c>
      <c r="D123" s="1418"/>
      <c r="E123" s="441">
        <f>E120</f>
        <v>0.11949552761618813</v>
      </c>
      <c r="F123" s="442" t="s">
        <v>17</v>
      </c>
      <c r="G123" s="454"/>
      <c r="H123" s="454"/>
    </row>
    <row r="124" spans="1:8" ht="14.15" customHeight="1" thickBot="1">
      <c r="A124" s="1408"/>
      <c r="B124" s="1409"/>
      <c r="C124" s="1419" t="s">
        <v>23</v>
      </c>
      <c r="D124" s="1420"/>
      <c r="E124" s="1421" t="str">
        <f>IF(E123&lt;E122, "YES", "NO")</f>
        <v>YES</v>
      </c>
      <c r="F124" s="1422"/>
    </row>
    <row r="125" spans="1:8" ht="14.15" customHeight="1">
      <c r="A125" s="1466" t="s">
        <v>1070</v>
      </c>
      <c r="B125" s="1466"/>
      <c r="C125" s="1466"/>
      <c r="D125" s="1466"/>
      <c r="E125" s="1466"/>
      <c r="F125" s="1466"/>
    </row>
    <row r="126" spans="1:8" ht="14.15" customHeight="1">
      <c r="A126" s="1467"/>
      <c r="B126" s="1467"/>
      <c r="C126" s="1467"/>
      <c r="D126" s="1467"/>
      <c r="E126" s="1467"/>
      <c r="F126" s="1467"/>
    </row>
    <row r="127" spans="1:8" ht="14.15" customHeight="1">
      <c r="A127" s="1467"/>
      <c r="B127" s="1467"/>
      <c r="C127" s="1467"/>
      <c r="D127" s="1467"/>
      <c r="E127" s="1467"/>
      <c r="F127" s="1467"/>
    </row>
    <row r="128" spans="1:8" ht="14.15" customHeight="1">
      <c r="A128" s="1467"/>
      <c r="B128" s="1467"/>
      <c r="C128" s="1467"/>
      <c r="D128" s="1467"/>
      <c r="E128" s="1467"/>
      <c r="F128" s="1467"/>
    </row>
    <row r="129" spans="1:6" ht="14.15" customHeight="1">
      <c r="A129" s="1467"/>
      <c r="B129" s="1467"/>
      <c r="C129" s="1467"/>
      <c r="D129" s="1467"/>
      <c r="E129" s="1467"/>
      <c r="F129" s="1467"/>
    </row>
    <row r="130" spans="1:6" ht="14.15" customHeight="1">
      <c r="A130" s="1467"/>
      <c r="B130" s="1467"/>
      <c r="C130" s="1467"/>
      <c r="D130" s="1467"/>
      <c r="E130" s="1467"/>
      <c r="F130" s="1467"/>
    </row>
    <row r="131" spans="1:6" ht="14.15" customHeight="1">
      <c r="A131" s="1467"/>
      <c r="B131" s="1467"/>
      <c r="C131" s="1467"/>
      <c r="D131" s="1467"/>
      <c r="E131" s="1467"/>
      <c r="F131" s="1467"/>
    </row>
    <row r="132" spans="1:6" ht="14.15" customHeight="1">
      <c r="A132" s="1467"/>
      <c r="B132" s="1467"/>
      <c r="C132" s="1467"/>
      <c r="D132" s="1467"/>
      <c r="E132" s="1467"/>
      <c r="F132" s="1467"/>
    </row>
    <row r="133" spans="1:6" ht="14.15" customHeight="1" thickBot="1">
      <c r="A133" s="449"/>
      <c r="B133" s="448"/>
      <c r="C133" s="448"/>
      <c r="D133" s="448"/>
      <c r="E133" s="449"/>
      <c r="F133" s="449"/>
    </row>
    <row r="134" spans="1:6" ht="14.15" customHeight="1">
      <c r="A134" s="1423" t="s">
        <v>0</v>
      </c>
      <c r="B134" s="1426" t="s">
        <v>1</v>
      </c>
      <c r="C134" s="1429" t="s">
        <v>1061</v>
      </c>
      <c r="D134" s="1430"/>
      <c r="E134" s="1430"/>
      <c r="F134" s="732" t="s">
        <v>735</v>
      </c>
    </row>
    <row r="135" spans="1:6" ht="14.15" customHeight="1">
      <c r="A135" s="1424"/>
      <c r="B135" s="1427"/>
      <c r="C135" s="902"/>
      <c r="D135" s="907"/>
      <c r="E135" s="907"/>
      <c r="F135" s="430"/>
    </row>
    <row r="136" spans="1:6" ht="14.15" customHeight="1">
      <c r="A136" s="1424"/>
      <c r="B136" s="1427"/>
      <c r="C136" s="714" t="s">
        <v>1059</v>
      </c>
      <c r="D136" s="907"/>
      <c r="E136" s="907"/>
      <c r="F136" s="430"/>
    </row>
    <row r="137" spans="1:6" ht="14.15" customHeight="1">
      <c r="A137" s="1424"/>
      <c r="B137" s="1427"/>
      <c r="C137" s="714"/>
      <c r="D137" s="916" t="s">
        <v>1062</v>
      </c>
      <c r="E137" s="907"/>
      <c r="F137" s="430"/>
    </row>
    <row r="138" spans="1:6" ht="14.15" customHeight="1">
      <c r="A138" s="1424"/>
      <c r="B138" s="1427"/>
      <c r="C138" s="714" t="s">
        <v>1060</v>
      </c>
      <c r="D138" s="907"/>
      <c r="E138" s="907"/>
      <c r="F138" s="430"/>
    </row>
    <row r="139" spans="1:6" ht="14.15" customHeight="1">
      <c r="A139" s="1424"/>
      <c r="B139" s="1427"/>
      <c r="C139" s="714"/>
      <c r="D139" s="916" t="s">
        <v>1063</v>
      </c>
      <c r="E139" s="907"/>
      <c r="F139" s="430"/>
    </row>
    <row r="140" spans="1:6" ht="14.15" customHeight="1">
      <c r="A140" s="1425"/>
      <c r="B140" s="1428"/>
      <c r="C140" s="715"/>
      <c r="D140" s="452"/>
      <c r="E140" s="452"/>
      <c r="F140" s="453"/>
    </row>
    <row r="141" spans="1:6" ht="14.15" customHeight="1">
      <c r="A141" s="432" t="s">
        <v>5</v>
      </c>
      <c r="B141" s="433" t="s">
        <v>6</v>
      </c>
      <c r="C141" s="1396">
        <v>15200</v>
      </c>
      <c r="D141" s="1397"/>
      <c r="E141" s="1397"/>
      <c r="F141" s="1398"/>
    </row>
    <row r="142" spans="1:6" ht="14.15" customHeight="1">
      <c r="A142" s="432" t="s">
        <v>7</v>
      </c>
      <c r="B142" s="433" t="s">
        <v>8</v>
      </c>
      <c r="C142" s="1396">
        <v>70</v>
      </c>
      <c r="D142" s="1397"/>
      <c r="E142" s="1397"/>
      <c r="F142" s="1398"/>
    </row>
    <row r="143" spans="1:6" ht="14.15" customHeight="1">
      <c r="A143" s="432" t="s">
        <v>9</v>
      </c>
      <c r="B143" s="433" t="s">
        <v>10</v>
      </c>
      <c r="C143" s="1396">
        <v>0</v>
      </c>
      <c r="D143" s="1397"/>
      <c r="E143" s="1397"/>
      <c r="F143" s="1398"/>
    </row>
    <row r="144" spans="1:6" ht="14.15" customHeight="1">
      <c r="A144" s="432" t="s">
        <v>5</v>
      </c>
      <c r="B144" s="433" t="s">
        <v>11</v>
      </c>
      <c r="C144" s="1396">
        <f>C141*(459.67+68)/(C142+459.67)*(C143+14.78)/14.78</f>
        <v>15142.605773406085</v>
      </c>
      <c r="D144" s="1397"/>
      <c r="E144" s="1397"/>
      <c r="F144" s="1398"/>
    </row>
    <row r="145" spans="1:10" ht="14.15" customHeight="1" thickBot="1">
      <c r="A145" s="909" t="s">
        <v>12</v>
      </c>
      <c r="B145" s="721" t="s">
        <v>13</v>
      </c>
      <c r="C145" s="1444">
        <v>8760</v>
      </c>
      <c r="D145" s="1445"/>
      <c r="E145" s="1445"/>
      <c r="F145" s="1446"/>
    </row>
    <row r="146" spans="1:10" ht="65">
      <c r="A146" s="1402" t="s">
        <v>14</v>
      </c>
      <c r="B146" s="1403"/>
      <c r="C146" s="912" t="s">
        <v>15</v>
      </c>
      <c r="D146" s="913" t="s">
        <v>16</v>
      </c>
      <c r="E146" s="913" t="s">
        <v>724</v>
      </c>
      <c r="F146" s="914" t="s">
        <v>719</v>
      </c>
    </row>
    <row r="147" spans="1:10" ht="14.15" customHeight="1">
      <c r="A147" s="1404"/>
      <c r="B147" s="1405"/>
      <c r="C147" s="434" t="s">
        <v>17</v>
      </c>
      <c r="D147" s="435" t="s">
        <v>18</v>
      </c>
      <c r="E147" s="435" t="s">
        <v>17</v>
      </c>
      <c r="F147" s="436" t="s">
        <v>18</v>
      </c>
      <c r="G147" s="454"/>
      <c r="H147" s="454"/>
      <c r="I147" s="454"/>
      <c r="J147" s="454"/>
    </row>
    <row r="148" spans="1:10" ht="14.15" customHeight="1">
      <c r="A148" s="718" t="s">
        <v>35</v>
      </c>
      <c r="B148" s="719" t="s">
        <v>27</v>
      </c>
      <c r="C148" s="728">
        <f>'Brass Melting'!E33+'Brass Melting'!I33+'Brass Melting'!M33</f>
        <v>46</v>
      </c>
      <c r="D148" s="730">
        <f>'Brass Melting'!F33+'Brass Melting'!J33+'Brass Melting'!N33</f>
        <v>201.48</v>
      </c>
      <c r="E148" s="730">
        <f>'Brass Melting'!G33+'Brass Melting'!K33+'Brass Melting'!O33</f>
        <v>6.9078199999999983</v>
      </c>
      <c r="F148" s="736">
        <f>'Brass Melting'!Q33</f>
        <v>3.0033999999999983</v>
      </c>
      <c r="G148" s="454"/>
      <c r="H148" s="725"/>
      <c r="J148" s="454"/>
    </row>
    <row r="149" spans="1:10" ht="14.15" customHeight="1">
      <c r="A149" s="718" t="s">
        <v>35</v>
      </c>
      <c r="B149" s="719" t="s">
        <v>883</v>
      </c>
      <c r="C149" s="729">
        <f>('IA-Transfer Ladle'!E27*4)</f>
        <v>0.45599999999999996</v>
      </c>
      <c r="D149" s="730">
        <f>('IA-Transfer Ladle'!F27*4)</f>
        <v>1.9972799999999997</v>
      </c>
      <c r="E149" s="731">
        <f>C149</f>
        <v>0.45599999999999996</v>
      </c>
      <c r="F149" s="736">
        <f>D149</f>
        <v>1.9972799999999997</v>
      </c>
      <c r="G149" s="454"/>
      <c r="H149" s="454"/>
      <c r="I149" s="454"/>
      <c r="J149" s="454"/>
    </row>
    <row r="150" spans="1:10" ht="14.15" customHeight="1">
      <c r="A150" s="718" t="s">
        <v>35</v>
      </c>
      <c r="B150" s="719" t="s">
        <v>720</v>
      </c>
      <c r="C150" s="729">
        <f>'Ladle Preheaters - Nat Gas'!E13</f>
        <v>1.4901960784313724E-2</v>
      </c>
      <c r="D150" s="731">
        <f>'Ladle Preheaters - Nat Gas'!G13</f>
        <v>6.5270588235294108E-2</v>
      </c>
      <c r="E150" s="731">
        <f>C150</f>
        <v>1.4901960784313724E-2</v>
      </c>
      <c r="F150" s="735">
        <f>D150</f>
        <v>6.5270588235294108E-2</v>
      </c>
      <c r="G150" s="454"/>
      <c r="H150" s="454"/>
      <c r="I150" s="454"/>
      <c r="J150" s="454"/>
    </row>
    <row r="151" spans="1:10" ht="14.15" customHeight="1">
      <c r="A151" s="718" t="s">
        <v>35</v>
      </c>
      <c r="B151" s="719" t="s">
        <v>721</v>
      </c>
      <c r="C151" s="728">
        <f>'Pouring-Casting-Cooling'!E20</f>
        <v>15.959999999999999</v>
      </c>
      <c r="D151" s="730">
        <f>'Pouring-Casting-Cooling'!F20</f>
        <v>69.904800000000009</v>
      </c>
      <c r="E151" s="730">
        <f>'Pouring-Casting-Cooling'!E20*(1-'Brass Melting'!$J$17%)</f>
        <v>2.3967131999999984</v>
      </c>
      <c r="F151" s="736">
        <f>'Pouring-Casting-Cooling'!G20</f>
        <v>6.3</v>
      </c>
      <c r="G151" s="454"/>
      <c r="H151" s="454"/>
      <c r="I151" s="454"/>
      <c r="J151" s="454"/>
    </row>
    <row r="152" spans="1:10" ht="14.15" customHeight="1" thickBot="1">
      <c r="A152" s="1406" t="s">
        <v>722</v>
      </c>
      <c r="B152" s="1407"/>
      <c r="C152" s="726">
        <f>SUM(C148:C151)</f>
        <v>62.430901960784318</v>
      </c>
      <c r="D152" s="727">
        <f>SUM(D148:D151)</f>
        <v>273.44735058823528</v>
      </c>
      <c r="E152" s="439">
        <f>SUM(E148:E151)</f>
        <v>9.7754351607843102</v>
      </c>
      <c r="F152" s="440">
        <f>'Brass Melting'!Q33+('IA-Transfer Ladle'!F27*4)+'Ladle Preheaters - Nat Gas'!G13+'Pouring-Casting-Cooling'!G20</f>
        <v>11.365950588235293</v>
      </c>
      <c r="G152" s="1049"/>
      <c r="H152" s="454"/>
      <c r="I152" s="454"/>
      <c r="J152" s="454"/>
    </row>
    <row r="153" spans="1:10" ht="14.15" customHeight="1">
      <c r="A153" s="1408"/>
      <c r="B153" s="1409"/>
      <c r="C153" s="1412" t="s">
        <v>894</v>
      </c>
      <c r="D153" s="1413"/>
      <c r="E153" s="1413"/>
      <c r="F153" s="1414"/>
      <c r="G153" s="454"/>
      <c r="H153" s="454"/>
      <c r="I153" s="454"/>
      <c r="J153" s="454"/>
    </row>
    <row r="154" spans="1:10" ht="14.15" customHeight="1">
      <c r="A154" s="1408"/>
      <c r="B154" s="1409"/>
      <c r="C154" s="1468" t="s">
        <v>20</v>
      </c>
      <c r="D154" s="1469"/>
      <c r="E154" s="441">
        <f>IF(C144&lt;7001, 0.1, 1.7627*(C144^-0.3241))</f>
        <v>7.7870934203298672E-2</v>
      </c>
      <c r="F154" s="442" t="s">
        <v>21</v>
      </c>
      <c r="G154" s="454"/>
      <c r="H154" s="454"/>
      <c r="I154" s="454"/>
      <c r="J154" s="454"/>
    </row>
    <row r="155" spans="1:10" ht="14.15" customHeight="1">
      <c r="A155" s="1408"/>
      <c r="B155" s="1409"/>
      <c r="C155" s="1470" t="s">
        <v>22</v>
      </c>
      <c r="D155" s="1471"/>
      <c r="E155" s="441">
        <f>E152*7000/60/C144</f>
        <v>7.5315137466482843E-2</v>
      </c>
      <c r="F155" s="442" t="s">
        <v>21</v>
      </c>
      <c r="G155" s="454"/>
      <c r="H155" s="454"/>
      <c r="I155" s="454"/>
      <c r="J155" s="454"/>
    </row>
    <row r="156" spans="1:10" ht="14.15" customHeight="1" thickBot="1">
      <c r="A156" s="1408"/>
      <c r="B156" s="1409"/>
      <c r="C156" s="1460" t="s">
        <v>23</v>
      </c>
      <c r="D156" s="1461"/>
      <c r="E156" s="1464" t="str">
        <f>IF(E155&lt;E154, "YES", "NO")</f>
        <v>YES</v>
      </c>
      <c r="F156" s="1465"/>
    </row>
    <row r="157" spans="1:10" ht="14.15" customHeight="1">
      <c r="A157" s="1408"/>
      <c r="B157" s="1409"/>
      <c r="C157" s="444" t="s">
        <v>24</v>
      </c>
      <c r="D157" s="445">
        <f>E154*C144/7000*60</f>
        <v>10.107161638691965</v>
      </c>
      <c r="E157" s="446" t="s">
        <v>895</v>
      </c>
      <c r="F157" s="734"/>
    </row>
    <row r="158" spans="1:10" ht="14.15" customHeight="1" thickBot="1">
      <c r="A158" s="1410"/>
      <c r="B158" s="1411"/>
      <c r="C158" s="450" t="s">
        <v>723</v>
      </c>
      <c r="D158" s="451">
        <f>E152</f>
        <v>9.7754351607843102</v>
      </c>
      <c r="E158" s="392" t="s">
        <v>685</v>
      </c>
      <c r="F158" s="707"/>
    </row>
    <row r="159" spans="1:10" ht="14.15" customHeight="1">
      <c r="A159" s="1466" t="s">
        <v>885</v>
      </c>
      <c r="B159" s="1466"/>
      <c r="C159" s="1466"/>
      <c r="D159" s="1466"/>
      <c r="E159" s="1466"/>
      <c r="F159" s="1466"/>
    </row>
    <row r="160" spans="1:10" ht="14.15" customHeight="1">
      <c r="A160" s="1467"/>
      <c r="B160" s="1467"/>
      <c r="C160" s="1467"/>
      <c r="D160" s="1467"/>
      <c r="E160" s="1467"/>
      <c r="F160" s="1467"/>
    </row>
    <row r="161" spans="1:16" ht="14.15" customHeight="1">
      <c r="A161" s="1467"/>
      <c r="B161" s="1467"/>
      <c r="C161" s="1467"/>
      <c r="D161" s="1467"/>
      <c r="E161" s="1467"/>
      <c r="F161" s="1467"/>
    </row>
    <row r="162" spans="1:16" ht="14.15" customHeight="1" thickBot="1">
      <c r="A162" s="716"/>
      <c r="B162" s="443"/>
      <c r="C162" s="455"/>
      <c r="D162" s="455"/>
      <c r="E162" s="443"/>
      <c r="F162" s="443"/>
    </row>
    <row r="163" spans="1:16" ht="14.15" customHeight="1">
      <c r="A163" s="1423" t="s">
        <v>0</v>
      </c>
      <c r="B163" s="1451" t="s">
        <v>1</v>
      </c>
      <c r="C163" s="1429" t="s">
        <v>2</v>
      </c>
      <c r="D163" s="1430"/>
      <c r="E163" s="1430"/>
      <c r="F163" s="1433" t="s">
        <v>736</v>
      </c>
    </row>
    <row r="164" spans="1:16" ht="14.15" customHeight="1">
      <c r="A164" s="1424"/>
      <c r="B164" s="1452"/>
      <c r="C164" s="1431"/>
      <c r="D164" s="1432"/>
      <c r="E164" s="1432"/>
      <c r="F164" s="1434"/>
    </row>
    <row r="165" spans="1:16" ht="14.15" customHeight="1">
      <c r="A165" s="1424"/>
      <c r="B165" s="1452"/>
      <c r="C165" s="714" t="s">
        <v>3</v>
      </c>
      <c r="D165" s="907"/>
      <c r="E165" s="907"/>
      <c r="F165" s="430"/>
    </row>
    <row r="166" spans="1:16" ht="14.15" customHeight="1">
      <c r="A166" s="1424"/>
      <c r="B166" s="1452"/>
      <c r="C166" s="714" t="s">
        <v>4</v>
      </c>
      <c r="D166" s="907"/>
      <c r="E166" s="907"/>
      <c r="F166" s="430"/>
      <c r="H166" s="1462"/>
      <c r="I166" s="1462"/>
      <c r="J166" s="1462"/>
      <c r="K166" s="431"/>
      <c r="L166" s="431"/>
      <c r="M166" s="431"/>
      <c r="N166" s="431"/>
      <c r="O166" s="431"/>
      <c r="P166" s="431"/>
    </row>
    <row r="167" spans="1:16" ht="14.15" customHeight="1">
      <c r="A167" s="1424"/>
      <c r="B167" s="1452"/>
      <c r="C167" s="714"/>
      <c r="D167" s="907"/>
      <c r="E167" s="907"/>
      <c r="F167" s="430"/>
    </row>
    <row r="168" spans="1:16" ht="14.15" customHeight="1">
      <c r="A168" s="432" t="s">
        <v>5</v>
      </c>
      <c r="B168" s="433" t="s">
        <v>6</v>
      </c>
      <c r="C168" s="1393">
        <v>15200</v>
      </c>
      <c r="D168" s="1394"/>
      <c r="E168" s="1394"/>
      <c r="F168" s="1395"/>
    </row>
    <row r="169" spans="1:16" ht="14.15" customHeight="1">
      <c r="A169" s="432" t="s">
        <v>7</v>
      </c>
      <c r="B169" s="433" t="s">
        <v>8</v>
      </c>
      <c r="C169" s="1396">
        <v>120</v>
      </c>
      <c r="D169" s="1397"/>
      <c r="E169" s="1397"/>
      <c r="F169" s="1398"/>
    </row>
    <row r="170" spans="1:16" ht="14.15" customHeight="1">
      <c r="A170" s="432" t="s">
        <v>9</v>
      </c>
      <c r="B170" s="433" t="s">
        <v>10</v>
      </c>
      <c r="C170" s="1396">
        <v>0</v>
      </c>
      <c r="D170" s="1397"/>
      <c r="E170" s="1397"/>
      <c r="F170" s="1398"/>
    </row>
    <row r="171" spans="1:16" ht="14.15" customHeight="1">
      <c r="A171" s="432" t="s">
        <v>5</v>
      </c>
      <c r="B171" s="433" t="s">
        <v>11</v>
      </c>
      <c r="C171" s="1396">
        <f>C168*(459.67+68)/(C169+459.67)*(C170+14.78)/14.78</f>
        <v>13836.465575241084</v>
      </c>
      <c r="D171" s="1397"/>
      <c r="E171" s="1397"/>
      <c r="F171" s="1398"/>
    </row>
    <row r="172" spans="1:16" ht="14.15" customHeight="1" thickBot="1">
      <c r="A172" s="909" t="s">
        <v>12</v>
      </c>
      <c r="B172" s="721" t="s">
        <v>13</v>
      </c>
      <c r="C172" s="1399">
        <v>8760</v>
      </c>
      <c r="D172" s="1400"/>
      <c r="E172" s="1400"/>
      <c r="F172" s="1401"/>
    </row>
    <row r="173" spans="1:16" ht="26">
      <c r="A173" s="1402" t="s">
        <v>14</v>
      </c>
      <c r="B173" s="1457"/>
      <c r="C173" s="912" t="s">
        <v>15</v>
      </c>
      <c r="D173" s="913" t="s">
        <v>16</v>
      </c>
      <c r="E173" s="913" t="s">
        <v>879</v>
      </c>
      <c r="F173" s="914" t="s">
        <v>880</v>
      </c>
      <c r="G173" s="1463"/>
    </row>
    <row r="174" spans="1:16" ht="14.15" customHeight="1">
      <c r="A174" s="1404"/>
      <c r="B174" s="1458"/>
      <c r="C174" s="434" t="s">
        <v>17</v>
      </c>
      <c r="D174" s="435" t="s">
        <v>18</v>
      </c>
      <c r="E174" s="435" t="s">
        <v>17</v>
      </c>
      <c r="F174" s="436" t="s">
        <v>18</v>
      </c>
      <c r="G174" s="1463"/>
      <c r="H174" s="437"/>
      <c r="I174" s="437"/>
      <c r="J174" s="437"/>
    </row>
    <row r="175" spans="1:16" ht="14.15" customHeight="1" thickBot="1">
      <c r="A175" s="1406" t="s">
        <v>19</v>
      </c>
      <c r="B175" s="1459"/>
      <c r="C175" s="438">
        <f>'AL Melting'!B59+'AL Melting'!D59+'AL Melting'!F59+'AL Melting'!H59+'AL Melting'!J59</f>
        <v>2.9058823529411764</v>
      </c>
      <c r="D175" s="439">
        <f>'AL Melting'!C59+'AL Melting'!E59+'AL Melting'!G59+'AL Melting'!I59+'AL Melting'!K59</f>
        <v>12.727764705882352</v>
      </c>
      <c r="E175" s="439">
        <f>C175</f>
        <v>2.9058823529411764</v>
      </c>
      <c r="F175" s="440">
        <f>'AL Melting'!L59</f>
        <v>1.194764705882353</v>
      </c>
      <c r="G175" s="1463"/>
      <c r="H175" s="437"/>
      <c r="I175" s="437"/>
      <c r="J175" s="437"/>
    </row>
    <row r="176" spans="1:16" ht="14.15" customHeight="1">
      <c r="A176" s="1408"/>
      <c r="B176" s="1409"/>
      <c r="C176" s="1412" t="s">
        <v>894</v>
      </c>
      <c r="D176" s="1413"/>
      <c r="E176" s="1413"/>
      <c r="F176" s="1414"/>
      <c r="G176" s="437"/>
      <c r="H176" s="437"/>
      <c r="I176" s="437"/>
      <c r="J176" s="437"/>
    </row>
    <row r="177" spans="1:10" ht="14.15" customHeight="1">
      <c r="A177" s="1408"/>
      <c r="B177" s="1409"/>
      <c r="C177" s="1415" t="s">
        <v>20</v>
      </c>
      <c r="D177" s="1416"/>
      <c r="E177" s="441">
        <f>IF(C171&lt;7001, 0.1, 1.7627*(C171^-0.3241))</f>
        <v>8.0181125459183891E-2</v>
      </c>
      <c r="F177" s="442" t="s">
        <v>21</v>
      </c>
      <c r="J177" s="437"/>
    </row>
    <row r="178" spans="1:10" ht="14.15" customHeight="1">
      <c r="A178" s="1408"/>
      <c r="B178" s="1409"/>
      <c r="C178" s="1417" t="s">
        <v>22</v>
      </c>
      <c r="D178" s="1418"/>
      <c r="E178" s="441">
        <f>E175*7000/60/C171</f>
        <v>2.4501893637474702E-2</v>
      </c>
      <c r="F178" s="442" t="s">
        <v>21</v>
      </c>
    </row>
    <row r="179" spans="1:10" ht="14.15" customHeight="1" thickBot="1">
      <c r="A179" s="1408"/>
      <c r="B179" s="1409"/>
      <c r="C179" s="1453" t="s">
        <v>23</v>
      </c>
      <c r="D179" s="1454"/>
      <c r="E179" s="1455" t="str">
        <f>IF(E178&lt;E177, "YES", "NO")</f>
        <v>YES</v>
      </c>
      <c r="F179" s="1456"/>
    </row>
    <row r="180" spans="1:10" ht="14.15" customHeight="1">
      <c r="A180" s="1408"/>
      <c r="B180" s="1449"/>
      <c r="C180" s="444" t="s">
        <v>24</v>
      </c>
      <c r="D180" s="445">
        <f>E177*C171/7000*60</f>
        <v>9.5093432760007222</v>
      </c>
      <c r="E180" s="446" t="s">
        <v>895</v>
      </c>
      <c r="F180" s="447"/>
      <c r="G180" s="448"/>
      <c r="H180" s="449"/>
      <c r="I180" s="449"/>
    </row>
    <row r="181" spans="1:10" ht="14.15" customHeight="1" thickBot="1">
      <c r="A181" s="1410"/>
      <c r="B181" s="1450"/>
      <c r="C181" s="450" t="s">
        <v>723</v>
      </c>
      <c r="D181" s="451">
        <f>'AL Melting'!G18</f>
        <v>2.9058823529411764</v>
      </c>
      <c r="E181" s="392" t="s">
        <v>26</v>
      </c>
      <c r="F181" s="717"/>
      <c r="G181" s="448"/>
      <c r="H181" s="449"/>
      <c r="I181" s="449"/>
    </row>
    <row r="182" spans="1:10" ht="14.15" customHeight="1">
      <c r="A182" s="716" t="s">
        <v>882</v>
      </c>
      <c r="B182" s="443"/>
      <c r="C182" s="901"/>
      <c r="D182" s="454"/>
      <c r="F182" s="448"/>
      <c r="G182" s="448"/>
      <c r="H182" s="449"/>
      <c r="I182" s="449"/>
    </row>
    <row r="183" spans="1:10" ht="14.15" customHeight="1" thickBot="1">
      <c r="A183" s="449"/>
      <c r="B183" s="448"/>
      <c r="C183" s="448"/>
      <c r="D183" s="448"/>
      <c r="E183" s="449"/>
      <c r="F183" s="449"/>
    </row>
    <row r="184" spans="1:10" ht="14.15" customHeight="1">
      <c r="A184" s="1423" t="s">
        <v>0</v>
      </c>
      <c r="B184" s="1426" t="s">
        <v>1</v>
      </c>
      <c r="C184" s="1429" t="s">
        <v>924</v>
      </c>
      <c r="D184" s="1430"/>
      <c r="E184" s="1430"/>
      <c r="F184" s="1433" t="s">
        <v>886</v>
      </c>
    </row>
    <row r="185" spans="1:10" ht="14.15" customHeight="1">
      <c r="A185" s="1424"/>
      <c r="B185" s="1427"/>
      <c r="C185" s="1431"/>
      <c r="D185" s="1432"/>
      <c r="E185" s="1432"/>
      <c r="F185" s="1434"/>
    </row>
    <row r="186" spans="1:10" ht="14.15" customHeight="1">
      <c r="A186" s="1424"/>
      <c r="B186" s="1427"/>
      <c r="C186" s="714" t="s">
        <v>805</v>
      </c>
      <c r="D186" s="907"/>
      <c r="E186" s="907"/>
      <c r="F186" s="430"/>
    </row>
    <row r="187" spans="1:10" ht="14.15" customHeight="1">
      <c r="A187" s="1424"/>
      <c r="B187" s="1427"/>
      <c r="C187" s="714" t="s">
        <v>806</v>
      </c>
      <c r="D187" s="907"/>
      <c r="E187" s="907"/>
      <c r="F187" s="430"/>
    </row>
    <row r="188" spans="1:10" ht="14.15" customHeight="1">
      <c r="A188" s="1425"/>
      <c r="B188" s="1428"/>
      <c r="C188" s="715"/>
      <c r="D188" s="452"/>
      <c r="E188" s="452"/>
      <c r="F188" s="453"/>
    </row>
    <row r="189" spans="1:10" ht="14.15" customHeight="1">
      <c r="A189" s="432" t="s">
        <v>5</v>
      </c>
      <c r="B189" s="433" t="s">
        <v>6</v>
      </c>
      <c r="C189" s="1396">
        <v>6000</v>
      </c>
      <c r="D189" s="1397"/>
      <c r="E189" s="1397"/>
      <c r="F189" s="1398"/>
      <c r="G189" s="903"/>
    </row>
    <row r="190" spans="1:10" ht="14.15" customHeight="1">
      <c r="A190" s="432" t="s">
        <v>7</v>
      </c>
      <c r="B190" s="433" t="s">
        <v>8</v>
      </c>
      <c r="C190" s="1396">
        <v>70</v>
      </c>
      <c r="D190" s="1397"/>
      <c r="E190" s="1397"/>
      <c r="F190" s="1398"/>
      <c r="H190" s="748"/>
    </row>
    <row r="191" spans="1:10" ht="14.15" customHeight="1">
      <c r="A191" s="432" t="s">
        <v>9</v>
      </c>
      <c r="B191" s="433" t="s">
        <v>10</v>
      </c>
      <c r="C191" s="1396">
        <v>0</v>
      </c>
      <c r="D191" s="1397"/>
      <c r="E191" s="1397"/>
      <c r="F191" s="1398"/>
      <c r="H191" s="748"/>
    </row>
    <row r="192" spans="1:10" ht="14.15" customHeight="1">
      <c r="A192" s="432" t="s">
        <v>5</v>
      </c>
      <c r="B192" s="433" t="s">
        <v>11</v>
      </c>
      <c r="C192" s="1393">
        <f>C189*(459.67+68)/(C190+459.67)*(C191+14.78)/14.78</f>
        <v>5977.3443842392435</v>
      </c>
      <c r="D192" s="1394"/>
      <c r="E192" s="1394"/>
      <c r="F192" s="1395"/>
    </row>
    <row r="193" spans="1:10" ht="14.15" customHeight="1" thickBot="1">
      <c r="A193" s="909" t="s">
        <v>12</v>
      </c>
      <c r="B193" s="721" t="s">
        <v>13</v>
      </c>
      <c r="C193" s="1399">
        <v>8760</v>
      </c>
      <c r="D193" s="1400"/>
      <c r="E193" s="1400"/>
      <c r="F193" s="1401"/>
    </row>
    <row r="194" spans="1:10" ht="52">
      <c r="A194" s="1402" t="s">
        <v>14</v>
      </c>
      <c r="B194" s="1403"/>
      <c r="C194" s="912" t="s">
        <v>15</v>
      </c>
      <c r="D194" s="913" t="s">
        <v>16</v>
      </c>
      <c r="E194" s="913" t="s">
        <v>905</v>
      </c>
      <c r="F194" s="914" t="s">
        <v>889</v>
      </c>
      <c r="H194" s="437"/>
    </row>
    <row r="195" spans="1:10" ht="14.15" customHeight="1">
      <c r="A195" s="1404"/>
      <c r="B195" s="1405"/>
      <c r="C195" s="434" t="s">
        <v>17</v>
      </c>
      <c r="D195" s="435" t="s">
        <v>18</v>
      </c>
      <c r="E195" s="435" t="s">
        <v>17</v>
      </c>
      <c r="F195" s="436" t="s">
        <v>18</v>
      </c>
      <c r="G195" s="454"/>
      <c r="H195" s="454"/>
      <c r="I195" s="454"/>
      <c r="J195" s="454"/>
    </row>
    <row r="196" spans="1:10" ht="14.15" customHeight="1" thickBot="1">
      <c r="A196" s="1406" t="s">
        <v>19</v>
      </c>
      <c r="B196" s="1407"/>
      <c r="C196" s="438">
        <f>'Shakeout, Green Sand'!E25</f>
        <v>4.3636363636363633</v>
      </c>
      <c r="D196" s="439">
        <f>'Shakeout, Green Sand'!F25</f>
        <v>19.112727272727273</v>
      </c>
      <c r="E196" s="439">
        <f>'Shakeout, Green Sand'!E25*(1-'Shakeout, Green Sand'!J14%)-('Shakeout, Green Sand'!E25*(1-'Shakeout, Green Sand'!J11%))</f>
        <v>0.39272727272727281</v>
      </c>
      <c r="F196" s="440">
        <f>'Shakeout, Green Sand'!J25</f>
        <v>0.46080000000000004</v>
      </c>
      <c r="G196" s="454"/>
      <c r="H196" s="454"/>
      <c r="I196" s="454"/>
      <c r="J196" s="454"/>
    </row>
    <row r="197" spans="1:10" ht="14.15" customHeight="1">
      <c r="A197" s="1408"/>
      <c r="B197" s="1409"/>
      <c r="C197" s="1412" t="s">
        <v>894</v>
      </c>
      <c r="D197" s="1413"/>
      <c r="E197" s="1413"/>
      <c r="F197" s="1414"/>
      <c r="G197" s="454"/>
      <c r="H197" s="454"/>
      <c r="I197" s="454"/>
      <c r="J197" s="454"/>
    </row>
    <row r="198" spans="1:10" ht="14.15" customHeight="1">
      <c r="A198" s="1408"/>
      <c r="B198" s="1409"/>
      <c r="C198" s="1415" t="s">
        <v>20</v>
      </c>
      <c r="D198" s="1416"/>
      <c r="E198" s="441">
        <f>IF(C192&lt;7001, 0.1, 1.7627*(C192^-0.3241))</f>
        <v>0.1</v>
      </c>
      <c r="F198" s="442" t="s">
        <v>21</v>
      </c>
      <c r="G198" s="454"/>
      <c r="H198" s="454"/>
      <c r="I198" s="454"/>
      <c r="J198" s="454"/>
    </row>
    <row r="199" spans="1:10" ht="14.15" customHeight="1">
      <c r="A199" s="1408"/>
      <c r="B199" s="1409"/>
      <c r="C199" s="1417" t="s">
        <v>22</v>
      </c>
      <c r="D199" s="1418"/>
      <c r="E199" s="441">
        <f>E196*7000/60/C192</f>
        <v>7.6653073460168832E-3</v>
      </c>
      <c r="F199" s="442" t="s">
        <v>21</v>
      </c>
      <c r="G199" s="454"/>
      <c r="H199" s="454"/>
      <c r="I199" s="454"/>
      <c r="J199" s="454"/>
    </row>
    <row r="200" spans="1:10" ht="14.15" customHeight="1" thickBot="1">
      <c r="A200" s="1408"/>
      <c r="B200" s="1409"/>
      <c r="C200" s="1419" t="s">
        <v>23</v>
      </c>
      <c r="D200" s="1420"/>
      <c r="E200" s="1421" t="str">
        <f>IF(E199&lt;E198, "YES", "NO")</f>
        <v>YES</v>
      </c>
      <c r="F200" s="1422"/>
    </row>
    <row r="201" spans="1:10" ht="14.15" customHeight="1">
      <c r="A201" s="1408"/>
      <c r="B201" s="1409"/>
      <c r="C201" s="444" t="s">
        <v>24</v>
      </c>
      <c r="D201" s="445">
        <f>E198*C192/7000*60</f>
        <v>5.1234380436336382</v>
      </c>
      <c r="E201" s="446" t="s">
        <v>895</v>
      </c>
      <c r="F201" s="447"/>
    </row>
    <row r="202" spans="1:10" ht="14.15" customHeight="1" thickBot="1">
      <c r="A202" s="1410"/>
      <c r="B202" s="1411"/>
      <c r="C202" s="450" t="s">
        <v>25</v>
      </c>
      <c r="D202" s="451">
        <f>E196</f>
        <v>0.39272727272727281</v>
      </c>
      <c r="E202" s="392" t="s">
        <v>685</v>
      </c>
      <c r="F202" s="707"/>
    </row>
    <row r="203" spans="1:10" ht="14.15" customHeight="1">
      <c r="A203" s="449"/>
      <c r="B203" s="448"/>
      <c r="C203" s="448"/>
      <c r="D203" s="448"/>
      <c r="E203" s="449"/>
      <c r="F203" s="449"/>
    </row>
  </sheetData>
  <protectedRanges>
    <protectedRange algorithmName="SHA-512" hashValue="N3Y3ZkpLpXBTbiLP2RT+IE3TibzHHZ/aeeLG5jtdRNUG1WhIu/vnEUz5lxQNcRx2s3SE+iM3QGnpbPuYAz/GXQ==" saltValue="W1r/cG+GIyxF7rp9JCJL6A==" spinCount="100000" sqref="A6:B24 A26:B44 A184:B202 A46:B64 B101:B107 A108:B132 A134:B179 A81:B100 A66:B80" name="Range1_2"/>
    <protectedRange algorithmName="SHA-512" hashValue="N3Y3ZkpLpXBTbiLP2RT+IE3TibzHHZ/aeeLG5jtdRNUG1WhIu/vnEUz5lxQNcRx2s3SE+iM3QGnpbPuYAz/GXQ==" saltValue="W1r/cG+GIyxF7rp9JCJL6A==" spinCount="100000" sqref="C36:F42 C162:F162 C16:F22 C194:F200 C56:F62 C173:F179 C108:F124 C81:F85 C146:F156 C77:F80" name="Range1_2_1"/>
  </protectedRanges>
  <mergeCells count="152">
    <mergeCell ref="A6:A10"/>
    <mergeCell ref="B6:B10"/>
    <mergeCell ref="C6:E7"/>
    <mergeCell ref="F6:F7"/>
    <mergeCell ref="C11:F11"/>
    <mergeCell ref="C12:F12"/>
    <mergeCell ref="C13:F13"/>
    <mergeCell ref="C14:F14"/>
    <mergeCell ref="C15:F15"/>
    <mergeCell ref="C145:F145"/>
    <mergeCell ref="A125:F132"/>
    <mergeCell ref="A90:A99"/>
    <mergeCell ref="B90:B99"/>
    <mergeCell ref="A16:B17"/>
    <mergeCell ref="A18:B18"/>
    <mergeCell ref="A19:B24"/>
    <mergeCell ref="C19:F19"/>
    <mergeCell ref="C20:D20"/>
    <mergeCell ref="C21:D21"/>
    <mergeCell ref="C22:D22"/>
    <mergeCell ref="E22:F22"/>
    <mergeCell ref="C72:F72"/>
    <mergeCell ref="C73:F73"/>
    <mergeCell ref="C74:F74"/>
    <mergeCell ref="C75:F75"/>
    <mergeCell ref="C76:F76"/>
    <mergeCell ref="A77:B78"/>
    <mergeCell ref="A81:B81"/>
    <mergeCell ref="C82:F82"/>
    <mergeCell ref="C83:D83"/>
    <mergeCell ref="C84:D84"/>
    <mergeCell ref="C85:D85"/>
    <mergeCell ref="E85:F85"/>
    <mergeCell ref="G173:G175"/>
    <mergeCell ref="E156:F156"/>
    <mergeCell ref="C153:F153"/>
    <mergeCell ref="A159:F161"/>
    <mergeCell ref="B46:B50"/>
    <mergeCell ref="C51:F51"/>
    <mergeCell ref="C52:F52"/>
    <mergeCell ref="C53:F53"/>
    <mergeCell ref="C54:F54"/>
    <mergeCell ref="C55:F55"/>
    <mergeCell ref="A56:B57"/>
    <mergeCell ref="C154:D154"/>
    <mergeCell ref="C155:D155"/>
    <mergeCell ref="A153:B158"/>
    <mergeCell ref="A134:A140"/>
    <mergeCell ref="B134:B140"/>
    <mergeCell ref="A146:B147"/>
    <mergeCell ref="C46:E47"/>
    <mergeCell ref="F46:F47"/>
    <mergeCell ref="C134:E134"/>
    <mergeCell ref="C141:F141"/>
    <mergeCell ref="C142:F142"/>
    <mergeCell ref="C143:F143"/>
    <mergeCell ref="C144:F144"/>
    <mergeCell ref="C156:D156"/>
    <mergeCell ref="C163:E164"/>
    <mergeCell ref="F163:F164"/>
    <mergeCell ref="A152:B152"/>
    <mergeCell ref="H166:J166"/>
    <mergeCell ref="C172:F172"/>
    <mergeCell ref="C168:F168"/>
    <mergeCell ref="C169:F169"/>
    <mergeCell ref="C170:F170"/>
    <mergeCell ref="C191:F191"/>
    <mergeCell ref="C192:F192"/>
    <mergeCell ref="C193:F193"/>
    <mergeCell ref="A194:B195"/>
    <mergeCell ref="A196:B196"/>
    <mergeCell ref="A197:B202"/>
    <mergeCell ref="C197:F197"/>
    <mergeCell ref="C198:D198"/>
    <mergeCell ref="C199:D199"/>
    <mergeCell ref="C200:D200"/>
    <mergeCell ref="E200:F200"/>
    <mergeCell ref="A184:A188"/>
    <mergeCell ref="B184:B188"/>
    <mergeCell ref="C184:E185"/>
    <mergeCell ref="F184:F185"/>
    <mergeCell ref="C189:F189"/>
    <mergeCell ref="C190:F190"/>
    <mergeCell ref="A176:B181"/>
    <mergeCell ref="A163:A167"/>
    <mergeCell ref="B163:B167"/>
    <mergeCell ref="C179:D179"/>
    <mergeCell ref="E179:F179"/>
    <mergeCell ref="C171:F171"/>
    <mergeCell ref="C177:D177"/>
    <mergeCell ref="C178:D178"/>
    <mergeCell ref="A173:B174"/>
    <mergeCell ref="A175:B175"/>
    <mergeCell ref="C176:F176"/>
    <mergeCell ref="A121:B124"/>
    <mergeCell ref="C121:F121"/>
    <mergeCell ref="C122:D122"/>
    <mergeCell ref="C123:D123"/>
    <mergeCell ref="C124:D124"/>
    <mergeCell ref="E124:F124"/>
    <mergeCell ref="C100:F100"/>
    <mergeCell ref="C101:F101"/>
    <mergeCell ref="C102:F102"/>
    <mergeCell ref="C103:F103"/>
    <mergeCell ref="C104:F104"/>
    <mergeCell ref="C105:F105"/>
    <mergeCell ref="C106:F106"/>
    <mergeCell ref="C107:F107"/>
    <mergeCell ref="A108:B109"/>
    <mergeCell ref="A111:B114"/>
    <mergeCell ref="C111:F111"/>
    <mergeCell ref="C112:D112"/>
    <mergeCell ref="C113:D113"/>
    <mergeCell ref="C114:D114"/>
    <mergeCell ref="E114:F114"/>
    <mergeCell ref="A26:A30"/>
    <mergeCell ref="B26:B30"/>
    <mergeCell ref="C26:E27"/>
    <mergeCell ref="F26:F27"/>
    <mergeCell ref="F90:F91"/>
    <mergeCell ref="C90:E91"/>
    <mergeCell ref="A116:B119"/>
    <mergeCell ref="C116:F116"/>
    <mergeCell ref="C117:D117"/>
    <mergeCell ref="C118:D118"/>
    <mergeCell ref="C119:D119"/>
    <mergeCell ref="E119:F119"/>
    <mergeCell ref="A66:A71"/>
    <mergeCell ref="B66:B71"/>
    <mergeCell ref="C66:E67"/>
    <mergeCell ref="F66:F67"/>
    <mergeCell ref="A58:B58"/>
    <mergeCell ref="A59:B64"/>
    <mergeCell ref="C59:F59"/>
    <mergeCell ref="C60:D60"/>
    <mergeCell ref="C61:D61"/>
    <mergeCell ref="C62:D62"/>
    <mergeCell ref="E62:F62"/>
    <mergeCell ref="A46:A50"/>
    <mergeCell ref="C31:F31"/>
    <mergeCell ref="C32:F32"/>
    <mergeCell ref="C33:F33"/>
    <mergeCell ref="C34:F34"/>
    <mergeCell ref="C35:F35"/>
    <mergeCell ref="A36:B37"/>
    <mergeCell ref="A38:B38"/>
    <mergeCell ref="A39:B44"/>
    <mergeCell ref="C39:F39"/>
    <mergeCell ref="C40:D40"/>
    <mergeCell ref="C41:D41"/>
    <mergeCell ref="C42:D42"/>
    <mergeCell ref="E42:F42"/>
  </mergeCells>
  <pageMargins left="0.7" right="0.7" top="0.75" bottom="0.75" header="0.3" footer="0.3"/>
  <pageSetup scale="79" fitToHeight="0" orientation="portrait" r:id="rId1"/>
  <headerFooter>
    <oddHeader>&amp;C&amp;"Aptos Narror,Bold"&amp;14&amp;A</oddHeader>
    <oddFooter>&amp;L&amp;"-,Regular"St. Paul Brass &amp; Aluminum Foundry (Facility ID: 12300001)
B2303515&amp;C&amp;"-,Regular"&amp;P of &amp;N&amp;R&amp;"-,Regular"&amp;D</oddFooter>
  </headerFooter>
  <rowBreaks count="4" manualBreakCount="4">
    <brk id="44" max="5" man="1"/>
    <brk id="88" max="5" man="1"/>
    <brk id="132" max="5" man="1"/>
    <brk id="182" max="5"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CA27-D578-4C00-BA21-66795FF209AB}">
  <sheetPr codeName="Sheet14"/>
  <dimension ref="A1:J127"/>
  <sheetViews>
    <sheetView topLeftCell="A32" zoomScaleNormal="100" workbookViewId="0">
      <selection activeCell="I32" sqref="I32"/>
    </sheetView>
  </sheetViews>
  <sheetFormatPr defaultColWidth="8.81640625" defaultRowHeight="14.5"/>
  <cols>
    <col min="1" max="1" width="27.81640625" style="383" customWidth="1"/>
    <col min="2" max="7" width="13.7265625" style="383" customWidth="1"/>
    <col min="8" max="13" width="12.7265625" style="383" customWidth="1"/>
    <col min="14" max="16384" width="8.81640625" style="383"/>
  </cols>
  <sheetData>
    <row r="1" spans="1:10" ht="18.5">
      <c r="A1" s="458" t="s">
        <v>748</v>
      </c>
      <c r="B1" s="751"/>
      <c r="C1" s="221" t="s">
        <v>949</v>
      </c>
    </row>
    <row r="2" spans="1:10" ht="18.5">
      <c r="A2" s="751"/>
      <c r="C2" s="221" t="s">
        <v>747</v>
      </c>
    </row>
    <row r="3" spans="1:10" ht="19" thickBot="1">
      <c r="A3" s="751"/>
      <c r="C3" s="221"/>
    </row>
    <row r="4" spans="1:10" s="220" customFormat="1" ht="26.5" thickBot="1">
      <c r="A4" s="593" t="s">
        <v>220</v>
      </c>
      <c r="B4" s="594" t="s">
        <v>221</v>
      </c>
      <c r="C4" s="224" t="s">
        <v>222</v>
      </c>
      <c r="D4" s="595"/>
      <c r="E4" s="224"/>
      <c r="F4" s="720" t="s">
        <v>223</v>
      </c>
      <c r="G4" s="226" t="s">
        <v>224</v>
      </c>
    </row>
    <row r="5" spans="1:10" s="220" customFormat="1" ht="13">
      <c r="A5" s="606" t="s">
        <v>170</v>
      </c>
      <c r="B5" s="573" t="s">
        <v>950</v>
      </c>
      <c r="C5" s="229" t="s">
        <v>753</v>
      </c>
      <c r="D5" s="229"/>
      <c r="E5" s="229"/>
      <c r="F5" s="1626" t="s">
        <v>710</v>
      </c>
      <c r="G5" s="1620"/>
    </row>
    <row r="6" spans="1:10" s="220" customFormat="1" ht="13.5" thickBot="1">
      <c r="A6" s="603" t="s">
        <v>752</v>
      </c>
      <c r="B6" s="668" t="s">
        <v>951</v>
      </c>
      <c r="C6" s="604" t="s">
        <v>57</v>
      </c>
      <c r="D6" s="604"/>
      <c r="E6" s="604"/>
      <c r="F6" s="1627"/>
      <c r="G6" s="1622"/>
    </row>
    <row r="7" spans="1:10" s="220" customFormat="1" ht="13">
      <c r="A7" s="601"/>
      <c r="E7" s="610" t="s">
        <v>778</v>
      </c>
      <c r="F7" s="601">
        <v>3.8</v>
      </c>
      <c r="G7" s="553" t="s">
        <v>236</v>
      </c>
    </row>
    <row r="8" spans="1:10" s="220" customFormat="1" ht="13">
      <c r="A8" s="248"/>
      <c r="B8" s="235"/>
      <c r="C8" s="235"/>
      <c r="D8" s="235"/>
      <c r="E8" s="249" t="s">
        <v>779</v>
      </c>
      <c r="F8" s="794">
        <f>F7*F10</f>
        <v>33288</v>
      </c>
      <c r="G8" s="238" t="s">
        <v>228</v>
      </c>
    </row>
    <row r="9" spans="1:10" s="220" customFormat="1" ht="13">
      <c r="A9" s="251"/>
      <c r="B9" s="252"/>
      <c r="C9" s="252"/>
      <c r="D9" s="252"/>
      <c r="E9" s="253" t="s">
        <v>743</v>
      </c>
      <c r="F9" s="796">
        <v>3000</v>
      </c>
      <c r="G9" s="254" t="s">
        <v>392</v>
      </c>
    </row>
    <row r="10" spans="1:10" s="220" customFormat="1" ht="13.5" thickBot="1">
      <c r="A10" s="256"/>
      <c r="B10" s="241"/>
      <c r="C10" s="241"/>
      <c r="D10" s="241"/>
      <c r="E10" s="243" t="s">
        <v>137</v>
      </c>
      <c r="F10" s="256">
        <v>8760</v>
      </c>
      <c r="G10" s="244" t="s">
        <v>240</v>
      </c>
    </row>
    <row r="11" spans="1:10" s="220" customFormat="1" ht="13">
      <c r="A11" s="424" t="s">
        <v>243</v>
      </c>
      <c r="B11" s="352"/>
      <c r="C11" s="352"/>
      <c r="D11" s="352"/>
      <c r="E11" s="352"/>
      <c r="F11" s="352"/>
      <c r="G11" s="352"/>
      <c r="H11" s="352"/>
      <c r="I11" s="352"/>
      <c r="J11" s="352"/>
    </row>
    <row r="12" spans="1:10" s="220" customFormat="1" ht="13.5" thickBot="1">
      <c r="A12" s="424"/>
      <c r="B12" s="352"/>
      <c r="C12" s="352"/>
      <c r="D12" s="352"/>
      <c r="E12" s="352"/>
      <c r="F12" s="352"/>
      <c r="G12" s="352"/>
      <c r="H12" s="352"/>
      <c r="I12" s="352"/>
      <c r="J12" s="352"/>
    </row>
    <row r="13" spans="1:10" ht="19" thickBot="1">
      <c r="A13" s="751"/>
      <c r="C13" s="221"/>
      <c r="E13" s="1563" t="s">
        <v>352</v>
      </c>
      <c r="F13" s="1564"/>
      <c r="G13" s="1624" t="s">
        <v>750</v>
      </c>
    </row>
    <row r="14" spans="1:10" s="220" customFormat="1" ht="39.5" thickBot="1">
      <c r="A14" s="755" t="s">
        <v>70</v>
      </c>
      <c r="B14" s="402" t="s">
        <v>353</v>
      </c>
      <c r="C14" s="402" t="s">
        <v>1</v>
      </c>
      <c r="D14" s="403" t="s">
        <v>254</v>
      </c>
      <c r="E14" s="698" t="s">
        <v>354</v>
      </c>
      <c r="F14" s="403" t="s">
        <v>355</v>
      </c>
      <c r="G14" s="1625"/>
    </row>
    <row r="15" spans="1:10" s="220" customFormat="1" ht="13">
      <c r="A15" s="314" t="s">
        <v>19</v>
      </c>
      <c r="B15" s="645" t="s">
        <v>396</v>
      </c>
      <c r="C15" s="645" t="s">
        <v>262</v>
      </c>
      <c r="D15" s="788" t="s">
        <v>357</v>
      </c>
      <c r="E15" s="1262">
        <v>0</v>
      </c>
      <c r="F15" s="1267" t="s">
        <v>262</v>
      </c>
      <c r="G15" s="1272" t="s">
        <v>262</v>
      </c>
    </row>
    <row r="16" spans="1:10" s="220" customFormat="1" ht="13">
      <c r="A16" s="319" t="s">
        <v>77</v>
      </c>
      <c r="B16" s="415" t="s">
        <v>396</v>
      </c>
      <c r="C16" s="415" t="s">
        <v>262</v>
      </c>
      <c r="D16" s="527" t="s">
        <v>357</v>
      </c>
      <c r="E16" s="1263" t="s">
        <v>262</v>
      </c>
      <c r="F16" s="1268" t="s">
        <v>262</v>
      </c>
      <c r="G16" s="1273" t="s">
        <v>262</v>
      </c>
    </row>
    <row r="17" spans="1:7" s="220" customFormat="1" ht="13">
      <c r="A17" s="319" t="s">
        <v>78</v>
      </c>
      <c r="B17" s="415" t="s">
        <v>396</v>
      </c>
      <c r="C17" s="415" t="s">
        <v>262</v>
      </c>
      <c r="D17" s="527" t="s">
        <v>357</v>
      </c>
      <c r="E17" s="1263" t="s">
        <v>262</v>
      </c>
      <c r="F17" s="1268" t="s">
        <v>262</v>
      </c>
      <c r="G17" s="1273" t="s">
        <v>262</v>
      </c>
    </row>
    <row r="18" spans="1:7" s="220" customFormat="1" ht="13">
      <c r="A18" s="319" t="s">
        <v>79</v>
      </c>
      <c r="B18" s="415" t="s">
        <v>396</v>
      </c>
      <c r="C18" s="415" t="s">
        <v>262</v>
      </c>
      <c r="D18" s="527" t="s">
        <v>262</v>
      </c>
      <c r="E18" s="1263" t="s">
        <v>262</v>
      </c>
      <c r="F18" s="1268" t="s">
        <v>262</v>
      </c>
      <c r="G18" s="1273" t="s">
        <v>262</v>
      </c>
    </row>
    <row r="19" spans="1:7" s="220" customFormat="1" ht="13">
      <c r="A19" s="319" t="s">
        <v>80</v>
      </c>
      <c r="B19" s="415" t="s">
        <v>396</v>
      </c>
      <c r="C19" s="415" t="s">
        <v>262</v>
      </c>
      <c r="D19" s="527" t="s">
        <v>262</v>
      </c>
      <c r="E19" s="1263" t="s">
        <v>262</v>
      </c>
      <c r="F19" s="1268" t="s">
        <v>262</v>
      </c>
      <c r="G19" s="1273" t="s">
        <v>262</v>
      </c>
    </row>
    <row r="20" spans="1:7" s="220" customFormat="1" ht="13">
      <c r="A20" s="319" t="s">
        <v>81</v>
      </c>
      <c r="B20" s="415" t="s">
        <v>396</v>
      </c>
      <c r="C20" s="415" t="s">
        <v>262</v>
      </c>
      <c r="D20" s="527" t="s">
        <v>262</v>
      </c>
      <c r="E20" s="1263" t="s">
        <v>262</v>
      </c>
      <c r="F20" s="1268" t="s">
        <v>262</v>
      </c>
      <c r="G20" s="1273" t="s">
        <v>262</v>
      </c>
    </row>
    <row r="21" spans="1:7" s="220" customFormat="1" ht="13">
      <c r="A21" s="319" t="s">
        <v>82</v>
      </c>
      <c r="B21" s="791">
        <f>ROUNDUP(C64*C61%*1.25,1)</f>
        <v>6.8</v>
      </c>
      <c r="C21" s="415" t="s">
        <v>397</v>
      </c>
      <c r="D21" s="286" t="s">
        <v>774</v>
      </c>
      <c r="E21" s="1263">
        <f>B21*$D$86*$F$7</f>
        <v>9.9225600000000007</v>
      </c>
      <c r="F21" s="1268">
        <f>B21*$D$86*$F$8/2000</f>
        <v>43.460812799999999</v>
      </c>
      <c r="G21" s="1273">
        <f>B21*$D$86*$F$9/2000</f>
        <v>3.9168000000000003</v>
      </c>
    </row>
    <row r="22" spans="1:7" s="220" customFormat="1" ht="13">
      <c r="A22" s="319" t="s">
        <v>83</v>
      </c>
      <c r="B22" s="415" t="s">
        <v>396</v>
      </c>
      <c r="C22" s="415" t="s">
        <v>262</v>
      </c>
      <c r="D22" s="527" t="s">
        <v>262</v>
      </c>
      <c r="E22" s="1263" t="s">
        <v>262</v>
      </c>
      <c r="F22" s="1268" t="s">
        <v>262</v>
      </c>
      <c r="G22" s="1273" t="s">
        <v>262</v>
      </c>
    </row>
    <row r="23" spans="1:7" s="220" customFormat="1" ht="13.5" thickBot="1">
      <c r="A23" s="756" t="s">
        <v>84</v>
      </c>
      <c r="B23" s="757" t="s">
        <v>396</v>
      </c>
      <c r="C23" s="758"/>
      <c r="D23" s="759"/>
      <c r="E23" s="1266">
        <f>SUM(E24:E44)</f>
        <v>2.9183999999999997</v>
      </c>
      <c r="F23" s="1278">
        <f>SUM(F24:F44)</f>
        <v>12.782592000000001</v>
      </c>
      <c r="G23" s="1274">
        <f>SUM(G28:G44)</f>
        <v>1.1520000000000001</v>
      </c>
    </row>
    <row r="24" spans="1:7" s="220" customFormat="1" ht="13">
      <c r="A24" s="314" t="s">
        <v>85</v>
      </c>
      <c r="B24" s="645" t="s">
        <v>396</v>
      </c>
      <c r="C24" s="645" t="s">
        <v>262</v>
      </c>
      <c r="D24" s="788" t="s">
        <v>262</v>
      </c>
      <c r="E24" s="1262" t="s">
        <v>262</v>
      </c>
      <c r="F24" s="1267" t="s">
        <v>262</v>
      </c>
      <c r="G24" s="1272" t="s">
        <v>262</v>
      </c>
    </row>
    <row r="25" spans="1:7" s="220" customFormat="1" ht="13">
      <c r="A25" s="319" t="s">
        <v>86</v>
      </c>
      <c r="B25" s="415" t="s">
        <v>396</v>
      </c>
      <c r="C25" s="415" t="s">
        <v>262</v>
      </c>
      <c r="D25" s="527" t="s">
        <v>262</v>
      </c>
      <c r="E25" s="1263" t="s">
        <v>262</v>
      </c>
      <c r="F25" s="1268" t="s">
        <v>262</v>
      </c>
      <c r="G25" s="1273" t="s">
        <v>262</v>
      </c>
    </row>
    <row r="26" spans="1:7" s="220" customFormat="1" ht="13">
      <c r="A26" s="319" t="s">
        <v>87</v>
      </c>
      <c r="B26" s="415" t="s">
        <v>396</v>
      </c>
      <c r="C26" s="415" t="s">
        <v>262</v>
      </c>
      <c r="D26" s="527" t="s">
        <v>262</v>
      </c>
      <c r="E26" s="1263" t="s">
        <v>262</v>
      </c>
      <c r="F26" s="1268" t="s">
        <v>262</v>
      </c>
      <c r="G26" s="1273" t="s">
        <v>262</v>
      </c>
    </row>
    <row r="27" spans="1:7" s="220" customFormat="1" ht="13.5" thickBot="1">
      <c r="A27" s="322" t="s">
        <v>88</v>
      </c>
      <c r="B27" s="654" t="s">
        <v>396</v>
      </c>
      <c r="C27" s="654" t="s">
        <v>262</v>
      </c>
      <c r="D27" s="1010" t="s">
        <v>262</v>
      </c>
      <c r="E27" s="1266" t="s">
        <v>262</v>
      </c>
      <c r="F27" s="1269" t="s">
        <v>262</v>
      </c>
      <c r="G27" s="1275" t="s">
        <v>262</v>
      </c>
    </row>
    <row r="28" spans="1:7" s="220" customFormat="1" ht="13">
      <c r="A28" s="327" t="s">
        <v>89</v>
      </c>
      <c r="B28" s="409" t="s">
        <v>396</v>
      </c>
      <c r="C28" s="409" t="s">
        <v>262</v>
      </c>
      <c r="D28" s="1264" t="s">
        <v>262</v>
      </c>
      <c r="E28" s="1265" t="s">
        <v>262</v>
      </c>
      <c r="F28" s="1270" t="s">
        <v>262</v>
      </c>
      <c r="G28" s="1276" t="s">
        <v>262</v>
      </c>
    </row>
    <row r="29" spans="1:7" s="220" customFormat="1" ht="13">
      <c r="A29" s="327" t="s">
        <v>90</v>
      </c>
      <c r="B29" s="415" t="s">
        <v>396</v>
      </c>
      <c r="C29" s="415" t="s">
        <v>262</v>
      </c>
      <c r="D29" s="527" t="s">
        <v>262</v>
      </c>
      <c r="E29" s="1263" t="s">
        <v>262</v>
      </c>
      <c r="F29" s="1268" t="s">
        <v>262</v>
      </c>
      <c r="G29" s="1273" t="s">
        <v>262</v>
      </c>
    </row>
    <row r="30" spans="1:7" s="220" customFormat="1" ht="13">
      <c r="A30" s="319" t="s">
        <v>91</v>
      </c>
      <c r="B30" s="415" t="s">
        <v>396</v>
      </c>
      <c r="C30" s="415" t="s">
        <v>262</v>
      </c>
      <c r="D30" s="527" t="s">
        <v>262</v>
      </c>
      <c r="E30" s="1263" t="s">
        <v>262</v>
      </c>
      <c r="F30" s="1268" t="s">
        <v>262</v>
      </c>
      <c r="G30" s="1273" t="s">
        <v>262</v>
      </c>
    </row>
    <row r="31" spans="1:7" s="220" customFormat="1" ht="13">
      <c r="A31" s="319" t="s">
        <v>92</v>
      </c>
      <c r="B31" s="415" t="s">
        <v>396</v>
      </c>
      <c r="C31" s="415" t="s">
        <v>262</v>
      </c>
      <c r="D31" s="527" t="s">
        <v>262</v>
      </c>
      <c r="E31" s="1263" t="s">
        <v>262</v>
      </c>
      <c r="F31" s="1268" t="s">
        <v>262</v>
      </c>
      <c r="G31" s="1273" t="s">
        <v>262</v>
      </c>
    </row>
    <row r="32" spans="1:7" s="220" customFormat="1" ht="13">
      <c r="A32" s="319" t="s">
        <v>93</v>
      </c>
      <c r="B32" s="415" t="s">
        <v>396</v>
      </c>
      <c r="C32" s="415" t="s">
        <v>262</v>
      </c>
      <c r="D32" s="527" t="s">
        <v>262</v>
      </c>
      <c r="E32" s="1263" t="s">
        <v>262</v>
      </c>
      <c r="F32" s="1268" t="s">
        <v>262</v>
      </c>
      <c r="G32" s="1273" t="s">
        <v>262</v>
      </c>
    </row>
    <row r="33" spans="1:7" s="220" customFormat="1" ht="13">
      <c r="A33" s="319" t="s">
        <v>94</v>
      </c>
      <c r="B33" s="415" t="s">
        <v>396</v>
      </c>
      <c r="C33" s="415" t="s">
        <v>262</v>
      </c>
      <c r="D33" s="527" t="s">
        <v>262</v>
      </c>
      <c r="E33" s="1263" t="s">
        <v>262</v>
      </c>
      <c r="F33" s="1268" t="s">
        <v>262</v>
      </c>
      <c r="G33" s="1273" t="s">
        <v>262</v>
      </c>
    </row>
    <row r="34" spans="1:7" s="220" customFormat="1" ht="13">
      <c r="A34" s="319" t="s">
        <v>95</v>
      </c>
      <c r="B34" s="415" t="s">
        <v>396</v>
      </c>
      <c r="C34" s="415" t="s">
        <v>262</v>
      </c>
      <c r="D34" s="527" t="s">
        <v>262</v>
      </c>
      <c r="E34" s="1263" t="s">
        <v>262</v>
      </c>
      <c r="F34" s="1268" t="s">
        <v>262</v>
      </c>
      <c r="G34" s="1273" t="s">
        <v>262</v>
      </c>
    </row>
    <row r="35" spans="1:7" s="220" customFormat="1" ht="13">
      <c r="A35" s="319" t="s">
        <v>96</v>
      </c>
      <c r="B35" s="415" t="s">
        <v>396</v>
      </c>
      <c r="C35" s="415" t="s">
        <v>262</v>
      </c>
      <c r="D35" s="527" t="s">
        <v>262</v>
      </c>
      <c r="E35" s="1263" t="s">
        <v>262</v>
      </c>
      <c r="F35" s="1268" t="s">
        <v>262</v>
      </c>
      <c r="G35" s="1273" t="s">
        <v>262</v>
      </c>
    </row>
    <row r="36" spans="1:7" s="220" customFormat="1" ht="13">
      <c r="A36" s="319" t="s">
        <v>97</v>
      </c>
      <c r="B36" s="415" t="s">
        <v>396</v>
      </c>
      <c r="C36" s="415" t="s">
        <v>262</v>
      </c>
      <c r="D36" s="527" t="s">
        <v>262</v>
      </c>
      <c r="E36" s="1263" t="s">
        <v>262</v>
      </c>
      <c r="F36" s="1268" t="s">
        <v>262</v>
      </c>
      <c r="G36" s="1273" t="s">
        <v>262</v>
      </c>
    </row>
    <row r="37" spans="1:7" s="220" customFormat="1" ht="13">
      <c r="A37" s="319" t="s">
        <v>98</v>
      </c>
      <c r="B37" s="415" t="s">
        <v>396</v>
      </c>
      <c r="C37" s="415" t="s">
        <v>262</v>
      </c>
      <c r="D37" s="527" t="s">
        <v>262</v>
      </c>
      <c r="E37" s="1263" t="s">
        <v>262</v>
      </c>
      <c r="F37" s="1268" t="s">
        <v>262</v>
      </c>
      <c r="G37" s="1273" t="s">
        <v>262</v>
      </c>
    </row>
    <row r="38" spans="1:7" s="220" customFormat="1" ht="13">
      <c r="A38" s="319" t="s">
        <v>99</v>
      </c>
      <c r="B38" s="415" t="s">
        <v>396</v>
      </c>
      <c r="C38" s="415" t="s">
        <v>262</v>
      </c>
      <c r="D38" s="527" t="s">
        <v>262</v>
      </c>
      <c r="E38" s="1263" t="s">
        <v>262</v>
      </c>
      <c r="F38" s="1268" t="s">
        <v>262</v>
      </c>
      <c r="G38" s="1273" t="s">
        <v>262</v>
      </c>
    </row>
    <row r="39" spans="1:7" s="220" customFormat="1" ht="13">
      <c r="A39" s="319" t="s">
        <v>359</v>
      </c>
      <c r="B39" s="792">
        <f>ROUNDUP(C64*C62%*1.25,1)</f>
        <v>1.9000000000000001</v>
      </c>
      <c r="C39" s="415" t="s">
        <v>397</v>
      </c>
      <c r="D39" s="286" t="s">
        <v>774</v>
      </c>
      <c r="E39" s="1263">
        <f>B39*$D$86*$F$7</f>
        <v>2.7724799999999998</v>
      </c>
      <c r="F39" s="1268">
        <f>B39*$D$86*$F$8/2000</f>
        <v>12.143462400000001</v>
      </c>
      <c r="G39" s="1273">
        <f>B39*$D$86*$F$9/2000</f>
        <v>1.0944</v>
      </c>
    </row>
    <row r="40" spans="1:7" s="220" customFormat="1" ht="13">
      <c r="A40" s="319" t="s">
        <v>100</v>
      </c>
      <c r="B40" s="415" t="s">
        <v>396</v>
      </c>
      <c r="C40" s="415" t="s">
        <v>262</v>
      </c>
      <c r="D40" s="527" t="s">
        <v>262</v>
      </c>
      <c r="E40" s="1263" t="s">
        <v>262</v>
      </c>
      <c r="F40" s="1268" t="s">
        <v>262</v>
      </c>
      <c r="G40" s="1273" t="s">
        <v>262</v>
      </c>
    </row>
    <row r="41" spans="1:7" s="220" customFormat="1" ht="13">
      <c r="A41" s="319" t="s">
        <v>101</v>
      </c>
      <c r="B41" s="415" t="s">
        <v>396</v>
      </c>
      <c r="C41" s="415" t="s">
        <v>262</v>
      </c>
      <c r="D41" s="527" t="s">
        <v>262</v>
      </c>
      <c r="E41" s="1263" t="s">
        <v>262</v>
      </c>
      <c r="F41" s="1268" t="s">
        <v>262</v>
      </c>
      <c r="G41" s="1273" t="s">
        <v>262</v>
      </c>
    </row>
    <row r="42" spans="1:7" s="220" customFormat="1" ht="13">
      <c r="A42" s="319" t="s">
        <v>102</v>
      </c>
      <c r="B42" s="415" t="s">
        <v>396</v>
      </c>
      <c r="C42" s="415" t="s">
        <v>262</v>
      </c>
      <c r="D42" s="527" t="s">
        <v>262</v>
      </c>
      <c r="E42" s="1263" t="s">
        <v>262</v>
      </c>
      <c r="F42" s="1268" t="s">
        <v>262</v>
      </c>
      <c r="G42" s="1273" t="s">
        <v>262</v>
      </c>
    </row>
    <row r="43" spans="1:7" s="220" customFormat="1" ht="13">
      <c r="A43" s="319" t="s">
        <v>103</v>
      </c>
      <c r="B43" s="415" t="s">
        <v>396</v>
      </c>
      <c r="C43" s="415" t="s">
        <v>262</v>
      </c>
      <c r="D43" s="527" t="s">
        <v>262</v>
      </c>
      <c r="E43" s="1263" t="s">
        <v>262</v>
      </c>
      <c r="F43" s="1268" t="s">
        <v>262</v>
      </c>
      <c r="G43" s="1273" t="s">
        <v>262</v>
      </c>
    </row>
    <row r="44" spans="1:7" s="220" customFormat="1" ht="13.5" thickBot="1">
      <c r="A44" s="322" t="s">
        <v>104</v>
      </c>
      <c r="B44" s="793">
        <f>ROUNDUP(C64*C63%*1.25,1)</f>
        <v>0.1</v>
      </c>
      <c r="C44" s="654" t="s">
        <v>397</v>
      </c>
      <c r="D44" s="301" t="s">
        <v>774</v>
      </c>
      <c r="E44" s="808">
        <f>B44*$D$86*$F$7</f>
        <v>0.14591999999999999</v>
      </c>
      <c r="F44" s="1271">
        <f>B44*$D$86*$F$8/2000</f>
        <v>0.63912960000000008</v>
      </c>
      <c r="G44" s="1277">
        <f>B44*$D$86*$F$9/2000</f>
        <v>5.7600000000000005E-2</v>
      </c>
    </row>
    <row r="45" spans="1:7" s="220" customFormat="1" ht="13">
      <c r="A45" s="515"/>
      <c r="B45" s="897"/>
      <c r="C45" s="260"/>
      <c r="D45" s="260"/>
      <c r="E45" s="898"/>
      <c r="F45" s="898"/>
      <c r="G45" s="898"/>
    </row>
    <row r="46" spans="1:7" s="220" customFormat="1" ht="13">
      <c r="A46" s="515" t="s">
        <v>825</v>
      </c>
      <c r="B46" s="897"/>
      <c r="C46" s="260"/>
      <c r="D46" s="260"/>
      <c r="E46" s="898"/>
      <c r="F46" s="898"/>
      <c r="G46" s="898"/>
    </row>
    <row r="47" spans="1:7" s="220" customFormat="1" ht="13.5" customHeight="1">
      <c r="A47" s="1631" t="s">
        <v>848</v>
      </c>
      <c r="B47" s="1631"/>
      <c r="C47" s="1631"/>
      <c r="D47" s="1631"/>
      <c r="E47" s="1631"/>
      <c r="F47" s="1631"/>
      <c r="G47" s="1631"/>
    </row>
    <row r="48" spans="1:7" s="220" customFormat="1" ht="13">
      <c r="A48" s="1631"/>
      <c r="B48" s="1631"/>
      <c r="C48" s="1631"/>
      <c r="D48" s="1631"/>
      <c r="E48" s="1631"/>
      <c r="F48" s="1631"/>
      <c r="G48" s="1631"/>
    </row>
    <row r="49" spans="1:9" s="220" customFormat="1" ht="13">
      <c r="A49" s="1631"/>
      <c r="B49" s="1631"/>
      <c r="C49" s="1631"/>
      <c r="D49" s="1631"/>
      <c r="E49" s="1631"/>
      <c r="F49" s="1631"/>
      <c r="G49" s="1631"/>
    </row>
    <row r="50" spans="1:9" s="220" customFormat="1" ht="13">
      <c r="A50" s="1631"/>
      <c r="B50" s="1631"/>
      <c r="C50" s="1631"/>
      <c r="D50" s="1631"/>
      <c r="E50" s="1631"/>
      <c r="F50" s="1631"/>
      <c r="G50" s="1631"/>
    </row>
    <row r="51" spans="1:9" s="220" customFormat="1" ht="13">
      <c r="A51" s="1631"/>
      <c r="B51" s="1631"/>
      <c r="C51" s="1631"/>
      <c r="D51" s="1631"/>
      <c r="E51" s="1631"/>
      <c r="F51" s="1631"/>
      <c r="G51" s="1631"/>
    </row>
    <row r="52" spans="1:9" s="220" customFormat="1" ht="13">
      <c r="A52" s="1631"/>
      <c r="B52" s="1631"/>
      <c r="C52" s="1631"/>
      <c r="D52" s="1631"/>
      <c r="E52" s="1631"/>
      <c r="F52" s="1631"/>
      <c r="G52" s="1631"/>
    </row>
    <row r="53" spans="1:9" s="220" customFormat="1" ht="13">
      <c r="A53" s="1631"/>
      <c r="B53" s="1631"/>
      <c r="C53" s="1631"/>
      <c r="D53" s="1631"/>
      <c r="E53" s="1631"/>
      <c r="F53" s="1631"/>
      <c r="G53" s="1631"/>
    </row>
    <row r="54" spans="1:9" s="220" customFormat="1" ht="13">
      <c r="A54" s="1631"/>
      <c r="B54" s="1631"/>
      <c r="C54" s="1631"/>
      <c r="D54" s="1631"/>
      <c r="E54" s="1631"/>
      <c r="F54" s="1631"/>
      <c r="G54" s="1631"/>
    </row>
    <row r="55" spans="1:9" s="220" customFormat="1" ht="13">
      <c r="A55" s="1631"/>
      <c r="B55" s="1631"/>
      <c r="C55" s="1631"/>
      <c r="D55" s="1631"/>
      <c r="E55" s="1631"/>
      <c r="F55" s="1631"/>
      <c r="G55" s="1631"/>
    </row>
    <row r="56" spans="1:9" s="220" customFormat="1" ht="13">
      <c r="A56" s="1631"/>
      <c r="B56" s="1631"/>
      <c r="C56" s="1631"/>
      <c r="D56" s="1631"/>
      <c r="E56" s="1631"/>
      <c r="F56" s="1631"/>
      <c r="G56" s="1631"/>
    </row>
    <row r="57" spans="1:9" s="220" customFormat="1" ht="13">
      <c r="A57" s="790"/>
      <c r="B57" s="790"/>
      <c r="C57" s="790"/>
      <c r="D57" s="790"/>
      <c r="E57" s="790"/>
      <c r="F57" s="790"/>
    </row>
    <row r="58" spans="1:9" s="220" customFormat="1" ht="13.5" customHeight="1">
      <c r="A58" s="1387" t="s">
        <v>771</v>
      </c>
      <c r="B58" s="1387"/>
      <c r="C58" s="1387"/>
      <c r="D58" s="1387"/>
      <c r="E58" s="1387"/>
      <c r="F58" s="1387"/>
      <c r="G58" s="1387"/>
      <c r="H58" s="426"/>
    </row>
    <row r="59" spans="1:9" s="220" customFormat="1" ht="13">
      <c r="A59" s="1387"/>
      <c r="B59" s="1387"/>
      <c r="C59" s="1387"/>
      <c r="D59" s="1387"/>
      <c r="E59" s="1387"/>
      <c r="F59" s="1387"/>
      <c r="G59" s="1387"/>
      <c r="H59" s="426"/>
    </row>
    <row r="60" spans="1:9" s="220" customFormat="1" ht="13">
      <c r="A60" s="1387"/>
      <c r="B60" s="1387"/>
      <c r="C60" s="1387"/>
      <c r="D60" s="1387"/>
      <c r="E60" s="1387"/>
      <c r="F60" s="1387"/>
      <c r="G60" s="1387"/>
      <c r="H60" s="426"/>
    </row>
    <row r="61" spans="1:9" s="220" customFormat="1" ht="13">
      <c r="A61" s="752"/>
      <c r="B61" s="752" t="s">
        <v>398</v>
      </c>
      <c r="C61" s="754">
        <f>'SDS Summary'!P3</f>
        <v>36.5</v>
      </c>
      <c r="D61" s="352" t="s">
        <v>272</v>
      </c>
      <c r="E61" s="352"/>
      <c r="F61" s="708"/>
      <c r="G61" s="352"/>
      <c r="H61" s="352"/>
      <c r="I61" s="352"/>
    </row>
    <row r="62" spans="1:9" s="220" customFormat="1" ht="13">
      <c r="A62" s="752"/>
      <c r="B62" s="752" t="s">
        <v>359</v>
      </c>
      <c r="C62" s="752">
        <f>'SDS Summary'!P34</f>
        <v>10</v>
      </c>
      <c r="D62" s="352" t="s">
        <v>272</v>
      </c>
      <c r="E62" s="352"/>
      <c r="F62" s="352"/>
      <c r="G62" s="352"/>
      <c r="H62" s="352"/>
      <c r="I62" s="352"/>
    </row>
    <row r="63" spans="1:9" s="220" customFormat="1" ht="13">
      <c r="A63" s="307"/>
      <c r="B63" s="307" t="s">
        <v>104</v>
      </c>
      <c r="C63" s="307">
        <f>'SDS Summary'!P36</f>
        <v>0.3</v>
      </c>
      <c r="D63" s="220" t="s">
        <v>272</v>
      </c>
    </row>
    <row r="64" spans="1:9" s="220" customFormat="1" ht="13">
      <c r="A64" s="307"/>
      <c r="B64" s="307" t="s">
        <v>399</v>
      </c>
      <c r="C64" s="753">
        <f>'SDS Summary'!P8*8.3454</f>
        <v>14.854811999999999</v>
      </c>
      <c r="D64" s="220" t="s">
        <v>400</v>
      </c>
    </row>
    <row r="65" spans="1:9" s="220" customFormat="1" ht="13">
      <c r="A65" s="307"/>
      <c r="B65" s="307"/>
      <c r="C65" s="753"/>
    </row>
    <row r="66" spans="1:9" s="220" customFormat="1" ht="13">
      <c r="A66" s="307"/>
      <c r="B66" s="804" t="s">
        <v>776</v>
      </c>
      <c r="C66" s="807" t="s">
        <v>749</v>
      </c>
    </row>
    <row r="67" spans="1:9" s="220" customFormat="1" ht="13">
      <c r="A67" s="307"/>
      <c r="B67" s="307"/>
      <c r="C67" s="789"/>
    </row>
    <row r="68" spans="1:9" s="220" customFormat="1" ht="13.5" thickBot="1">
      <c r="A68" s="424" t="s">
        <v>760</v>
      </c>
      <c r="I68" s="307"/>
    </row>
    <row r="69" spans="1:9" s="220" customFormat="1" ht="13.5" thickBot="1">
      <c r="B69" s="1628" t="s">
        <v>789</v>
      </c>
      <c r="C69" s="1629"/>
      <c r="D69" s="1630"/>
      <c r="E69" s="1628" t="s">
        <v>758</v>
      </c>
      <c r="F69" s="1629"/>
      <c r="G69" s="1630"/>
    </row>
    <row r="70" spans="1:9" s="220" customFormat="1" ht="13">
      <c r="A70" s="798" t="s">
        <v>756</v>
      </c>
      <c r="B70" s="334">
        <f>'Materials Usage Records'!D28</f>
        <v>174.45</v>
      </c>
      <c r="C70" s="246" t="s">
        <v>762</v>
      </c>
      <c r="D70" s="575"/>
      <c r="E70" s="245">
        <v>143.94999999999999</v>
      </c>
      <c r="F70" s="246" t="s">
        <v>762</v>
      </c>
      <c r="G70" s="575"/>
    </row>
    <row r="71" spans="1:9" s="220" customFormat="1" ht="13">
      <c r="A71" s="799" t="s">
        <v>757</v>
      </c>
      <c r="B71" s="237">
        <f>'Materials Usage Records'!D29</f>
        <v>158.16</v>
      </c>
      <c r="C71" s="235" t="s">
        <v>762</v>
      </c>
      <c r="D71" s="238"/>
      <c r="E71" s="248">
        <v>143.18</v>
      </c>
      <c r="F71" s="235" t="s">
        <v>762</v>
      </c>
      <c r="G71" s="238"/>
    </row>
    <row r="72" spans="1:9" s="220" customFormat="1" ht="13">
      <c r="A72" s="799" t="s">
        <v>755</v>
      </c>
      <c r="B72" s="248">
        <f>B70+B71</f>
        <v>332.61</v>
      </c>
      <c r="C72" s="235" t="s">
        <v>763</v>
      </c>
      <c r="D72" s="238"/>
      <c r="E72" s="248">
        <f>E70+E71</f>
        <v>287.13</v>
      </c>
      <c r="F72" s="235" t="s">
        <v>763</v>
      </c>
      <c r="G72" s="238"/>
    </row>
    <row r="73" spans="1:9" s="220" customFormat="1" ht="13.5" thickBot="1">
      <c r="A73" s="800" t="s">
        <v>754</v>
      </c>
      <c r="B73" s="243">
        <f>'Materials Usage Records'!D30</f>
        <v>55</v>
      </c>
      <c r="C73" s="241" t="s">
        <v>761</v>
      </c>
      <c r="D73" s="244"/>
      <c r="E73" s="801">
        <v>55</v>
      </c>
      <c r="F73" s="802" t="s">
        <v>761</v>
      </c>
      <c r="G73" s="803"/>
    </row>
    <row r="74" spans="1:9" s="220" customFormat="1" ht="13.5" thickBot="1">
      <c r="A74" s="307"/>
      <c r="B74" s="307"/>
      <c r="C74" s="307"/>
    </row>
    <row r="75" spans="1:9" s="220" customFormat="1" ht="13.5" thickBot="1">
      <c r="A75" s="307"/>
      <c r="B75" s="1628" t="s">
        <v>759</v>
      </c>
      <c r="C75" s="1629"/>
      <c r="D75" s="1630"/>
      <c r="E75" s="1628" t="s">
        <v>972</v>
      </c>
      <c r="F75" s="1629"/>
      <c r="G75" s="1630"/>
      <c r="H75" s="307"/>
      <c r="I75" s="307"/>
    </row>
    <row r="76" spans="1:9" s="220" customFormat="1" ht="13">
      <c r="A76" s="798" t="s">
        <v>756</v>
      </c>
      <c r="B76" s="245">
        <v>137.26</v>
      </c>
      <c r="C76" s="246" t="s">
        <v>762</v>
      </c>
      <c r="D76" s="575"/>
      <c r="E76" s="245">
        <v>186.91</v>
      </c>
      <c r="F76" s="246" t="s">
        <v>762</v>
      </c>
      <c r="G76" s="575"/>
      <c r="H76" s="307"/>
      <c r="I76" s="307"/>
    </row>
    <row r="77" spans="1:9" s="220" customFormat="1" ht="13">
      <c r="A77" s="799" t="s">
        <v>757</v>
      </c>
      <c r="B77" s="248">
        <v>167.38</v>
      </c>
      <c r="C77" s="235" t="s">
        <v>762</v>
      </c>
      <c r="D77" s="238"/>
      <c r="E77" s="248">
        <v>146.28</v>
      </c>
      <c r="F77" s="235" t="s">
        <v>762</v>
      </c>
      <c r="G77" s="238"/>
      <c r="H77" s="307"/>
      <c r="I77" s="307"/>
    </row>
    <row r="78" spans="1:9" s="220" customFormat="1" ht="13">
      <c r="A78" s="799" t="s">
        <v>755</v>
      </c>
      <c r="B78" s="248">
        <f>B76+B77</f>
        <v>304.64</v>
      </c>
      <c r="C78" s="235" t="s">
        <v>763</v>
      </c>
      <c r="D78" s="238"/>
      <c r="E78" s="248">
        <f>E76+E77</f>
        <v>333.19</v>
      </c>
      <c r="F78" s="235" t="s">
        <v>763</v>
      </c>
      <c r="G78" s="238"/>
      <c r="H78" s="307"/>
      <c r="I78" s="307"/>
    </row>
    <row r="79" spans="1:9" s="220" customFormat="1" ht="13.5" thickBot="1">
      <c r="A79" s="800" t="s">
        <v>754</v>
      </c>
      <c r="B79" s="256">
        <v>45</v>
      </c>
      <c r="C79" s="241" t="s">
        <v>761</v>
      </c>
      <c r="D79" s="244"/>
      <c r="E79" s="256">
        <v>55</v>
      </c>
      <c r="F79" s="241" t="s">
        <v>761</v>
      </c>
      <c r="G79" s="244"/>
      <c r="H79" s="307"/>
      <c r="I79" s="307"/>
    </row>
    <row r="80" spans="1:9" s="220" customFormat="1" ht="13">
      <c r="A80" s="307"/>
      <c r="B80" s="307"/>
      <c r="C80" s="307"/>
    </row>
    <row r="81" spans="1:7" s="220" customFormat="1" ht="13">
      <c r="B81" s="804"/>
      <c r="C81" s="804" t="s">
        <v>768</v>
      </c>
      <c r="D81" s="307"/>
    </row>
    <row r="82" spans="1:7" s="220" customFormat="1" ht="13">
      <c r="C82" s="307" t="s">
        <v>765</v>
      </c>
      <c r="D82" s="220">
        <f>E73*2</f>
        <v>110</v>
      </c>
      <c r="E82" s="220" t="s">
        <v>761</v>
      </c>
    </row>
    <row r="83" spans="1:7" s="220" customFormat="1" ht="13">
      <c r="B83" s="260"/>
      <c r="C83" s="307" t="s">
        <v>766</v>
      </c>
      <c r="D83" s="220">
        <f>D82*B21/2000</f>
        <v>0.374</v>
      </c>
      <c r="E83" s="220" t="s">
        <v>764</v>
      </c>
    </row>
    <row r="84" spans="1:7" s="220" customFormat="1" ht="13">
      <c r="B84" s="260"/>
      <c r="C84" s="307"/>
    </row>
    <row r="85" spans="1:7" s="220" customFormat="1" ht="13">
      <c r="B85" s="542"/>
      <c r="C85" s="804" t="s">
        <v>790</v>
      </c>
    </row>
    <row r="86" spans="1:7" s="220" customFormat="1" ht="13">
      <c r="C86" s="307" t="s">
        <v>767</v>
      </c>
      <c r="D86" s="220">
        <f>ROUNDUP(D82/E72,3)</f>
        <v>0.38400000000000001</v>
      </c>
      <c r="E86" s="220" t="s">
        <v>769</v>
      </c>
    </row>
    <row r="87" spans="1:7" s="220" customFormat="1" ht="13">
      <c r="B87" s="307"/>
      <c r="C87" s="307"/>
      <c r="D87" s="220">
        <f>ROUNDUP(D83/E72,3)</f>
        <v>2E-3</v>
      </c>
      <c r="E87" s="220" t="s">
        <v>770</v>
      </c>
      <c r="G87" s="307"/>
    </row>
    <row r="88" spans="1:7" s="220" customFormat="1" ht="13">
      <c r="A88" s="307"/>
      <c r="B88" s="307"/>
      <c r="C88" s="789"/>
      <c r="D88" s="806" t="s">
        <v>772</v>
      </c>
    </row>
    <row r="89" spans="1:7" s="220" customFormat="1" ht="13">
      <c r="A89" s="307"/>
      <c r="B89" s="307"/>
      <c r="C89" s="789"/>
      <c r="D89" s="806" t="s">
        <v>773</v>
      </c>
    </row>
    <row r="90" spans="1:7" s="220" customFormat="1" ht="13">
      <c r="A90" s="307"/>
      <c r="B90" s="307"/>
      <c r="C90" s="789"/>
      <c r="D90" s="806"/>
    </row>
    <row r="91" spans="1:7" s="220" customFormat="1" ht="13.5" customHeight="1">
      <c r="A91" s="307"/>
      <c r="B91" s="804" t="s">
        <v>775</v>
      </c>
      <c r="C91" s="1632" t="s">
        <v>780</v>
      </c>
      <c r="D91" s="1632"/>
      <c r="E91" s="1632"/>
      <c r="F91" s="1632"/>
      <c r="G91" s="1632"/>
    </row>
    <row r="92" spans="1:7" s="220" customFormat="1" ht="13">
      <c r="A92" s="307"/>
      <c r="B92" s="804"/>
      <c r="C92" s="1632"/>
      <c r="D92" s="1632"/>
      <c r="E92" s="1632"/>
      <c r="F92" s="1632"/>
      <c r="G92" s="1632"/>
    </row>
    <row r="93" spans="1:7" s="220" customFormat="1" ht="13">
      <c r="A93" s="307"/>
      <c r="B93" s="804" t="s">
        <v>775</v>
      </c>
      <c r="C93" s="807" t="s">
        <v>777</v>
      </c>
      <c r="D93" s="723"/>
    </row>
    <row r="94" spans="1:7" s="220" customFormat="1" ht="13"/>
    <row r="95" spans="1:7" s="220" customFormat="1" ht="13.5" thickBot="1">
      <c r="A95" s="261" t="s">
        <v>742</v>
      </c>
    </row>
    <row r="96" spans="1:7" ht="15" thickBot="1">
      <c r="A96" s="751"/>
      <c r="B96" s="1563" t="s">
        <v>352</v>
      </c>
      <c r="C96" s="1565"/>
      <c r="D96" s="220"/>
      <c r="E96" s="220"/>
    </row>
    <row r="97" spans="1:5" ht="40" thickBot="1">
      <c r="A97" s="755" t="s">
        <v>70</v>
      </c>
      <c r="B97" s="698" t="s">
        <v>354</v>
      </c>
      <c r="C97" s="643" t="s">
        <v>355</v>
      </c>
      <c r="D97" s="220"/>
      <c r="E97" s="220"/>
    </row>
    <row r="98" spans="1:5">
      <c r="A98" s="314" t="s">
        <v>19</v>
      </c>
      <c r="B98" s="760">
        <f>'Core Oven - Natural Gas'!E13</f>
        <v>2.6078431372549013E-3</v>
      </c>
      <c r="C98" s="764">
        <f>'Core Oven - Natural Gas'!G13</f>
        <v>1.1422352941176469E-2</v>
      </c>
      <c r="D98" s="220"/>
      <c r="E98" s="220"/>
    </row>
    <row r="99" spans="1:5">
      <c r="A99" s="319" t="s">
        <v>77</v>
      </c>
      <c r="B99" s="761">
        <f>'Core Oven - Natural Gas'!E14</f>
        <v>2.6078431372549013E-3</v>
      </c>
      <c r="C99" s="738">
        <f>'Core Oven - Natural Gas'!G14</f>
        <v>1.1422352941176469E-2</v>
      </c>
      <c r="D99" s="220"/>
      <c r="E99" s="220"/>
    </row>
    <row r="100" spans="1:5">
      <c r="A100" s="319" t="s">
        <v>78</v>
      </c>
      <c r="B100" s="761">
        <f>'Core Oven - Natural Gas'!E15</f>
        <v>2.6078431372549013E-3</v>
      </c>
      <c r="C100" s="738">
        <f>'Core Oven - Natural Gas'!G15</f>
        <v>1.1422352941176469E-2</v>
      </c>
      <c r="D100" s="220"/>
      <c r="E100" s="220"/>
    </row>
    <row r="101" spans="1:5">
      <c r="A101" s="319" t="s">
        <v>79</v>
      </c>
      <c r="B101" s="761">
        <f>'Core Oven - Natural Gas'!E16</f>
        <v>3.4313725490196074E-2</v>
      </c>
      <c r="C101" s="738">
        <f>'Core Oven - Natural Gas'!G16</f>
        <v>0.1502941176470588</v>
      </c>
      <c r="D101" s="220"/>
      <c r="E101" s="220"/>
    </row>
    <row r="102" spans="1:5">
      <c r="A102" s="319" t="s">
        <v>80</v>
      </c>
      <c r="B102" s="761">
        <f>'Core Oven - Natural Gas'!E17</f>
        <v>2.8823529411764703E-2</v>
      </c>
      <c r="C102" s="738">
        <f>'Core Oven - Natural Gas'!G17</f>
        <v>0.12624705882352941</v>
      </c>
    </row>
    <row r="103" spans="1:5">
      <c r="A103" s="319" t="s">
        <v>81</v>
      </c>
      <c r="B103" s="297">
        <f>'Core Oven - Natural Gas'!E18</f>
        <v>2.0588235294117643E-4</v>
      </c>
      <c r="C103" s="293">
        <f>'Core Oven - Natural Gas'!G18</f>
        <v>9.0176470588235267E-4</v>
      </c>
    </row>
    <row r="104" spans="1:5">
      <c r="A104" s="319" t="s">
        <v>82</v>
      </c>
      <c r="B104" s="769">
        <f>'Core Oven - Natural Gas'!E19+E21</f>
        <v>9.9244472549019616</v>
      </c>
      <c r="C104" s="770">
        <f>'Core Oven - Natural Gas'!G19+F21</f>
        <v>43.469078976470584</v>
      </c>
    </row>
    <row r="105" spans="1:5">
      <c r="A105" s="319" t="s">
        <v>83</v>
      </c>
      <c r="B105" s="297">
        <f>'Core Oven - Natural Gas'!E20</f>
        <v>1.7156862745098037E-7</v>
      </c>
      <c r="C105" s="293">
        <f>'Core Oven - Natural Gas'!G20</f>
        <v>7.5147058823529395E-7</v>
      </c>
    </row>
    <row r="106" spans="1:5" ht="15" thickBot="1">
      <c r="A106" s="756" t="s">
        <v>84</v>
      </c>
      <c r="B106" s="767">
        <f>'Core Oven - Natural Gas'!E21</f>
        <v>6.47828794117647E-4</v>
      </c>
      <c r="C106" s="768">
        <f>'Core Oven - Natural Gas'!G21</f>
        <v>2.8374901182352938E-3</v>
      </c>
    </row>
    <row r="107" spans="1:5">
      <c r="A107" s="314" t="s">
        <v>85</v>
      </c>
      <c r="B107" s="760">
        <f>'Core Oven - Natural Gas'!E22</f>
        <v>40.941626599999999</v>
      </c>
      <c r="C107" s="764">
        <f>'Core Oven - Natural Gas'!G22</f>
        <v>179.32432450799999</v>
      </c>
    </row>
    <row r="108" spans="1:5">
      <c r="A108" s="319" t="s">
        <v>86</v>
      </c>
      <c r="B108" s="297">
        <f>'Core Oven - Natural Gas'!E23</f>
        <v>7.7161000000000005E-4</v>
      </c>
      <c r="C108" s="293">
        <f>'Core Oven - Natural Gas'!G23</f>
        <v>3.3796518000000003E-3</v>
      </c>
    </row>
    <row r="109" spans="1:5">
      <c r="A109" s="319" t="s">
        <v>87</v>
      </c>
      <c r="B109" s="297">
        <f>'Core Oven - Natural Gas'!E24</f>
        <v>7.7161000000000002E-5</v>
      </c>
      <c r="C109" s="293">
        <f>'Core Oven - Natural Gas'!G24</f>
        <v>3.3796518000000001E-4</v>
      </c>
    </row>
    <row r="110" spans="1:5" ht="15" thickBot="1">
      <c r="A110" s="756" t="s">
        <v>88</v>
      </c>
      <c r="B110" s="762">
        <f>'Core Oven - Natural Gas'!E25</f>
        <v>40.983910827999999</v>
      </c>
      <c r="C110" s="763">
        <f>'Core Oven - Natural Gas'!G25</f>
        <v>179.50952942664</v>
      </c>
    </row>
    <row r="111" spans="1:5">
      <c r="A111" s="314" t="s">
        <v>89</v>
      </c>
      <c r="B111" s="765">
        <f>'Core Oven - Natural Gas'!E26</f>
        <v>4.1176470588235284E-7</v>
      </c>
      <c r="C111" s="766">
        <f>'Core Oven - Natural Gas'!G26</f>
        <v>1.8035294117647054E-6</v>
      </c>
    </row>
    <row r="112" spans="1:5">
      <c r="A112" s="327" t="s">
        <v>90</v>
      </c>
      <c r="B112" s="297">
        <f>'Core Oven - Natural Gas'!E27</f>
        <v>6.8627450980392145E-8</v>
      </c>
      <c r="C112" s="293">
        <f>'Core Oven - Natural Gas'!G27</f>
        <v>3.005882352941176E-7</v>
      </c>
    </row>
    <row r="113" spans="1:3">
      <c r="A113" s="319" t="s">
        <v>91</v>
      </c>
      <c r="B113" s="297">
        <f>'Core Oven - Natural Gas'!E28</f>
        <v>7.205882352941175E-7</v>
      </c>
      <c r="C113" s="293">
        <f>'Core Oven - Natural Gas'!G28</f>
        <v>3.1561764705882347E-6</v>
      </c>
    </row>
    <row r="114" spans="1:3">
      <c r="A114" s="319" t="s">
        <v>92</v>
      </c>
      <c r="B114" s="297">
        <f>'Core Oven - Natural Gas'!E29</f>
        <v>4.117647058823529E-9</v>
      </c>
      <c r="C114" s="293">
        <f>'Core Oven - Natural Gas'!G29</f>
        <v>1.8035294117647056E-8</v>
      </c>
    </row>
    <row r="115" spans="1:3">
      <c r="A115" s="319" t="s">
        <v>93</v>
      </c>
      <c r="B115" s="297">
        <f>'Core Oven - Natural Gas'!E30</f>
        <v>3.7745098039215682E-7</v>
      </c>
      <c r="C115" s="293">
        <f>'Core Oven - Natural Gas'!G30</f>
        <v>1.6532352941176468E-6</v>
      </c>
    </row>
    <row r="116" spans="1:3">
      <c r="A116" s="319" t="s">
        <v>94</v>
      </c>
      <c r="B116" s="297">
        <f>'Core Oven - Natural Gas'!E31</f>
        <v>4.80392156862745E-7</v>
      </c>
      <c r="C116" s="293">
        <f>'Core Oven - Natural Gas'!G31</f>
        <v>2.1041176470588231E-6</v>
      </c>
    </row>
    <row r="117" spans="1:3">
      <c r="A117" s="319" t="s">
        <v>95</v>
      </c>
      <c r="B117" s="297">
        <f>'Core Oven - Natural Gas'!E32</f>
        <v>2.8823529411764701E-8</v>
      </c>
      <c r="C117" s="293">
        <f>'Core Oven - Natural Gas'!G32</f>
        <v>1.262470588235294E-7</v>
      </c>
    </row>
    <row r="118" spans="1:3">
      <c r="A118" s="319" t="s">
        <v>96</v>
      </c>
      <c r="B118" s="297">
        <f>'Core Oven - Natural Gas'!E33</f>
        <v>2.5735294117647053E-5</v>
      </c>
      <c r="C118" s="293">
        <f>'Core Oven - Natural Gas'!G33</f>
        <v>1.1272058823529408E-4</v>
      </c>
    </row>
    <row r="119" spans="1:3">
      <c r="A119" s="319" t="s">
        <v>97</v>
      </c>
      <c r="B119" s="297">
        <f>'Core Oven - Natural Gas'!E34</f>
        <v>6.176470588235293E-4</v>
      </c>
      <c r="C119" s="293">
        <f>'Core Oven - Natural Gas'!G34</f>
        <v>2.7052941176470583E-3</v>
      </c>
    </row>
    <row r="120" spans="1:3">
      <c r="A120" s="319" t="s">
        <v>98</v>
      </c>
      <c r="B120" s="297">
        <f>'Core Oven - Natural Gas'!E35</f>
        <v>1.3039215686274509E-7</v>
      </c>
      <c r="C120" s="293">
        <f>'Core Oven - Natural Gas'!G35</f>
        <v>5.7111764705882356E-7</v>
      </c>
    </row>
    <row r="121" spans="1:3">
      <c r="A121" s="319" t="s">
        <v>99</v>
      </c>
      <c r="B121" s="297">
        <f>'Core Oven - Natural Gas'!E36</f>
        <v>8.9215686274509781E-8</v>
      </c>
      <c r="C121" s="293">
        <f>'Core Oven - Natural Gas'!G36</f>
        <v>3.9076470588235285E-7</v>
      </c>
    </row>
    <row r="122" spans="1:3">
      <c r="A122" s="319" t="s">
        <v>359</v>
      </c>
      <c r="B122" s="489">
        <f>'Core Oven - Natural Gas'!E37+E39</f>
        <v>2.7724799999999998</v>
      </c>
      <c r="C122" s="493">
        <f>'Core Oven - Natural Gas'!G37+F39</f>
        <v>12.143462400000001</v>
      </c>
    </row>
    <row r="123" spans="1:3">
      <c r="A123" s="319" t="s">
        <v>100</v>
      </c>
      <c r="B123" s="297">
        <f>'Core Oven - Natural Gas'!E38</f>
        <v>2.0931372549019604E-7</v>
      </c>
      <c r="C123" s="293">
        <f>'Core Oven - Natural Gas'!G38</f>
        <v>9.1679411764705874E-7</v>
      </c>
    </row>
    <row r="124" spans="1:3">
      <c r="A124" s="319" t="s">
        <v>101</v>
      </c>
      <c r="B124" s="297">
        <f>'Core Oven - Natural Gas'!E39</f>
        <v>7.205882352941175E-7</v>
      </c>
      <c r="C124" s="293">
        <f>'Core Oven - Natural Gas'!G39</f>
        <v>3.1561764705882347E-6</v>
      </c>
    </row>
    <row r="125" spans="1:3">
      <c r="A125" s="319" t="s">
        <v>102</v>
      </c>
      <c r="B125" s="297">
        <f>'Core Oven - Natural Gas'!E40</f>
        <v>2.3957843137254897E-7</v>
      </c>
      <c r="C125" s="293">
        <f>'Core Oven - Natural Gas'!G40</f>
        <v>1.0493535294117645E-6</v>
      </c>
    </row>
    <row r="126" spans="1:3">
      <c r="A126" s="319" t="s">
        <v>103</v>
      </c>
      <c r="B126" s="297">
        <f>'Core Oven - Natural Gas'!E41</f>
        <v>8.235294117647058E-9</v>
      </c>
      <c r="C126" s="293">
        <f>'Core Oven - Natural Gas'!G41</f>
        <v>3.6070588235294113E-8</v>
      </c>
    </row>
    <row r="127" spans="1:3" ht="15" thickBot="1">
      <c r="A127" s="322" t="s">
        <v>104</v>
      </c>
      <c r="B127" s="499">
        <f>'Core Oven - Natural Gas'!E42+E44</f>
        <v>0.14592116666666666</v>
      </c>
      <c r="C127" s="503">
        <f>'Core Oven - Natural Gas'!G42+F44</f>
        <v>0.63913471000000011</v>
      </c>
    </row>
  </sheetData>
  <mergeCells count="12">
    <mergeCell ref="B96:C96"/>
    <mergeCell ref="E69:G69"/>
    <mergeCell ref="A47:G56"/>
    <mergeCell ref="A58:G60"/>
    <mergeCell ref="B75:D75"/>
    <mergeCell ref="C91:G92"/>
    <mergeCell ref="B69:D69"/>
    <mergeCell ref="G13:G14"/>
    <mergeCell ref="F5:F6"/>
    <mergeCell ref="G5:G6"/>
    <mergeCell ref="E13:F13"/>
    <mergeCell ref="E75:G75"/>
  </mergeCells>
  <pageMargins left="0.7" right="0.7" top="0.75" bottom="0.75" header="0.3" footer="0.3"/>
  <pageSetup scale="80" fitToHeight="0" orientation="portrait" r:id="rId1"/>
  <headerFooter>
    <oddHeader>&amp;C&amp;"Aptos Narror,Bold"&amp;14&amp;A Emission Calculations</oddHeader>
    <oddFooter>&amp;L&amp;"-,Regular"St. Paul Brass &amp; Aluminum Foundry (Facility ID: 12300001)
B2303515&amp;C&amp;"-,Regular"&amp;P of &amp;N&amp;R&amp;"-,Regular"&amp;D</oddFooter>
  </headerFooter>
  <rowBreaks count="2" manualBreakCount="2">
    <brk id="44" max="16383" man="1"/>
    <brk id="94"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3EF49-BE61-49D1-A952-4F995699B6C3}">
  <dimension ref="A1:J67"/>
  <sheetViews>
    <sheetView topLeftCell="A14" zoomScaleNormal="100" workbookViewId="0">
      <selection activeCell="I27" sqref="I27"/>
    </sheetView>
  </sheetViews>
  <sheetFormatPr defaultColWidth="8.81640625" defaultRowHeight="14.5"/>
  <cols>
    <col min="1" max="1" width="27.81640625" style="383" customWidth="1"/>
    <col min="2" max="7" width="13.7265625" style="383" customWidth="1"/>
    <col min="8" max="13" width="12.7265625" style="383" customWidth="1"/>
    <col min="14" max="16384" width="8.81640625" style="383"/>
  </cols>
  <sheetData>
    <row r="1" spans="1:7" ht="18.5">
      <c r="A1" s="458" t="s">
        <v>1226</v>
      </c>
      <c r="B1" s="751"/>
      <c r="C1" s="221"/>
    </row>
    <row r="2" spans="1:7" ht="18.5">
      <c r="A2" s="458"/>
      <c r="B2" s="751"/>
      <c r="C2" s="221"/>
    </row>
    <row r="3" spans="1:7">
      <c r="A3" s="1633" t="s">
        <v>1228</v>
      </c>
      <c r="B3" s="1633"/>
      <c r="C3" s="1633"/>
      <c r="D3" s="1633"/>
      <c r="E3" s="1633"/>
      <c r="F3" s="1633"/>
      <c r="G3" s="1633"/>
    </row>
    <row r="4" spans="1:7">
      <c r="A4" s="1633"/>
      <c r="B4" s="1633"/>
      <c r="C4" s="1633"/>
      <c r="D4" s="1633"/>
      <c r="E4" s="1633"/>
      <c r="F4" s="1633"/>
      <c r="G4" s="1633"/>
    </row>
    <row r="5" spans="1:7">
      <c r="A5" s="1633"/>
      <c r="B5" s="1633"/>
      <c r="C5" s="1633"/>
      <c r="D5" s="1633"/>
      <c r="E5" s="1633"/>
      <c r="F5" s="1633"/>
      <c r="G5" s="1633"/>
    </row>
    <row r="6" spans="1:7">
      <c r="A6" s="1633"/>
      <c r="B6" s="1633"/>
      <c r="C6" s="1633"/>
      <c r="D6" s="1633"/>
      <c r="E6" s="1633"/>
      <c r="F6" s="1633"/>
      <c r="G6" s="1633"/>
    </row>
    <row r="7" spans="1:7">
      <c r="A7" s="1633"/>
      <c r="B7" s="1633"/>
      <c r="C7" s="1633"/>
      <c r="D7" s="1633"/>
      <c r="E7" s="1633"/>
      <c r="F7" s="1633"/>
      <c r="G7" s="1633"/>
    </row>
    <row r="8" spans="1:7">
      <c r="A8" s="1633"/>
      <c r="B8" s="1633"/>
      <c r="C8" s="1633"/>
      <c r="D8" s="1633"/>
      <c r="E8" s="1633"/>
      <c r="F8" s="1633"/>
      <c r="G8" s="1633"/>
    </row>
    <row r="9" spans="1:7">
      <c r="A9" s="1633"/>
      <c r="B9" s="1633"/>
      <c r="C9" s="1633"/>
      <c r="D9" s="1633"/>
      <c r="E9" s="1633"/>
      <c r="F9" s="1633"/>
      <c r="G9" s="1633"/>
    </row>
    <row r="10" spans="1:7">
      <c r="A10" s="1633"/>
      <c r="B10" s="1633"/>
      <c r="C10" s="1633"/>
      <c r="D10" s="1633"/>
      <c r="E10" s="1633"/>
      <c r="F10" s="1633"/>
      <c r="G10" s="1633"/>
    </row>
    <row r="11" spans="1:7">
      <c r="A11" s="1633"/>
      <c r="B11" s="1633"/>
      <c r="C11" s="1633"/>
      <c r="D11" s="1633"/>
      <c r="E11" s="1633"/>
      <c r="F11" s="1633"/>
      <c r="G11" s="1633"/>
    </row>
    <row r="12" spans="1:7" ht="19" thickBot="1">
      <c r="A12" s="751"/>
      <c r="C12" s="221"/>
    </row>
    <row r="13" spans="1:7" s="220" customFormat="1" ht="26.5" thickBot="1">
      <c r="A13" s="593" t="s">
        <v>220</v>
      </c>
      <c r="B13" s="594" t="s">
        <v>221</v>
      </c>
      <c r="C13" s="224" t="s">
        <v>222</v>
      </c>
      <c r="D13" s="595"/>
      <c r="E13" s="224"/>
      <c r="F13" s="720" t="s">
        <v>223</v>
      </c>
      <c r="G13" s="226" t="s">
        <v>224</v>
      </c>
    </row>
    <row r="14" spans="1:7" s="220" customFormat="1" ht="13.5" thickBot="1">
      <c r="A14" s="603" t="s">
        <v>690</v>
      </c>
      <c r="B14" s="668" t="s">
        <v>690</v>
      </c>
      <c r="C14" s="604" t="s">
        <v>1225</v>
      </c>
      <c r="D14" s="604"/>
      <c r="E14" s="604"/>
      <c r="F14" s="601">
        <f>'Sand Handling (incl Mold&amp;Core)'!F95</f>
        <v>493</v>
      </c>
      <c r="G14" s="553" t="str">
        <f>'Sand Handling (incl Mold&amp;Core)'!G95</f>
        <v>ton sand/yr</v>
      </c>
    </row>
    <row r="15" spans="1:7" s="220" customFormat="1" ht="13">
      <c r="A15" s="606" t="s">
        <v>170</v>
      </c>
      <c r="B15" s="573" t="s">
        <v>950</v>
      </c>
      <c r="C15" s="229" t="s">
        <v>753</v>
      </c>
      <c r="D15" s="229"/>
      <c r="E15" s="229"/>
      <c r="F15" s="1626" t="s">
        <v>710</v>
      </c>
      <c r="G15" s="1620"/>
    </row>
    <row r="16" spans="1:7" s="220" customFormat="1" ht="13.5" thickBot="1">
      <c r="A16" s="603" t="s">
        <v>752</v>
      </c>
      <c r="B16" s="668" t="s">
        <v>951</v>
      </c>
      <c r="C16" s="604" t="s">
        <v>57</v>
      </c>
      <c r="D16" s="604"/>
      <c r="E16" s="604"/>
      <c r="F16" s="1627"/>
      <c r="G16" s="1622"/>
    </row>
    <row r="17" spans="1:10" s="220" customFormat="1" ht="13">
      <c r="A17" s="601"/>
      <c r="E17" s="610" t="s">
        <v>778</v>
      </c>
      <c r="F17" s="601">
        <v>3.8</v>
      </c>
      <c r="G17" s="553" t="s">
        <v>236</v>
      </c>
    </row>
    <row r="18" spans="1:10" s="220" customFormat="1" ht="13">
      <c r="A18" s="248"/>
      <c r="B18" s="235"/>
      <c r="C18" s="235"/>
      <c r="D18" s="235"/>
      <c r="E18" s="249" t="s">
        <v>779</v>
      </c>
      <c r="F18" s="794">
        <f>F17*F20</f>
        <v>33288</v>
      </c>
      <c r="G18" s="238" t="s">
        <v>228</v>
      </c>
    </row>
    <row r="19" spans="1:10" s="220" customFormat="1" ht="13">
      <c r="A19" s="251"/>
      <c r="B19" s="252"/>
      <c r="C19" s="252"/>
      <c r="D19" s="252"/>
      <c r="E19" s="253" t="s">
        <v>743</v>
      </c>
      <c r="F19" s="796">
        <v>3000</v>
      </c>
      <c r="G19" s="254" t="s">
        <v>392</v>
      </c>
    </row>
    <row r="20" spans="1:10" s="220" customFormat="1" ht="13.5" thickBot="1">
      <c r="A20" s="256"/>
      <c r="B20" s="241"/>
      <c r="C20" s="241"/>
      <c r="D20" s="241"/>
      <c r="E20" s="243" t="s">
        <v>137</v>
      </c>
      <c r="F20" s="256">
        <v>8760</v>
      </c>
      <c r="G20" s="244" t="s">
        <v>240</v>
      </c>
    </row>
    <row r="21" spans="1:10" s="220" customFormat="1" ht="13">
      <c r="A21" s="424" t="s">
        <v>243</v>
      </c>
      <c r="B21" s="352"/>
      <c r="C21" s="352"/>
      <c r="D21" s="352"/>
      <c r="E21" s="352"/>
      <c r="F21" s="352"/>
      <c r="G21" s="352"/>
      <c r="H21" s="352"/>
      <c r="I21" s="352"/>
      <c r="J21" s="352"/>
    </row>
    <row r="22" spans="1:10" s="220" customFormat="1" ht="13.5" thickBot="1">
      <c r="A22" s="424"/>
      <c r="B22" s="352"/>
      <c r="C22" s="352"/>
      <c r="D22" s="352"/>
      <c r="E22" s="352"/>
      <c r="F22" s="352"/>
      <c r="G22" s="352"/>
      <c r="H22" s="352"/>
      <c r="I22" s="352"/>
      <c r="J22" s="352"/>
    </row>
    <row r="23" spans="1:10" ht="19" thickBot="1">
      <c r="A23" s="751"/>
      <c r="C23" s="221"/>
      <c r="E23" s="1563" t="s">
        <v>352</v>
      </c>
      <c r="F23" s="1564"/>
      <c r="G23" s="1624" t="s">
        <v>750</v>
      </c>
    </row>
    <row r="24" spans="1:10" s="220" customFormat="1" ht="39.5" thickBot="1">
      <c r="A24" s="755" t="s">
        <v>70</v>
      </c>
      <c r="B24" s="402" t="s">
        <v>353</v>
      </c>
      <c r="C24" s="402" t="s">
        <v>1</v>
      </c>
      <c r="D24" s="403" t="s">
        <v>254</v>
      </c>
      <c r="E24" s="698" t="s">
        <v>354</v>
      </c>
      <c r="F24" s="403" t="s">
        <v>355</v>
      </c>
      <c r="G24" s="1625"/>
    </row>
    <row r="25" spans="1:10" s="220" customFormat="1" ht="13">
      <c r="A25" s="314" t="s">
        <v>19</v>
      </c>
      <c r="B25" s="645">
        <v>2.71</v>
      </c>
      <c r="C25" s="1314" t="s">
        <v>1021</v>
      </c>
      <c r="D25" s="788" t="s">
        <v>357</v>
      </c>
      <c r="E25" s="1263">
        <f>B25*$F$14/2200</f>
        <v>0.60728636363636357</v>
      </c>
      <c r="F25" s="1268">
        <f>B25*$F$14/2000</f>
        <v>0.66801500000000003</v>
      </c>
      <c r="G25" s="1272" t="s">
        <v>262</v>
      </c>
    </row>
    <row r="26" spans="1:10" s="220" customFormat="1" ht="13">
      <c r="A26" s="319" t="s">
        <v>77</v>
      </c>
      <c r="B26" s="415">
        <v>2.2200000000000002</v>
      </c>
      <c r="C26" s="415" t="s">
        <v>1021</v>
      </c>
      <c r="D26" s="527" t="s">
        <v>357</v>
      </c>
      <c r="E26" s="1263">
        <f>B26*$F$14/2200</f>
        <v>0.49748181818181819</v>
      </c>
      <c r="F26" s="1268">
        <f>B26*$F$14/2000</f>
        <v>0.54722999999999999</v>
      </c>
      <c r="G26" s="1273" t="s">
        <v>262</v>
      </c>
    </row>
    <row r="27" spans="1:10" s="220" customFormat="1" ht="13">
      <c r="A27" s="319" t="s">
        <v>78</v>
      </c>
      <c r="B27" s="415">
        <v>2.2200000000000002</v>
      </c>
      <c r="C27" s="415" t="s">
        <v>1021</v>
      </c>
      <c r="D27" s="527" t="s">
        <v>357</v>
      </c>
      <c r="E27" s="1263">
        <f>B27*$F$14/2200</f>
        <v>0.49748181818181819</v>
      </c>
      <c r="F27" s="1268">
        <f>B27*$F$14/2000</f>
        <v>0.54722999999999999</v>
      </c>
      <c r="G27" s="1273" t="s">
        <v>262</v>
      </c>
    </row>
    <row r="28" spans="1:10" s="220" customFormat="1" ht="13">
      <c r="A28" s="319" t="s">
        <v>79</v>
      </c>
      <c r="B28" s="415">
        <v>0.5</v>
      </c>
      <c r="C28" s="415" t="s">
        <v>1021</v>
      </c>
      <c r="D28" s="527" t="s">
        <v>357</v>
      </c>
      <c r="E28" s="1263">
        <f>B28*$F$14/2200</f>
        <v>0.11204545454545455</v>
      </c>
      <c r="F28" s="1268">
        <f>B28*$F$14/2000</f>
        <v>0.12325</v>
      </c>
      <c r="G28" s="1273" t="s">
        <v>262</v>
      </c>
    </row>
    <row r="29" spans="1:10" s="220" customFormat="1" ht="13">
      <c r="A29" s="319" t="s">
        <v>80</v>
      </c>
      <c r="B29" s="415" t="s">
        <v>1021</v>
      </c>
      <c r="C29" s="415" t="s">
        <v>262</v>
      </c>
      <c r="D29" s="527" t="s">
        <v>262</v>
      </c>
      <c r="E29" s="1263" t="s">
        <v>262</v>
      </c>
      <c r="F29" s="1268" t="s">
        <v>262</v>
      </c>
      <c r="G29" s="1273" t="s">
        <v>262</v>
      </c>
    </row>
    <row r="30" spans="1:10" s="220" customFormat="1" ht="13">
      <c r="A30" s="319" t="s">
        <v>81</v>
      </c>
      <c r="B30" s="415">
        <v>0.32</v>
      </c>
      <c r="C30" s="415" t="s">
        <v>1021</v>
      </c>
      <c r="D30" s="527" t="s">
        <v>357</v>
      </c>
      <c r="E30" s="1263">
        <f>B30*$F$14/2200</f>
        <v>7.1709090909090903E-2</v>
      </c>
      <c r="F30" s="1268">
        <f>B30*$F$14/2000</f>
        <v>7.8879999999999992E-2</v>
      </c>
      <c r="G30" s="1273" t="s">
        <v>262</v>
      </c>
    </row>
    <row r="31" spans="1:10" s="220" customFormat="1" ht="13">
      <c r="A31" s="319" t="s">
        <v>82</v>
      </c>
      <c r="B31" s="415">
        <v>8.0000000000000004E-4</v>
      </c>
      <c r="C31" s="415" t="s">
        <v>1021</v>
      </c>
      <c r="D31" s="527" t="s">
        <v>357</v>
      </c>
      <c r="E31" s="297">
        <f>B31*$F$14/2200</f>
        <v>1.792727272727273E-4</v>
      </c>
      <c r="F31" s="295">
        <f>B31*$F$14/2000</f>
        <v>1.9720000000000002E-4</v>
      </c>
      <c r="G31" s="1273" t="s">
        <v>262</v>
      </c>
    </row>
    <row r="32" spans="1:10" s="220" customFormat="1" ht="13">
      <c r="A32" s="319" t="s">
        <v>83</v>
      </c>
      <c r="B32" s="415" t="s">
        <v>396</v>
      </c>
      <c r="C32" s="415" t="s">
        <v>262</v>
      </c>
      <c r="D32" s="527" t="s">
        <v>262</v>
      </c>
      <c r="E32" s="1263" t="s">
        <v>262</v>
      </c>
      <c r="F32" s="1268" t="s">
        <v>262</v>
      </c>
      <c r="G32" s="1273" t="s">
        <v>262</v>
      </c>
    </row>
    <row r="33" spans="1:7" s="220" customFormat="1" ht="13.5" thickBot="1">
      <c r="A33" s="756" t="s">
        <v>84</v>
      </c>
      <c r="B33" s="757" t="s">
        <v>396</v>
      </c>
      <c r="C33" s="758"/>
      <c r="D33" s="759"/>
      <c r="E33" s="1266">
        <f>SUM(E34:E54)</f>
        <v>0</v>
      </c>
      <c r="F33" s="1278">
        <f>SUM(F34:F54)</f>
        <v>0</v>
      </c>
      <c r="G33" s="1274">
        <f>SUM(G38:G54)</f>
        <v>0</v>
      </c>
    </row>
    <row r="34" spans="1:7" s="220" customFormat="1" ht="13">
      <c r="A34" s="314" t="s">
        <v>85</v>
      </c>
      <c r="B34" s="645" t="s">
        <v>396</v>
      </c>
      <c r="C34" s="645" t="s">
        <v>262</v>
      </c>
      <c r="D34" s="788" t="s">
        <v>262</v>
      </c>
      <c r="E34" s="1262" t="s">
        <v>262</v>
      </c>
      <c r="F34" s="1267" t="s">
        <v>262</v>
      </c>
      <c r="G34" s="1272" t="s">
        <v>262</v>
      </c>
    </row>
    <row r="35" spans="1:7" s="220" customFormat="1" ht="13">
      <c r="A35" s="319" t="s">
        <v>86</v>
      </c>
      <c r="B35" s="415" t="s">
        <v>396</v>
      </c>
      <c r="C35" s="415" t="s">
        <v>262</v>
      </c>
      <c r="D35" s="527" t="s">
        <v>262</v>
      </c>
      <c r="E35" s="1263" t="s">
        <v>262</v>
      </c>
      <c r="F35" s="1268" t="s">
        <v>262</v>
      </c>
      <c r="G35" s="1273" t="s">
        <v>262</v>
      </c>
    </row>
    <row r="36" spans="1:7" s="220" customFormat="1" ht="13">
      <c r="A36" s="319" t="s">
        <v>87</v>
      </c>
      <c r="B36" s="415" t="s">
        <v>396</v>
      </c>
      <c r="C36" s="415" t="s">
        <v>262</v>
      </c>
      <c r="D36" s="527" t="s">
        <v>262</v>
      </c>
      <c r="E36" s="1263" t="s">
        <v>262</v>
      </c>
      <c r="F36" s="1268" t="s">
        <v>262</v>
      </c>
      <c r="G36" s="1273" t="s">
        <v>262</v>
      </c>
    </row>
    <row r="37" spans="1:7" s="220" customFormat="1" ht="13.5" thickBot="1">
      <c r="A37" s="322" t="s">
        <v>88</v>
      </c>
      <c r="B37" s="654" t="s">
        <v>396</v>
      </c>
      <c r="C37" s="654" t="s">
        <v>262</v>
      </c>
      <c r="D37" s="1010" t="s">
        <v>262</v>
      </c>
      <c r="E37" s="1266" t="s">
        <v>262</v>
      </c>
      <c r="F37" s="1269" t="s">
        <v>262</v>
      </c>
      <c r="G37" s="1275" t="s">
        <v>262</v>
      </c>
    </row>
    <row r="38" spans="1:7" s="220" customFormat="1" ht="13">
      <c r="A38" s="327" t="s">
        <v>89</v>
      </c>
      <c r="B38" s="409" t="s">
        <v>396</v>
      </c>
      <c r="C38" s="409" t="s">
        <v>262</v>
      </c>
      <c r="D38" s="1264" t="s">
        <v>262</v>
      </c>
      <c r="E38" s="1265" t="s">
        <v>262</v>
      </c>
      <c r="F38" s="1270" t="s">
        <v>262</v>
      </c>
      <c r="G38" s="1276" t="s">
        <v>262</v>
      </c>
    </row>
    <row r="39" spans="1:7" s="220" customFormat="1" ht="13">
      <c r="A39" s="327" t="s">
        <v>90</v>
      </c>
      <c r="B39" s="415" t="s">
        <v>396</v>
      </c>
      <c r="C39" s="415" t="s">
        <v>262</v>
      </c>
      <c r="D39" s="527" t="s">
        <v>262</v>
      </c>
      <c r="E39" s="1263" t="s">
        <v>262</v>
      </c>
      <c r="F39" s="1268" t="s">
        <v>262</v>
      </c>
      <c r="G39" s="1273" t="s">
        <v>262</v>
      </c>
    </row>
    <row r="40" spans="1:7" s="220" customFormat="1" ht="13">
      <c r="A40" s="319" t="s">
        <v>91</v>
      </c>
      <c r="B40" s="415" t="s">
        <v>396</v>
      </c>
      <c r="C40" s="415" t="s">
        <v>262</v>
      </c>
      <c r="D40" s="527" t="s">
        <v>262</v>
      </c>
      <c r="E40" s="1263" t="s">
        <v>262</v>
      </c>
      <c r="F40" s="1268" t="s">
        <v>262</v>
      </c>
      <c r="G40" s="1273" t="s">
        <v>262</v>
      </c>
    </row>
    <row r="41" spans="1:7" s="220" customFormat="1" ht="13">
      <c r="A41" s="319" t="s">
        <v>92</v>
      </c>
      <c r="B41" s="415" t="s">
        <v>396</v>
      </c>
      <c r="C41" s="415" t="s">
        <v>262</v>
      </c>
      <c r="D41" s="527" t="s">
        <v>262</v>
      </c>
      <c r="E41" s="1263" t="s">
        <v>262</v>
      </c>
      <c r="F41" s="1268" t="s">
        <v>262</v>
      </c>
      <c r="G41" s="1273" t="s">
        <v>262</v>
      </c>
    </row>
    <row r="42" spans="1:7" s="220" customFormat="1" ht="13">
      <c r="A42" s="319" t="s">
        <v>93</v>
      </c>
      <c r="B42" s="415" t="s">
        <v>396</v>
      </c>
      <c r="C42" s="415" t="s">
        <v>262</v>
      </c>
      <c r="D42" s="527" t="s">
        <v>262</v>
      </c>
      <c r="E42" s="1263" t="s">
        <v>262</v>
      </c>
      <c r="F42" s="1268" t="s">
        <v>262</v>
      </c>
      <c r="G42" s="1273" t="s">
        <v>262</v>
      </c>
    </row>
    <row r="43" spans="1:7" s="220" customFormat="1" ht="13">
      <c r="A43" s="319" t="s">
        <v>94</v>
      </c>
      <c r="B43" s="415" t="s">
        <v>396</v>
      </c>
      <c r="C43" s="415" t="s">
        <v>262</v>
      </c>
      <c r="D43" s="527" t="s">
        <v>262</v>
      </c>
      <c r="E43" s="1263" t="s">
        <v>262</v>
      </c>
      <c r="F43" s="1268" t="s">
        <v>262</v>
      </c>
      <c r="G43" s="1273" t="s">
        <v>262</v>
      </c>
    </row>
    <row r="44" spans="1:7" s="220" customFormat="1" ht="13">
      <c r="A44" s="319" t="s">
        <v>95</v>
      </c>
      <c r="B44" s="415" t="s">
        <v>396</v>
      </c>
      <c r="C44" s="415" t="s">
        <v>262</v>
      </c>
      <c r="D44" s="527" t="s">
        <v>262</v>
      </c>
      <c r="E44" s="1263" t="s">
        <v>262</v>
      </c>
      <c r="F44" s="1268" t="s">
        <v>262</v>
      </c>
      <c r="G44" s="1273" t="s">
        <v>262</v>
      </c>
    </row>
    <row r="45" spans="1:7" s="220" customFormat="1" ht="13">
      <c r="A45" s="319" t="s">
        <v>96</v>
      </c>
      <c r="B45" s="415" t="s">
        <v>396</v>
      </c>
      <c r="C45" s="415" t="s">
        <v>262</v>
      </c>
      <c r="D45" s="527" t="s">
        <v>262</v>
      </c>
      <c r="E45" s="1263" t="s">
        <v>262</v>
      </c>
      <c r="F45" s="1268" t="s">
        <v>262</v>
      </c>
      <c r="G45" s="1273" t="s">
        <v>262</v>
      </c>
    </row>
    <row r="46" spans="1:7" s="220" customFormat="1" ht="13">
      <c r="A46" s="319" t="s">
        <v>97</v>
      </c>
      <c r="B46" s="415" t="s">
        <v>396</v>
      </c>
      <c r="C46" s="415" t="s">
        <v>262</v>
      </c>
      <c r="D46" s="527" t="s">
        <v>262</v>
      </c>
      <c r="E46" s="1263" t="s">
        <v>262</v>
      </c>
      <c r="F46" s="1268" t="s">
        <v>262</v>
      </c>
      <c r="G46" s="1273" t="s">
        <v>262</v>
      </c>
    </row>
    <row r="47" spans="1:7" s="220" customFormat="1" ht="13">
      <c r="A47" s="319" t="s">
        <v>98</v>
      </c>
      <c r="B47" s="415" t="s">
        <v>396</v>
      </c>
      <c r="C47" s="415" t="s">
        <v>262</v>
      </c>
      <c r="D47" s="527" t="s">
        <v>262</v>
      </c>
      <c r="E47" s="1263" t="s">
        <v>262</v>
      </c>
      <c r="F47" s="1268" t="s">
        <v>262</v>
      </c>
      <c r="G47" s="1273" t="s">
        <v>262</v>
      </c>
    </row>
    <row r="48" spans="1:7" s="220" customFormat="1" ht="13">
      <c r="A48" s="319" t="s">
        <v>99</v>
      </c>
      <c r="B48" s="415" t="s">
        <v>396</v>
      </c>
      <c r="C48" s="415" t="s">
        <v>262</v>
      </c>
      <c r="D48" s="527" t="s">
        <v>262</v>
      </c>
      <c r="E48" s="1263" t="s">
        <v>262</v>
      </c>
      <c r="F48" s="1268" t="s">
        <v>262</v>
      </c>
      <c r="G48" s="1273" t="s">
        <v>262</v>
      </c>
    </row>
    <row r="49" spans="1:7" s="220" customFormat="1" ht="13">
      <c r="A49" s="319" t="s">
        <v>359</v>
      </c>
      <c r="B49" s="792" t="s">
        <v>396</v>
      </c>
      <c r="C49" s="415" t="s">
        <v>262</v>
      </c>
      <c r="D49" s="286" t="s">
        <v>262</v>
      </c>
      <c r="E49" s="1263" t="s">
        <v>262</v>
      </c>
      <c r="F49" s="1268" t="s">
        <v>262</v>
      </c>
      <c r="G49" s="1273" t="s">
        <v>262</v>
      </c>
    </row>
    <row r="50" spans="1:7" s="220" customFormat="1" ht="13">
      <c r="A50" s="319" t="s">
        <v>100</v>
      </c>
      <c r="B50" s="415" t="s">
        <v>396</v>
      </c>
      <c r="C50" s="415" t="s">
        <v>262</v>
      </c>
      <c r="D50" s="527" t="s">
        <v>262</v>
      </c>
      <c r="E50" s="1263" t="s">
        <v>262</v>
      </c>
      <c r="F50" s="1268" t="s">
        <v>262</v>
      </c>
      <c r="G50" s="1273" t="s">
        <v>262</v>
      </c>
    </row>
    <row r="51" spans="1:7" s="220" customFormat="1" ht="13">
      <c r="A51" s="319" t="s">
        <v>101</v>
      </c>
      <c r="B51" s="415" t="s">
        <v>396</v>
      </c>
      <c r="C51" s="415" t="s">
        <v>262</v>
      </c>
      <c r="D51" s="527" t="s">
        <v>262</v>
      </c>
      <c r="E51" s="1263" t="s">
        <v>262</v>
      </c>
      <c r="F51" s="1268" t="s">
        <v>262</v>
      </c>
      <c r="G51" s="1273" t="s">
        <v>262</v>
      </c>
    </row>
    <row r="52" spans="1:7" s="220" customFormat="1" ht="13">
      <c r="A52" s="319" t="s">
        <v>102</v>
      </c>
      <c r="B52" s="415" t="s">
        <v>396</v>
      </c>
      <c r="C52" s="415" t="s">
        <v>262</v>
      </c>
      <c r="D52" s="527" t="s">
        <v>262</v>
      </c>
      <c r="E52" s="1263" t="s">
        <v>262</v>
      </c>
      <c r="F52" s="1268" t="s">
        <v>262</v>
      </c>
      <c r="G52" s="1273" t="s">
        <v>262</v>
      </c>
    </row>
    <row r="53" spans="1:7" s="220" customFormat="1" ht="13">
      <c r="A53" s="319" t="s">
        <v>103</v>
      </c>
      <c r="B53" s="415" t="s">
        <v>396</v>
      </c>
      <c r="C53" s="415" t="s">
        <v>262</v>
      </c>
      <c r="D53" s="527" t="s">
        <v>262</v>
      </c>
      <c r="E53" s="1263" t="s">
        <v>262</v>
      </c>
      <c r="F53" s="1268" t="s">
        <v>262</v>
      </c>
      <c r="G53" s="1273" t="s">
        <v>262</v>
      </c>
    </row>
    <row r="54" spans="1:7" s="220" customFormat="1" ht="13.5" thickBot="1">
      <c r="A54" s="322" t="s">
        <v>104</v>
      </c>
      <c r="B54" s="793" t="s">
        <v>396</v>
      </c>
      <c r="C54" s="654" t="s">
        <v>262</v>
      </c>
      <c r="D54" s="301" t="s">
        <v>262</v>
      </c>
      <c r="E54" s="808" t="s">
        <v>262</v>
      </c>
      <c r="F54" s="1271" t="s">
        <v>262</v>
      </c>
      <c r="G54" s="1277" t="s">
        <v>262</v>
      </c>
    </row>
    <row r="55" spans="1:7" s="220" customFormat="1" ht="13">
      <c r="A55" s="515"/>
      <c r="B55" s="897"/>
      <c r="C55" s="260"/>
      <c r="D55" s="260"/>
      <c r="E55" s="898"/>
      <c r="F55" s="898"/>
      <c r="G55" s="898"/>
    </row>
    <row r="56" spans="1:7" s="220" customFormat="1" ht="13">
      <c r="A56" s="515" t="s">
        <v>825</v>
      </c>
      <c r="B56" s="897"/>
      <c r="C56" s="260"/>
      <c r="D56" s="260"/>
      <c r="E56" s="898"/>
      <c r="F56" s="898"/>
      <c r="G56" s="898"/>
    </row>
    <row r="57" spans="1:7" s="220" customFormat="1" ht="13.5" customHeight="1">
      <c r="A57" s="515" t="s">
        <v>1227</v>
      </c>
      <c r="B57" s="515"/>
      <c r="C57" s="515"/>
      <c r="D57" s="515"/>
      <c r="E57" s="515"/>
      <c r="F57" s="515"/>
      <c r="G57" s="515"/>
    </row>
    <row r="58" spans="1:7" s="220" customFormat="1" ht="13">
      <c r="A58" s="515"/>
      <c r="B58" s="515"/>
      <c r="C58" s="515"/>
      <c r="D58" s="515"/>
      <c r="E58" s="515"/>
      <c r="F58" s="515"/>
      <c r="G58" s="515"/>
    </row>
    <row r="59" spans="1:7" s="220" customFormat="1" ht="13">
      <c r="A59" s="515"/>
      <c r="B59" s="515"/>
      <c r="C59" s="515"/>
      <c r="D59" s="515"/>
      <c r="E59" s="515"/>
      <c r="F59" s="515"/>
      <c r="G59" s="515"/>
    </row>
    <row r="60" spans="1:7" s="220" customFormat="1" ht="13">
      <c r="A60" s="515"/>
      <c r="B60" s="515"/>
      <c r="C60" s="515"/>
      <c r="D60" s="515"/>
      <c r="E60" s="515"/>
      <c r="F60" s="515"/>
      <c r="G60" s="515"/>
    </row>
    <row r="61" spans="1:7" s="220" customFormat="1" ht="13">
      <c r="A61" s="515"/>
      <c r="B61" s="515"/>
      <c r="C61" s="515"/>
      <c r="D61" s="515"/>
      <c r="E61" s="515"/>
      <c r="F61" s="515"/>
      <c r="G61" s="515"/>
    </row>
    <row r="62" spans="1:7" s="220" customFormat="1" ht="13">
      <c r="A62" s="515"/>
      <c r="B62" s="515"/>
      <c r="C62" s="515"/>
      <c r="D62" s="515"/>
      <c r="E62" s="515"/>
      <c r="F62" s="515"/>
      <c r="G62" s="515"/>
    </row>
    <row r="63" spans="1:7" s="220" customFormat="1" ht="13">
      <c r="A63" s="515"/>
      <c r="B63" s="515"/>
      <c r="C63" s="515"/>
      <c r="D63" s="515"/>
      <c r="E63" s="515"/>
      <c r="F63" s="515"/>
      <c r="G63" s="515"/>
    </row>
    <row r="64" spans="1:7" s="220" customFormat="1" ht="13">
      <c r="A64" s="515"/>
      <c r="B64" s="515"/>
      <c r="C64" s="515"/>
      <c r="D64" s="515"/>
      <c r="E64" s="515"/>
      <c r="F64" s="515"/>
      <c r="G64" s="515"/>
    </row>
    <row r="65" spans="1:7" s="220" customFormat="1" ht="13">
      <c r="A65" s="515"/>
      <c r="B65" s="515"/>
      <c r="C65" s="515"/>
      <c r="D65" s="515"/>
      <c r="E65" s="515"/>
      <c r="F65" s="515"/>
      <c r="G65" s="515"/>
    </row>
    <row r="66" spans="1:7" s="220" customFormat="1" ht="13">
      <c r="A66" s="515"/>
      <c r="B66" s="515"/>
      <c r="C66" s="515"/>
      <c r="D66" s="515"/>
      <c r="E66" s="515"/>
      <c r="F66" s="515"/>
      <c r="G66" s="515"/>
    </row>
    <row r="67" spans="1:7" s="220" customFormat="1" ht="13">
      <c r="A67" s="790"/>
      <c r="B67" s="790"/>
      <c r="C67" s="790"/>
      <c r="D67" s="790"/>
      <c r="E67" s="790"/>
      <c r="F67" s="790"/>
    </row>
  </sheetData>
  <mergeCells count="5">
    <mergeCell ref="A3:G11"/>
    <mergeCell ref="F15:F16"/>
    <mergeCell ref="G15:G16"/>
    <mergeCell ref="E23:F23"/>
    <mergeCell ref="G23:G24"/>
  </mergeCells>
  <pageMargins left="0.7" right="0.7" top="0.75" bottom="0.75" header="0.3" footer="0.3"/>
  <pageSetup scale="80" fitToHeight="0" orientation="portrait" r:id="rId1"/>
  <headerFooter>
    <oddHeader>&amp;C&amp;"Aptos Narror,Bold"&amp;14&amp;A Emission Calculations</oddHeader>
    <oddFooter>&amp;L&amp;"-,Regular"St. Paul Brass &amp; Aluminum Foundry (Facility ID: 12300001)
B2303515&amp;C&amp;"-,Regular"&amp;P of &amp;N&amp;R&amp;"-,Regular"&amp;D</oddFooter>
  </headerFooter>
  <rowBreaks count="1" manualBreakCount="1">
    <brk id="5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47FC0-5D0C-4840-9A42-D60FCC9E09DB}">
  <sheetPr codeName="Sheet15"/>
  <dimension ref="A1:H49"/>
  <sheetViews>
    <sheetView zoomScaleNormal="100" workbookViewId="0">
      <selection activeCell="B9" sqref="B9"/>
    </sheetView>
  </sheetViews>
  <sheetFormatPr defaultColWidth="9.1796875" defaultRowHeight="13"/>
  <cols>
    <col min="1" max="1" width="26.7265625" style="220" customWidth="1"/>
    <col min="2" max="8" width="19.7265625" style="220" customWidth="1"/>
    <col min="9" max="16384" width="9.1796875" style="220"/>
  </cols>
  <sheetData>
    <row r="1" spans="1:8" ht="18.75" customHeight="1">
      <c r="A1" s="458" t="s">
        <v>868</v>
      </c>
      <c r="C1" s="221" t="s">
        <v>949</v>
      </c>
      <c r="D1" s="383"/>
      <c r="E1" s="383"/>
      <c r="F1" s="383"/>
      <c r="G1" s="383"/>
      <c r="H1" s="589" t="s">
        <v>59</v>
      </c>
    </row>
    <row r="2" spans="1:8" ht="18.5">
      <c r="C2" s="221" t="s">
        <v>747</v>
      </c>
      <c r="D2" s="383"/>
      <c r="E2" s="383"/>
      <c r="F2" s="383"/>
      <c r="G2" s="383"/>
      <c r="H2" s="590" t="s">
        <v>60</v>
      </c>
    </row>
    <row r="3" spans="1:8">
      <c r="A3" s="261"/>
      <c r="C3" s="261"/>
      <c r="D3" s="463"/>
      <c r="E3" s="463"/>
      <c r="F3" s="463"/>
      <c r="G3" s="463"/>
      <c r="H3" s="591" t="s">
        <v>61</v>
      </c>
    </row>
    <row r="4" spans="1:8">
      <c r="A4" s="516" t="s">
        <v>1136</v>
      </c>
      <c r="D4" s="463"/>
      <c r="E4" s="463"/>
      <c r="F4" s="463"/>
      <c r="G4" s="463"/>
      <c r="H4" s="591" t="s">
        <v>62</v>
      </c>
    </row>
    <row r="5" spans="1:8" ht="19" thickBot="1">
      <c r="A5" s="458"/>
    </row>
    <row r="6" spans="1:8">
      <c r="A6" s="465"/>
      <c r="B6" s="466" t="s">
        <v>63</v>
      </c>
      <c r="C6" s="467" t="s">
        <v>401</v>
      </c>
      <c r="D6" s="468"/>
      <c r="E6" s="468"/>
      <c r="F6" s="468"/>
      <c r="G6" s="468"/>
      <c r="H6" s="469"/>
    </row>
    <row r="7" spans="1:8">
      <c r="A7" s="465"/>
      <c r="B7" s="470" t="s">
        <v>64</v>
      </c>
      <c r="C7" s="471">
        <v>0.35</v>
      </c>
      <c r="D7" s="465"/>
      <c r="E7" s="465"/>
      <c r="F7" s="465"/>
      <c r="G7" s="465"/>
      <c r="H7" s="472"/>
    </row>
    <row r="8" spans="1:8">
      <c r="A8" s="465"/>
      <c r="B8" s="470" t="s">
        <v>65</v>
      </c>
      <c r="C8" s="471">
        <f>C7/'AL Melting'!G20</f>
        <v>3.4313725490196074E-4</v>
      </c>
      <c r="D8" s="465"/>
      <c r="E8" s="465"/>
      <c r="F8" s="465"/>
      <c r="G8" s="465"/>
      <c r="H8" s="472"/>
    </row>
    <row r="9" spans="1:8">
      <c r="A9" s="465"/>
      <c r="B9" s="473" t="s">
        <v>66</v>
      </c>
      <c r="C9" s="474">
        <v>8760</v>
      </c>
      <c r="D9" s="465"/>
      <c r="E9" s="465"/>
      <c r="F9" s="465"/>
      <c r="G9" s="465"/>
      <c r="H9" s="472"/>
    </row>
    <row r="10" spans="1:8">
      <c r="A10" s="465"/>
      <c r="B10" s="473" t="s">
        <v>67</v>
      </c>
      <c r="C10" s="474"/>
      <c r="D10" s="465"/>
      <c r="E10" s="465"/>
      <c r="F10" s="465"/>
      <c r="G10" s="465"/>
      <c r="H10" s="472"/>
    </row>
    <row r="11" spans="1:8" ht="13.5" thickBot="1">
      <c r="A11" s="465"/>
      <c r="B11" s="475" t="s">
        <v>68</v>
      </c>
      <c r="C11" s="476" t="s">
        <v>69</v>
      </c>
      <c r="D11" s="477"/>
      <c r="E11" s="477"/>
      <c r="F11" s="477"/>
      <c r="G11" s="477"/>
      <c r="H11" s="478"/>
    </row>
    <row r="12" spans="1:8" ht="39.5" thickBot="1">
      <c r="A12" s="479" t="s">
        <v>70</v>
      </c>
      <c r="B12" s="480" t="s">
        <v>71</v>
      </c>
      <c r="C12" s="481" t="s">
        <v>72</v>
      </c>
      <c r="D12" s="481" t="s">
        <v>73</v>
      </c>
      <c r="E12" s="481" t="s">
        <v>831</v>
      </c>
      <c r="F12" s="482" t="s">
        <v>74</v>
      </c>
      <c r="G12" s="482" t="s">
        <v>75</v>
      </c>
      <c r="H12" s="483" t="s">
        <v>76</v>
      </c>
    </row>
    <row r="13" spans="1:8">
      <c r="A13" s="314" t="s">
        <v>19</v>
      </c>
      <c r="B13" s="484">
        <f>IFERROR(INDEX('Emission Factors'!$A$2:$CH$104,MATCH($A13,'Emission Factors'!$A$2:$A$104,0),MATCH(C$11,'Emission Factors'!$A$2:$CH$2,0)),"")</f>
        <v>7.6</v>
      </c>
      <c r="C13" s="485"/>
      <c r="D13" s="486"/>
      <c r="E13" s="487">
        <f t="shared" ref="E13:E21" si="0">IF(C13&gt;0,C13,B13)*C$8</f>
        <v>2.6078431372549013E-3</v>
      </c>
      <c r="F13" s="487">
        <f t="shared" ref="F13:F21" si="1">IF(C13&gt;0,C13,B13)*C$8*(1-D13)</f>
        <v>2.6078431372549013E-3</v>
      </c>
      <c r="G13" s="487">
        <f t="shared" ref="G13:G21" si="2">IF(C13&gt;0,C13,B13)*C$8*C$9/2000</f>
        <v>1.1422352941176469E-2</v>
      </c>
      <c r="H13" s="488">
        <f t="shared" ref="H13:H21" si="3">IF(C13&gt;0,C13,B13)*C$8*(1-D13)*C$10/2000</f>
        <v>0</v>
      </c>
    </row>
    <row r="14" spans="1:8">
      <c r="A14" s="319" t="s">
        <v>77</v>
      </c>
      <c r="B14" s="489">
        <f>IFERROR(INDEX('Emission Factors'!$A$2:$CH$104,MATCH($A14,'Emission Factors'!$A$2:$A$104,0),MATCH(C$11,'Emission Factors'!$A$2:$CH$2,0)),"")</f>
        <v>7.6</v>
      </c>
      <c r="C14" s="490"/>
      <c r="D14" s="491"/>
      <c r="E14" s="492">
        <f t="shared" si="0"/>
        <v>2.6078431372549013E-3</v>
      </c>
      <c r="F14" s="492">
        <f t="shared" si="1"/>
        <v>2.6078431372549013E-3</v>
      </c>
      <c r="G14" s="492">
        <f t="shared" si="2"/>
        <v>1.1422352941176469E-2</v>
      </c>
      <c r="H14" s="493">
        <f t="shared" si="3"/>
        <v>0</v>
      </c>
    </row>
    <row r="15" spans="1:8">
      <c r="A15" s="319" t="s">
        <v>78</v>
      </c>
      <c r="B15" s="489">
        <f>IFERROR(INDEX('Emission Factors'!$A$2:$CH$104,MATCH($A15,'Emission Factors'!$A$2:$A$104,0),MATCH(C$11,'Emission Factors'!$A$2:$CH$2,0)),"")</f>
        <v>7.6</v>
      </c>
      <c r="C15" s="490"/>
      <c r="D15" s="491"/>
      <c r="E15" s="492">
        <f t="shared" si="0"/>
        <v>2.6078431372549013E-3</v>
      </c>
      <c r="F15" s="492">
        <f t="shared" si="1"/>
        <v>2.6078431372549013E-3</v>
      </c>
      <c r="G15" s="492">
        <f t="shared" si="2"/>
        <v>1.1422352941176469E-2</v>
      </c>
      <c r="H15" s="493">
        <f t="shared" si="3"/>
        <v>0</v>
      </c>
    </row>
    <row r="16" spans="1:8">
      <c r="A16" s="319" t="s">
        <v>79</v>
      </c>
      <c r="B16" s="489">
        <f>IFERROR(INDEX('Emission Factors'!$A$2:$CH$104,MATCH($A16,'Emission Factors'!$A$2:$A$104,0),MATCH(C$11,'Emission Factors'!$A$2:$CH$2,0)),"")</f>
        <v>100</v>
      </c>
      <c r="C16" s="490"/>
      <c r="D16" s="491"/>
      <c r="E16" s="492">
        <f t="shared" si="0"/>
        <v>3.4313725490196074E-2</v>
      </c>
      <c r="F16" s="492">
        <f t="shared" si="1"/>
        <v>3.4313725490196074E-2</v>
      </c>
      <c r="G16" s="492">
        <f t="shared" si="2"/>
        <v>0.1502941176470588</v>
      </c>
      <c r="H16" s="493">
        <f t="shared" si="3"/>
        <v>0</v>
      </c>
    </row>
    <row r="17" spans="1:8">
      <c r="A17" s="319" t="s">
        <v>80</v>
      </c>
      <c r="B17" s="489">
        <f>IFERROR(INDEX('Emission Factors'!$A$2:$CH$104,MATCH($A17,'Emission Factors'!$A$2:$A$104,0),MATCH(C$11,'Emission Factors'!$A$2:$CH$2,0)),"")</f>
        <v>84</v>
      </c>
      <c r="C17" s="490"/>
      <c r="D17" s="491"/>
      <c r="E17" s="492">
        <f t="shared" si="0"/>
        <v>2.8823529411764703E-2</v>
      </c>
      <c r="F17" s="492">
        <f t="shared" si="1"/>
        <v>2.8823529411764703E-2</v>
      </c>
      <c r="G17" s="492">
        <f t="shared" si="2"/>
        <v>0.12624705882352941</v>
      </c>
      <c r="H17" s="493">
        <f t="shared" si="3"/>
        <v>0</v>
      </c>
    </row>
    <row r="18" spans="1:8">
      <c r="A18" s="319" t="s">
        <v>81</v>
      </c>
      <c r="B18" s="489">
        <f>IFERROR(INDEX('Emission Factors'!$A$2:$CH$104,MATCH($A18,'Emission Factors'!$A$2:$A$104,0),MATCH(C$11,'Emission Factors'!$A$2:$CH$2,0)),"")</f>
        <v>0.6</v>
      </c>
      <c r="C18" s="490"/>
      <c r="D18" s="491"/>
      <c r="E18" s="492">
        <f t="shared" si="0"/>
        <v>2.0588235294117643E-4</v>
      </c>
      <c r="F18" s="492">
        <f t="shared" si="1"/>
        <v>2.0588235294117643E-4</v>
      </c>
      <c r="G18" s="492">
        <f t="shared" si="2"/>
        <v>9.0176470588235267E-4</v>
      </c>
      <c r="H18" s="493">
        <f t="shared" si="3"/>
        <v>0</v>
      </c>
    </row>
    <row r="19" spans="1:8">
      <c r="A19" s="319" t="s">
        <v>82</v>
      </c>
      <c r="B19" s="489">
        <f>IFERROR(INDEX('Emission Factors'!$A$2:$CH$104,MATCH($A19,'Emission Factors'!$A$2:$A$104,0),MATCH(C$11,'Emission Factors'!$A$2:$CH$2,0)),"")</f>
        <v>5.5</v>
      </c>
      <c r="C19" s="490"/>
      <c r="D19" s="491"/>
      <c r="E19" s="492">
        <f t="shared" si="0"/>
        <v>1.8872549019607839E-3</v>
      </c>
      <c r="F19" s="492">
        <f t="shared" si="1"/>
        <v>1.8872549019607839E-3</v>
      </c>
      <c r="G19" s="492">
        <f t="shared" si="2"/>
        <v>8.2661764705882334E-3</v>
      </c>
      <c r="H19" s="493">
        <f t="shared" si="3"/>
        <v>0</v>
      </c>
    </row>
    <row r="20" spans="1:8">
      <c r="A20" s="319" t="s">
        <v>83</v>
      </c>
      <c r="B20" s="489">
        <f>IFERROR(INDEX('Emission Factors'!$A$2:$CH$104,MATCH($A20,'Emission Factors'!$A$2:$A$104,0),MATCH(C$11,'Emission Factors'!$A$2:$CH$2,0)),"")</f>
        <v>5.0000000000000001E-4</v>
      </c>
      <c r="C20" s="490"/>
      <c r="D20" s="491"/>
      <c r="E20" s="492">
        <f t="shared" si="0"/>
        <v>1.7156862745098037E-7</v>
      </c>
      <c r="F20" s="492">
        <f t="shared" si="1"/>
        <v>1.7156862745098037E-7</v>
      </c>
      <c r="G20" s="492">
        <f t="shared" si="2"/>
        <v>7.5147058823529395E-7</v>
      </c>
      <c r="H20" s="493">
        <f t="shared" si="3"/>
        <v>0</v>
      </c>
    </row>
    <row r="21" spans="1:8" ht="13.5" thickBot="1">
      <c r="A21" s="322" t="s">
        <v>84</v>
      </c>
      <c r="B21" s="494">
        <f>IFERROR(INDEX('Emission Factors'!$A$2:$CH$104,MATCH($A21,'Emission Factors'!$A$2:$A$104,0),MATCH(C$11,'Emission Factors'!$A$2:$CH$2,0)),"")</f>
        <v>1.8879582000000001</v>
      </c>
      <c r="C21" s="495"/>
      <c r="D21" s="496"/>
      <c r="E21" s="497">
        <f t="shared" si="0"/>
        <v>6.47828794117647E-4</v>
      </c>
      <c r="F21" s="497">
        <f t="shared" si="1"/>
        <v>6.47828794117647E-4</v>
      </c>
      <c r="G21" s="497">
        <f t="shared" si="2"/>
        <v>2.8374901182352938E-3</v>
      </c>
      <c r="H21" s="498">
        <f t="shared" si="3"/>
        <v>0</v>
      </c>
    </row>
    <row r="22" spans="1:8">
      <c r="A22" s="314" t="s">
        <v>85</v>
      </c>
      <c r="B22" s="484">
        <f>IFERROR(INDEX('Emission Factors'!$A$2:$CH$104,MATCH($A22,'Emission Factors'!$A$2:$A$104,0),MATCH(C$11,'Emission Factors'!$A$2:$CH$2,0))*2.2046,"")</f>
        <v>116.97607600000001</v>
      </c>
      <c r="C22" s="485"/>
      <c r="D22" s="486"/>
      <c r="E22" s="487">
        <f>IF(C22&gt;0,C22,B22)*C$7</f>
        <v>40.941626599999999</v>
      </c>
      <c r="F22" s="487">
        <f>IF(C22&gt;0,C22,B22)*C$7*(1-D22)</f>
        <v>40.941626599999999</v>
      </c>
      <c r="G22" s="487">
        <f>IF(C22&gt;0,C22,B22)*C$7*C$9/2000</f>
        <v>179.32432450799999</v>
      </c>
      <c r="H22" s="488">
        <f>IF(C22&gt;0,C22,B22)*C$7*(1-D22)*C$10/2000</f>
        <v>0</v>
      </c>
    </row>
    <row r="23" spans="1:8">
      <c r="A23" s="319" t="s">
        <v>86</v>
      </c>
      <c r="B23" s="489">
        <f>IFERROR(INDEX('Emission Factors'!$A$2:$CH$104,MATCH($A23,'Emission Factors'!$A$2:$A$104,0),MATCH(C$11,'Emission Factors'!$A$2:$CH$2,0))*2.2046,"")</f>
        <v>2.2046000000000001E-3</v>
      </c>
      <c r="C23" s="490"/>
      <c r="D23" s="491"/>
      <c r="E23" s="492">
        <f>IF(C23&gt;0,C23,B23)*C$7</f>
        <v>7.7161000000000005E-4</v>
      </c>
      <c r="F23" s="492">
        <f>IF(C23&gt;0,C23,B23)*C$7*(1-D23)</f>
        <v>7.7161000000000005E-4</v>
      </c>
      <c r="G23" s="492">
        <f>IF(C23&gt;0,C23,B23)*C$7*C$9/2000</f>
        <v>3.3796518000000003E-3</v>
      </c>
      <c r="H23" s="493">
        <f>IF(C23&gt;0,C23,B23)*C$7*(1-D23)*C$10/2000</f>
        <v>0</v>
      </c>
    </row>
    <row r="24" spans="1:8">
      <c r="A24" s="319" t="s">
        <v>87</v>
      </c>
      <c r="B24" s="489">
        <f>IFERROR(INDEX('Emission Factors'!$A$2:$CH$104,MATCH($A24,'Emission Factors'!$A$2:$A$104,0),MATCH(C$11,'Emission Factors'!$A$2:$CH$2,0))*2.2046,"")</f>
        <v>2.2046000000000001E-4</v>
      </c>
      <c r="C24" s="490"/>
      <c r="D24" s="491"/>
      <c r="E24" s="492">
        <f>IF(C24&gt;0,C24,B24)*C$7</f>
        <v>7.7161000000000002E-5</v>
      </c>
      <c r="F24" s="492">
        <f>IF(C24&gt;0,C24,B24)*C$7*(1-D24)</f>
        <v>7.7161000000000002E-5</v>
      </c>
      <c r="G24" s="492">
        <f>IF(C24&gt;0,C24,B24)*C$7*C$9/2000</f>
        <v>3.3796518000000001E-4</v>
      </c>
      <c r="H24" s="493">
        <f>IF(C24&gt;0,C24,B24)*C$7*(1-D24)*C$10/2000</f>
        <v>0</v>
      </c>
    </row>
    <row r="25" spans="1:8" ht="13.5" thickBot="1">
      <c r="A25" s="322" t="s">
        <v>88</v>
      </c>
      <c r="B25" s="499">
        <f>IFERROR(INDEX('Emission Factors'!$A$2:$CH$104,MATCH($A25,'Emission Factors'!$A$2:$A$104,0),MATCH(C$11,'Emission Factors'!$A$2:$CH$2,0))*2.2046,"")</f>
        <v>117.09688808000001</v>
      </c>
      <c r="C25" s="500"/>
      <c r="D25" s="501"/>
      <c r="E25" s="502">
        <f>IF(C25&gt;0,C25,B25)*C$7</f>
        <v>40.983910827999999</v>
      </c>
      <c r="F25" s="502">
        <f>IF(C25&gt;0,C25,B25)*C$7*(1-D25)</f>
        <v>40.983910827999999</v>
      </c>
      <c r="G25" s="502">
        <f>IF(C25&gt;0,C25,B25)*C$7*C$9/2000</f>
        <v>179.50952942664</v>
      </c>
      <c r="H25" s="503">
        <f>IF(C25&gt;0,C25,B25)*C$7*(1-D25)*C$10/2000</f>
        <v>0</v>
      </c>
    </row>
    <row r="26" spans="1:8">
      <c r="A26" s="314" t="s">
        <v>89</v>
      </c>
      <c r="B26" s="504">
        <f>IFERROR(INDEX('Emission Factors'!$A$2:$CH$104,MATCH($A26,'Emission Factors'!$A$2:$A$104,0),MATCH(C$11,'Emission Factors'!$A$2:$CH$2,0)),"")</f>
        <v>1.1999999999999999E-3</v>
      </c>
      <c r="C26" s="485"/>
      <c r="D26" s="486"/>
      <c r="E26" s="505">
        <f t="shared" ref="E26:E42" si="4">IF(C26&gt;0,C26,B26)*C$8</f>
        <v>4.1176470588235284E-7</v>
      </c>
      <c r="F26" s="505">
        <f t="shared" ref="F26:F42" si="5">IF(C26&gt;0,C26,B26)*C$8*(1-D26)</f>
        <v>4.1176470588235284E-7</v>
      </c>
      <c r="G26" s="505">
        <f t="shared" ref="G26:G42" si="6">IF(C26&gt;0,C26,B26)*C$8*C$9/2000</f>
        <v>1.8035294117647054E-6</v>
      </c>
      <c r="H26" s="506">
        <f t="shared" ref="H26:H42" si="7">IF(C26&gt;0,C26,B26)*C$8*(1-D26)*C$10/2000</f>
        <v>0</v>
      </c>
    </row>
    <row r="27" spans="1:8">
      <c r="A27" s="327" t="s">
        <v>90</v>
      </c>
      <c r="B27" s="504">
        <f>IFERROR(INDEX('Emission Factors'!$A$2:$CH$104,MATCH($A27,'Emission Factors'!$A$2:$A$104,0),MATCH(C$11,'Emission Factors'!$A$2:$CH$2,0)),"")</f>
        <v>2.0000000000000001E-4</v>
      </c>
      <c r="C27" s="507"/>
      <c r="D27" s="508"/>
      <c r="E27" s="505">
        <f t="shared" si="4"/>
        <v>6.8627450980392145E-8</v>
      </c>
      <c r="F27" s="505">
        <f t="shared" si="5"/>
        <v>6.8627450980392145E-8</v>
      </c>
      <c r="G27" s="505">
        <f t="shared" si="6"/>
        <v>3.005882352941176E-7</v>
      </c>
      <c r="H27" s="506">
        <f t="shared" si="7"/>
        <v>0</v>
      </c>
    </row>
    <row r="28" spans="1:8">
      <c r="A28" s="319" t="s">
        <v>91</v>
      </c>
      <c r="B28" s="489">
        <f>IFERROR(INDEX('Emission Factors'!$A$2:$CH$104,MATCH($A28,'Emission Factors'!$A$2:$A$104,0),MATCH(C$11,'Emission Factors'!$A$2:$CH$2,0)),"")</f>
        <v>2.0999999999999999E-3</v>
      </c>
      <c r="C28" s="490"/>
      <c r="D28" s="491"/>
      <c r="E28" s="492">
        <f t="shared" si="4"/>
        <v>7.205882352941175E-7</v>
      </c>
      <c r="F28" s="492">
        <f t="shared" si="5"/>
        <v>7.205882352941175E-7</v>
      </c>
      <c r="G28" s="492">
        <f t="shared" si="6"/>
        <v>3.1561764705882347E-6</v>
      </c>
      <c r="H28" s="493">
        <f t="shared" si="7"/>
        <v>0</v>
      </c>
    </row>
    <row r="29" spans="1:8">
      <c r="A29" s="319" t="s">
        <v>92</v>
      </c>
      <c r="B29" s="489">
        <f>IFERROR(INDEX('Emission Factors'!$A$2:$CH$104,MATCH($A29,'Emission Factors'!$A$2:$A$104,0),MATCH(C$11,'Emission Factors'!$A$2:$CH$2,0)),"")</f>
        <v>1.2E-5</v>
      </c>
      <c r="C29" s="490"/>
      <c r="D29" s="491"/>
      <c r="E29" s="492">
        <f t="shared" si="4"/>
        <v>4.117647058823529E-9</v>
      </c>
      <c r="F29" s="492">
        <f t="shared" si="5"/>
        <v>4.117647058823529E-9</v>
      </c>
      <c r="G29" s="492">
        <f t="shared" si="6"/>
        <v>1.8035294117647056E-8</v>
      </c>
      <c r="H29" s="493">
        <f t="shared" si="7"/>
        <v>0</v>
      </c>
    </row>
    <row r="30" spans="1:8">
      <c r="A30" s="319" t="s">
        <v>93</v>
      </c>
      <c r="B30" s="489">
        <f>IFERROR(INDEX('Emission Factors'!$A$2:$CH$104,MATCH($A30,'Emission Factors'!$A$2:$A$104,0),MATCH(C$11,'Emission Factors'!$A$2:$CH$2,0)),"")</f>
        <v>1.1000000000000001E-3</v>
      </c>
      <c r="C30" s="490"/>
      <c r="D30" s="491"/>
      <c r="E30" s="492">
        <f t="shared" si="4"/>
        <v>3.7745098039215682E-7</v>
      </c>
      <c r="F30" s="492">
        <f t="shared" si="5"/>
        <v>3.7745098039215682E-7</v>
      </c>
      <c r="G30" s="492">
        <f t="shared" si="6"/>
        <v>1.6532352941176468E-6</v>
      </c>
      <c r="H30" s="493">
        <f t="shared" si="7"/>
        <v>0</v>
      </c>
    </row>
    <row r="31" spans="1:8">
      <c r="A31" s="319" t="s">
        <v>94</v>
      </c>
      <c r="B31" s="489">
        <f>IFERROR(INDEX('Emission Factors'!$A$2:$CH$104,MATCH($A31,'Emission Factors'!$A$2:$A$104,0),MATCH(C$11,'Emission Factors'!$A$2:$CH$2,0)),"")</f>
        <v>1.4E-3</v>
      </c>
      <c r="C31" s="490"/>
      <c r="D31" s="491"/>
      <c r="E31" s="492">
        <f t="shared" si="4"/>
        <v>4.80392156862745E-7</v>
      </c>
      <c r="F31" s="492">
        <f t="shared" si="5"/>
        <v>4.80392156862745E-7</v>
      </c>
      <c r="G31" s="492">
        <f t="shared" si="6"/>
        <v>2.1041176470588231E-6</v>
      </c>
      <c r="H31" s="493">
        <f t="shared" si="7"/>
        <v>0</v>
      </c>
    </row>
    <row r="32" spans="1:8">
      <c r="A32" s="319" t="s">
        <v>95</v>
      </c>
      <c r="B32" s="489">
        <f>IFERROR(INDEX('Emission Factors'!$A$2:$CH$104,MATCH($A32,'Emission Factors'!$A$2:$A$104,0),MATCH(C$11,'Emission Factors'!$A$2:$CH$2,0)),"")</f>
        <v>8.3999999999999995E-5</v>
      </c>
      <c r="C32" s="490"/>
      <c r="D32" s="491"/>
      <c r="E32" s="492">
        <f t="shared" si="4"/>
        <v>2.8823529411764701E-8</v>
      </c>
      <c r="F32" s="492">
        <f t="shared" si="5"/>
        <v>2.8823529411764701E-8</v>
      </c>
      <c r="G32" s="492">
        <f t="shared" si="6"/>
        <v>1.262470588235294E-7</v>
      </c>
      <c r="H32" s="493">
        <f t="shared" si="7"/>
        <v>0</v>
      </c>
    </row>
    <row r="33" spans="1:8">
      <c r="A33" s="319" t="s">
        <v>96</v>
      </c>
      <c r="B33" s="489">
        <f>IFERROR(INDEX('Emission Factors'!$A$2:$CH$104,MATCH($A33,'Emission Factors'!$A$2:$A$104,0),MATCH(C$11,'Emission Factors'!$A$2:$CH$2,0)),"")</f>
        <v>7.4999999999999997E-2</v>
      </c>
      <c r="C33" s="490"/>
      <c r="D33" s="491"/>
      <c r="E33" s="492">
        <f t="shared" si="4"/>
        <v>2.5735294117647053E-5</v>
      </c>
      <c r="F33" s="492">
        <f t="shared" si="5"/>
        <v>2.5735294117647053E-5</v>
      </c>
      <c r="G33" s="492">
        <f t="shared" si="6"/>
        <v>1.1272058823529408E-4</v>
      </c>
      <c r="H33" s="493">
        <f t="shared" si="7"/>
        <v>0</v>
      </c>
    </row>
    <row r="34" spans="1:8">
      <c r="A34" s="319" t="s">
        <v>97</v>
      </c>
      <c r="B34" s="489">
        <f>IFERROR(INDEX('Emission Factors'!$A$2:$CH$104,MATCH($A34,'Emission Factors'!$A$2:$A$104,0),MATCH(C$11,'Emission Factors'!$A$2:$CH$2,0)),"")</f>
        <v>1.8</v>
      </c>
      <c r="C34" s="490"/>
      <c r="D34" s="491"/>
      <c r="E34" s="492">
        <f t="shared" si="4"/>
        <v>6.176470588235293E-4</v>
      </c>
      <c r="F34" s="492">
        <f t="shared" si="5"/>
        <v>6.176470588235293E-4</v>
      </c>
      <c r="G34" s="492">
        <f t="shared" si="6"/>
        <v>2.7052941176470583E-3</v>
      </c>
      <c r="H34" s="493">
        <f t="shared" si="7"/>
        <v>0</v>
      </c>
    </row>
    <row r="35" spans="1:8">
      <c r="A35" s="319" t="s">
        <v>98</v>
      </c>
      <c r="B35" s="489">
        <f>IFERROR(INDEX('Emission Factors'!$A$2:$CH$104,MATCH($A35,'Emission Factors'!$A$2:$A$104,0),MATCH(C$11,'Emission Factors'!$A$2:$CH$2,0)),"")</f>
        <v>3.8000000000000002E-4</v>
      </c>
      <c r="C35" s="490"/>
      <c r="D35" s="491"/>
      <c r="E35" s="492">
        <f t="shared" si="4"/>
        <v>1.3039215686274509E-7</v>
      </c>
      <c r="F35" s="492">
        <f t="shared" si="5"/>
        <v>1.3039215686274509E-7</v>
      </c>
      <c r="G35" s="492">
        <f t="shared" si="6"/>
        <v>5.7111764705882356E-7</v>
      </c>
      <c r="H35" s="493">
        <f t="shared" si="7"/>
        <v>0</v>
      </c>
    </row>
    <row r="36" spans="1:8">
      <c r="A36" s="319" t="s">
        <v>99</v>
      </c>
      <c r="B36" s="489">
        <f>IFERROR(INDEX('Emission Factors'!$A$2:$CH$104,MATCH($A36,'Emission Factors'!$A$2:$A$104,0),MATCH(C$11,'Emission Factors'!$A$2:$CH$2,0)),"")</f>
        <v>2.5999999999999998E-4</v>
      </c>
      <c r="C36" s="490"/>
      <c r="D36" s="491"/>
      <c r="E36" s="492">
        <f t="shared" si="4"/>
        <v>8.9215686274509781E-8</v>
      </c>
      <c r="F36" s="492">
        <f t="shared" si="5"/>
        <v>8.9215686274509781E-8</v>
      </c>
      <c r="G36" s="492">
        <f t="shared" si="6"/>
        <v>3.9076470588235285E-7</v>
      </c>
      <c r="H36" s="493">
        <f t="shared" si="7"/>
        <v>0</v>
      </c>
    </row>
    <row r="37" spans="1:8">
      <c r="A37" s="319" t="s">
        <v>359</v>
      </c>
      <c r="B37" s="489" t="s">
        <v>402</v>
      </c>
      <c r="C37" s="490"/>
      <c r="D37" s="491"/>
      <c r="E37" s="749"/>
      <c r="F37" s="749"/>
      <c r="G37" s="749"/>
      <c r="H37" s="750"/>
    </row>
    <row r="38" spans="1:8">
      <c r="A38" s="319" t="s">
        <v>100</v>
      </c>
      <c r="B38" s="489">
        <f>IFERROR(INDEX('Emission Factors'!$A$2:$CH$104,MATCH($A38,'Emission Factors'!$A$2:$A$104,0),MATCH(C$11,'Emission Factors'!$A$2:$CH$2,0)),"")</f>
        <v>6.0999999999999997E-4</v>
      </c>
      <c r="C38" s="490"/>
      <c r="D38" s="491"/>
      <c r="E38" s="492">
        <f t="shared" si="4"/>
        <v>2.0931372549019604E-7</v>
      </c>
      <c r="F38" s="492">
        <f t="shared" si="5"/>
        <v>2.0931372549019604E-7</v>
      </c>
      <c r="G38" s="492">
        <f t="shared" si="6"/>
        <v>9.1679411764705874E-7</v>
      </c>
      <c r="H38" s="493">
        <f t="shared" si="7"/>
        <v>0</v>
      </c>
    </row>
    <row r="39" spans="1:8">
      <c r="A39" s="319" t="s">
        <v>101</v>
      </c>
      <c r="B39" s="489">
        <f>IFERROR(INDEX('Emission Factors'!$A$2:$CH$104,MATCH($A39,'Emission Factors'!$A$2:$A$104,0),MATCH(C$11,'Emission Factors'!$A$2:$CH$2,0)),"")</f>
        <v>2.0999999999999999E-3</v>
      </c>
      <c r="C39" s="490"/>
      <c r="D39" s="491"/>
      <c r="E39" s="492">
        <f t="shared" si="4"/>
        <v>7.205882352941175E-7</v>
      </c>
      <c r="F39" s="492">
        <f t="shared" si="5"/>
        <v>7.205882352941175E-7</v>
      </c>
      <c r="G39" s="492">
        <f t="shared" si="6"/>
        <v>3.1561764705882347E-6</v>
      </c>
      <c r="H39" s="493">
        <f t="shared" si="7"/>
        <v>0</v>
      </c>
    </row>
    <row r="40" spans="1:8">
      <c r="A40" s="319" t="s">
        <v>102</v>
      </c>
      <c r="B40" s="489">
        <f>IFERROR(INDEX('Emission Factors'!$A$2:$CH$104,MATCH($A40,'Emission Factors'!$A$2:$A$104,0),MATCH(C$11,'Emission Factors'!$A$2:$CH$2,0)),"")</f>
        <v>6.9819999999999995E-4</v>
      </c>
      <c r="C40" s="490"/>
      <c r="D40" s="491"/>
      <c r="E40" s="492">
        <f t="shared" si="4"/>
        <v>2.3957843137254897E-7</v>
      </c>
      <c r="F40" s="492">
        <f t="shared" si="5"/>
        <v>2.3957843137254897E-7</v>
      </c>
      <c r="G40" s="492">
        <f t="shared" si="6"/>
        <v>1.0493535294117645E-6</v>
      </c>
      <c r="H40" s="493">
        <f t="shared" si="7"/>
        <v>0</v>
      </c>
    </row>
    <row r="41" spans="1:8">
      <c r="A41" s="319" t="s">
        <v>103</v>
      </c>
      <c r="B41" s="489">
        <f>IFERROR(INDEX('Emission Factors'!$A$2:$CH$104,MATCH($A41,'Emission Factors'!$A$2:$A$104,0),MATCH(C$11,'Emission Factors'!$A$2:$CH$2,0)),"")</f>
        <v>2.4000000000000001E-5</v>
      </c>
      <c r="C41" s="490"/>
      <c r="D41" s="491"/>
      <c r="E41" s="492">
        <f t="shared" si="4"/>
        <v>8.235294117647058E-9</v>
      </c>
      <c r="F41" s="492">
        <f t="shared" si="5"/>
        <v>8.235294117647058E-9</v>
      </c>
      <c r="G41" s="492">
        <f t="shared" si="6"/>
        <v>3.6070588235294113E-8</v>
      </c>
      <c r="H41" s="493">
        <f t="shared" si="7"/>
        <v>0</v>
      </c>
    </row>
    <row r="42" spans="1:8" ht="13.5" thickBot="1">
      <c r="A42" s="322" t="s">
        <v>104</v>
      </c>
      <c r="B42" s="499">
        <f>IFERROR(INDEX('Emission Factors'!$A$2:$CH$104,MATCH($A42,'Emission Factors'!$A$2:$A$104,0),MATCH(C$11,'Emission Factors'!$A$2:$CH$2,0)),"")</f>
        <v>3.3999999999999998E-3</v>
      </c>
      <c r="C42" s="500"/>
      <c r="D42" s="501"/>
      <c r="E42" s="502">
        <f t="shared" si="4"/>
        <v>1.1666666666666664E-6</v>
      </c>
      <c r="F42" s="502">
        <f t="shared" si="5"/>
        <v>1.1666666666666664E-6</v>
      </c>
      <c r="G42" s="502">
        <f t="shared" si="6"/>
        <v>5.1099999999999994E-6</v>
      </c>
      <c r="H42" s="503">
        <f t="shared" si="7"/>
        <v>0</v>
      </c>
    </row>
    <row r="43" spans="1:8">
      <c r="A43" s="465"/>
      <c r="B43" s="509" t="s">
        <v>105</v>
      </c>
      <c r="C43" s="510"/>
      <c r="D43" s="465"/>
      <c r="E43" s="465"/>
      <c r="F43" s="465"/>
      <c r="G43" s="465"/>
      <c r="H43" s="465"/>
    </row>
    <row r="44" spans="1:8">
      <c r="A44" s="465"/>
      <c r="B44" s="511" t="s">
        <v>106</v>
      </c>
      <c r="C44" s="512"/>
      <c r="D44" s="512"/>
      <c r="E44" s="512"/>
      <c r="F44" s="513"/>
      <c r="G44" s="514"/>
      <c r="H44" s="514"/>
    </row>
    <row r="45" spans="1:8">
      <c r="A45" s="465"/>
      <c r="B45" s="510"/>
      <c r="C45" s="510"/>
      <c r="D45" s="510"/>
      <c r="E45" s="510"/>
      <c r="F45" s="510"/>
      <c r="G45" s="510"/>
      <c r="H45" s="510"/>
    </row>
    <row r="46" spans="1:8">
      <c r="A46" s="515"/>
      <c r="B46" s="516" t="s">
        <v>107</v>
      </c>
      <c r="C46" s="465"/>
      <c r="D46" s="465"/>
      <c r="E46" s="465"/>
      <c r="F46" s="465"/>
      <c r="G46" s="465"/>
      <c r="H46" s="517"/>
    </row>
    <row r="47" spans="1:8">
      <c r="A47" s="515"/>
      <c r="B47" s="465" t="s">
        <v>108</v>
      </c>
      <c r="C47" s="518"/>
      <c r="D47" s="518"/>
      <c r="E47" s="518"/>
      <c r="F47" s="518"/>
      <c r="G47" s="518"/>
      <c r="H47" s="517"/>
    </row>
    <row r="48" spans="1:8">
      <c r="A48" s="515"/>
      <c r="B48" s="518" t="s">
        <v>109</v>
      </c>
      <c r="C48" s="465"/>
      <c r="D48" s="465"/>
      <c r="E48" s="465"/>
      <c r="F48" s="518"/>
      <c r="G48" s="518"/>
      <c r="H48" s="517"/>
    </row>
    <row r="49" spans="1:8">
      <c r="A49" s="515"/>
      <c r="B49" s="465"/>
      <c r="C49" s="518"/>
      <c r="D49" s="518"/>
      <c r="E49" s="518"/>
      <c r="F49" s="518"/>
      <c r="G49" s="518"/>
      <c r="H49" s="517"/>
    </row>
  </sheetData>
  <protectedRanges>
    <protectedRange sqref="B43:H43" name="Notes"/>
  </protectedRanges>
  <dataValidations count="1">
    <dataValidation type="list" allowBlank="1" showInputMessage="1" showErrorMessage="1" sqref="C11" xr:uid="{EA3461F9-A106-428D-9EB5-0FEF35EA99C4}">
      <formula1>#REF!</formula1>
    </dataValidation>
  </dataValidations>
  <pageMargins left="0.7" right="0.7" top="0.75" bottom="0.75" header="0.3" footer="0.3"/>
  <pageSetup scale="74"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92094-FB05-4A63-8C03-6B36328CF7B4}">
  <sheetPr codeName="Sheet22">
    <pageSetUpPr fitToPage="1"/>
  </sheetPr>
  <dimension ref="A1:K47"/>
  <sheetViews>
    <sheetView zoomScaleNormal="100" workbookViewId="0">
      <selection activeCell="A2" sqref="A2"/>
    </sheetView>
  </sheetViews>
  <sheetFormatPr defaultColWidth="9.1796875" defaultRowHeight="13"/>
  <cols>
    <col min="1" max="1" width="26.7265625" style="220" customWidth="1"/>
    <col min="2" max="8" width="19.7265625" style="220" customWidth="1"/>
    <col min="9" max="16384" width="9.1796875" style="220"/>
  </cols>
  <sheetData>
    <row r="1" spans="1:11" s="459" customFormat="1" ht="18.75" customHeight="1">
      <c r="A1" s="458" t="s">
        <v>984</v>
      </c>
      <c r="C1" s="221" t="s">
        <v>867</v>
      </c>
      <c r="D1" s="221"/>
      <c r="E1" s="460"/>
      <c r="F1" s="460"/>
      <c r="G1" s="460"/>
      <c r="H1" s="589" t="s">
        <v>59</v>
      </c>
      <c r="I1" s="460"/>
      <c r="J1" s="460"/>
      <c r="K1" s="460"/>
    </row>
    <row r="2" spans="1:11" ht="18.75" customHeight="1">
      <c r="A2" s="458"/>
      <c r="C2" s="221" t="s">
        <v>983</v>
      </c>
      <c r="D2" s="221"/>
      <c r="E2" s="462"/>
      <c r="F2" s="462"/>
      <c r="G2" s="462"/>
      <c r="H2" s="590" t="s">
        <v>60</v>
      </c>
      <c r="I2" s="462"/>
      <c r="J2" s="462"/>
      <c r="K2" s="462"/>
    </row>
    <row r="3" spans="1:11" ht="14.25" customHeight="1">
      <c r="A3" s="516" t="s">
        <v>932</v>
      </c>
      <c r="C3" s="461"/>
      <c r="D3" s="463"/>
      <c r="E3" s="463"/>
      <c r="F3" s="463"/>
      <c r="G3" s="463"/>
      <c r="H3" s="591" t="s">
        <v>61</v>
      </c>
      <c r="I3" s="463"/>
      <c r="J3" s="463"/>
      <c r="K3" s="463"/>
    </row>
    <row r="4" spans="1:11" ht="14.25" customHeight="1">
      <c r="A4" s="516" t="s">
        <v>933</v>
      </c>
      <c r="C4" s="464"/>
      <c r="D4" s="463"/>
      <c r="E4" s="463"/>
      <c r="F4" s="463"/>
      <c r="G4" s="463"/>
      <c r="H4" s="591" t="s">
        <v>62</v>
      </c>
      <c r="I4" s="463"/>
      <c r="J4" s="463"/>
      <c r="K4" s="463"/>
    </row>
    <row r="5" spans="1:11" ht="19" thickBot="1">
      <c r="A5" s="458"/>
    </row>
    <row r="6" spans="1:11">
      <c r="A6" s="465"/>
      <c r="B6" s="466" t="s">
        <v>63</v>
      </c>
      <c r="C6" s="942" t="s">
        <v>935</v>
      </c>
      <c r="D6" s="468"/>
      <c r="E6" s="468"/>
      <c r="F6" s="468"/>
      <c r="G6" s="468"/>
      <c r="H6" s="469"/>
    </row>
    <row r="7" spans="1:11">
      <c r="A7" s="465"/>
      <c r="B7" s="470" t="s">
        <v>64</v>
      </c>
      <c r="C7" s="471">
        <f>ROUNDUP(64*2900/1000000,2)</f>
        <v>0.19</v>
      </c>
      <c r="D7" s="465"/>
      <c r="E7" s="465"/>
      <c r="F7" s="465"/>
      <c r="G7" s="465"/>
      <c r="H7" s="472"/>
    </row>
    <row r="8" spans="1:11">
      <c r="A8" s="465"/>
      <c r="B8" s="470" t="s">
        <v>65</v>
      </c>
      <c r="C8" s="471">
        <f>C7/1020</f>
        <v>1.8627450980392157E-4</v>
      </c>
      <c r="D8" s="465"/>
      <c r="E8" s="465"/>
      <c r="F8" s="465"/>
      <c r="G8" s="465"/>
      <c r="H8" s="472"/>
    </row>
    <row r="9" spans="1:11">
      <c r="A9" s="465"/>
      <c r="B9" s="473" t="s">
        <v>66</v>
      </c>
      <c r="C9" s="474">
        <v>8760</v>
      </c>
      <c r="D9" s="465"/>
      <c r="E9" s="465"/>
      <c r="F9" s="465"/>
      <c r="G9" s="465"/>
      <c r="H9" s="472"/>
    </row>
    <row r="10" spans="1:11">
      <c r="A10" s="465"/>
      <c r="B10" s="473" t="s">
        <v>67</v>
      </c>
      <c r="C10" s="474"/>
      <c r="D10" s="465"/>
      <c r="E10" s="465"/>
      <c r="F10" s="465"/>
      <c r="G10" s="465"/>
      <c r="H10" s="472"/>
    </row>
    <row r="11" spans="1:11" ht="13.5" thickBot="1">
      <c r="A11" s="465"/>
      <c r="B11" s="475" t="s">
        <v>68</v>
      </c>
      <c r="C11" s="476" t="s">
        <v>69</v>
      </c>
      <c r="D11" s="477"/>
      <c r="E11" s="477"/>
      <c r="F11" s="477"/>
      <c r="G11" s="477"/>
      <c r="H11" s="478"/>
    </row>
    <row r="12" spans="1:11" ht="39.5" thickBot="1">
      <c r="A12" s="479" t="s">
        <v>70</v>
      </c>
      <c r="B12" s="480" t="s">
        <v>71</v>
      </c>
      <c r="C12" s="481" t="s">
        <v>72</v>
      </c>
      <c r="D12" s="481" t="s">
        <v>73</v>
      </c>
      <c r="E12" s="481" t="s">
        <v>831</v>
      </c>
      <c r="F12" s="482" t="s">
        <v>74</v>
      </c>
      <c r="G12" s="482" t="s">
        <v>75</v>
      </c>
      <c r="H12" s="483" t="s">
        <v>76</v>
      </c>
    </row>
    <row r="13" spans="1:11">
      <c r="A13" s="314" t="s">
        <v>19</v>
      </c>
      <c r="B13" s="484">
        <f>IFERROR(INDEX('aq-f13-ecs01 Emission Factors'!$A$2:$CH$104,MATCH($A13,'aq-f13-ecs01 Emission Factors'!$A$2:$A$104,0),MATCH(C$11,'aq-f13-ecs01 Emission Factors'!$A$2:$CH$2,0)),"")</f>
        <v>7.6</v>
      </c>
      <c r="C13" s="485"/>
      <c r="D13" s="486"/>
      <c r="E13" s="487">
        <f t="shared" ref="E13:E21" si="0">IF(C13&gt;0,C13,B13)*C$8</f>
        <v>1.4156862745098038E-3</v>
      </c>
      <c r="F13" s="487">
        <f t="shared" ref="F13:F21" si="1">IF(C13&gt;0,C13,B13)*C$8*(1-D13)</f>
        <v>1.4156862745098038E-3</v>
      </c>
      <c r="G13" s="487">
        <f t="shared" ref="G13:G21" si="2">IF(C13&gt;0,C13,B13)*C$8*C$9/2000</f>
        <v>6.2007058823529398E-3</v>
      </c>
      <c r="H13" s="488">
        <f t="shared" ref="H13:H21" si="3">IF(C13&gt;0,C13,B13)*C$8*(1-D13)*C$10/2000</f>
        <v>0</v>
      </c>
    </row>
    <row r="14" spans="1:11">
      <c r="A14" s="319" t="s">
        <v>77</v>
      </c>
      <c r="B14" s="489">
        <f>IFERROR(INDEX('aq-f13-ecs01 Emission Factors'!$A$2:$CH$104,MATCH($A14,'aq-f13-ecs01 Emission Factors'!$A$2:$A$104,0),MATCH(C$11,'aq-f13-ecs01 Emission Factors'!$A$2:$CH$2,0)),"")</f>
        <v>7.6</v>
      </c>
      <c r="C14" s="490"/>
      <c r="D14" s="491"/>
      <c r="E14" s="492">
        <f t="shared" si="0"/>
        <v>1.4156862745098038E-3</v>
      </c>
      <c r="F14" s="492">
        <f t="shared" si="1"/>
        <v>1.4156862745098038E-3</v>
      </c>
      <c r="G14" s="492">
        <f t="shared" si="2"/>
        <v>6.2007058823529398E-3</v>
      </c>
      <c r="H14" s="493">
        <f t="shared" si="3"/>
        <v>0</v>
      </c>
    </row>
    <row r="15" spans="1:11">
      <c r="A15" s="319" t="s">
        <v>78</v>
      </c>
      <c r="B15" s="489">
        <f>IFERROR(INDEX('aq-f13-ecs01 Emission Factors'!$A$2:$CH$104,MATCH($A15,'aq-f13-ecs01 Emission Factors'!$A$2:$A$104,0),MATCH(C$11,'aq-f13-ecs01 Emission Factors'!$A$2:$CH$2,0)),"")</f>
        <v>7.6</v>
      </c>
      <c r="C15" s="490"/>
      <c r="D15" s="491"/>
      <c r="E15" s="492">
        <f t="shared" si="0"/>
        <v>1.4156862745098038E-3</v>
      </c>
      <c r="F15" s="492">
        <f t="shared" si="1"/>
        <v>1.4156862745098038E-3</v>
      </c>
      <c r="G15" s="492">
        <f t="shared" si="2"/>
        <v>6.2007058823529398E-3</v>
      </c>
      <c r="H15" s="493">
        <f t="shared" si="3"/>
        <v>0</v>
      </c>
    </row>
    <row r="16" spans="1:11">
      <c r="A16" s="319" t="s">
        <v>79</v>
      </c>
      <c r="B16" s="489">
        <f>IFERROR(INDEX('aq-f13-ecs01 Emission Factors'!$A$2:$CH$104,MATCH($A16,'aq-f13-ecs01 Emission Factors'!$A$2:$A$104,0),MATCH(C$11,'aq-f13-ecs01 Emission Factors'!$A$2:$CH$2,0)),"")</f>
        <v>100</v>
      </c>
      <c r="C16" s="490"/>
      <c r="D16" s="491"/>
      <c r="E16" s="492">
        <f t="shared" si="0"/>
        <v>1.8627450980392157E-2</v>
      </c>
      <c r="F16" s="492">
        <f t="shared" si="1"/>
        <v>1.8627450980392157E-2</v>
      </c>
      <c r="G16" s="492">
        <f t="shared" si="2"/>
        <v>8.1588235294117656E-2</v>
      </c>
      <c r="H16" s="493">
        <f t="shared" si="3"/>
        <v>0</v>
      </c>
    </row>
    <row r="17" spans="1:8">
      <c r="A17" s="319" t="s">
        <v>80</v>
      </c>
      <c r="B17" s="489">
        <f>IFERROR(INDEX('aq-f13-ecs01 Emission Factors'!$A$2:$CH$104,MATCH($A17,'aq-f13-ecs01 Emission Factors'!$A$2:$A$104,0),MATCH(C$11,'aq-f13-ecs01 Emission Factors'!$A$2:$CH$2,0)),"")</f>
        <v>84</v>
      </c>
      <c r="C17" s="490"/>
      <c r="D17" s="491"/>
      <c r="E17" s="492">
        <f t="shared" si="0"/>
        <v>1.5647058823529413E-2</v>
      </c>
      <c r="F17" s="492">
        <f t="shared" si="1"/>
        <v>1.5647058823529413E-2</v>
      </c>
      <c r="G17" s="492">
        <f t="shared" si="2"/>
        <v>6.8534117647058829E-2</v>
      </c>
      <c r="H17" s="493">
        <f t="shared" si="3"/>
        <v>0</v>
      </c>
    </row>
    <row r="18" spans="1:8">
      <c r="A18" s="319" t="s">
        <v>81</v>
      </c>
      <c r="B18" s="489">
        <f>IFERROR(INDEX('aq-f13-ecs01 Emission Factors'!$A$2:$CH$104,MATCH($A18,'aq-f13-ecs01 Emission Factors'!$A$2:$A$104,0),MATCH(C$11,'aq-f13-ecs01 Emission Factors'!$A$2:$CH$2,0)),"")</f>
        <v>0.6</v>
      </c>
      <c r="C18" s="490"/>
      <c r="D18" s="491"/>
      <c r="E18" s="492">
        <f t="shared" si="0"/>
        <v>1.1176470588235293E-4</v>
      </c>
      <c r="F18" s="492">
        <f t="shared" si="1"/>
        <v>1.1176470588235293E-4</v>
      </c>
      <c r="G18" s="492">
        <f t="shared" si="2"/>
        <v>4.8952941176470582E-4</v>
      </c>
      <c r="H18" s="493">
        <f t="shared" si="3"/>
        <v>0</v>
      </c>
    </row>
    <row r="19" spans="1:8">
      <c r="A19" s="319" t="s">
        <v>82</v>
      </c>
      <c r="B19" s="489">
        <f>IFERROR(INDEX('aq-f13-ecs01 Emission Factors'!$A$2:$CH$104,MATCH($A19,'aq-f13-ecs01 Emission Factors'!$A$2:$A$104,0),MATCH(C$11,'aq-f13-ecs01 Emission Factors'!$A$2:$CH$2,0)),"")</f>
        <v>5.5</v>
      </c>
      <c r="C19" s="490"/>
      <c r="D19" s="491"/>
      <c r="E19" s="492">
        <f t="shared" si="0"/>
        <v>1.0245098039215687E-3</v>
      </c>
      <c r="F19" s="492">
        <f t="shared" si="1"/>
        <v>1.0245098039215687E-3</v>
      </c>
      <c r="G19" s="492">
        <f t="shared" si="2"/>
        <v>4.487352941176471E-3</v>
      </c>
      <c r="H19" s="493">
        <f t="shared" si="3"/>
        <v>0</v>
      </c>
    </row>
    <row r="20" spans="1:8">
      <c r="A20" s="319" t="s">
        <v>83</v>
      </c>
      <c r="B20" s="489">
        <f>IFERROR(INDEX('aq-f13-ecs01 Emission Factors'!$A$2:$CH$104,MATCH($A20,'aq-f13-ecs01 Emission Factors'!$A$2:$A$104,0),MATCH(C$11,'aq-f13-ecs01 Emission Factors'!$A$2:$CH$2,0)),"")</f>
        <v>5.0000000000000001E-4</v>
      </c>
      <c r="C20" s="490"/>
      <c r="D20" s="491"/>
      <c r="E20" s="492">
        <f t="shared" si="0"/>
        <v>9.3137254901960788E-8</v>
      </c>
      <c r="F20" s="492">
        <f t="shared" si="1"/>
        <v>9.3137254901960788E-8</v>
      </c>
      <c r="G20" s="492">
        <f t="shared" si="2"/>
        <v>4.0794117647058823E-7</v>
      </c>
      <c r="H20" s="493">
        <f t="shared" si="3"/>
        <v>0</v>
      </c>
    </row>
    <row r="21" spans="1:8" ht="13.5" thickBot="1">
      <c r="A21" s="322" t="s">
        <v>84</v>
      </c>
      <c r="B21" s="494">
        <f>IFERROR(INDEX('aq-f13-ecs01 Emission Factors'!$A$2:$CH$104,MATCH($A21,'aq-f13-ecs01 Emission Factors'!$A$2:$A$104,0),MATCH(C$11,'aq-f13-ecs01 Emission Factors'!$A$2:$CH$2,0)),"")</f>
        <v>1.8879582000000001</v>
      </c>
      <c r="C21" s="495"/>
      <c r="D21" s="496"/>
      <c r="E21" s="497">
        <f t="shared" si="0"/>
        <v>3.5167848823529417E-4</v>
      </c>
      <c r="F21" s="497">
        <f t="shared" si="1"/>
        <v>3.5167848823529417E-4</v>
      </c>
      <c r="G21" s="497">
        <f t="shared" si="2"/>
        <v>1.5403517784705885E-3</v>
      </c>
      <c r="H21" s="498">
        <f t="shared" si="3"/>
        <v>0</v>
      </c>
    </row>
    <row r="22" spans="1:8">
      <c r="A22" s="314" t="s">
        <v>85</v>
      </c>
      <c r="B22" s="484">
        <f>IFERROR(INDEX('aq-f13-ecs01 Emission Factors'!$A$2:$CH$104,MATCH($A22,'aq-f13-ecs01 Emission Factors'!$A$2:$A$104,0),MATCH(C$11,'aq-f13-ecs01 Emission Factors'!$A$2:$CH$2,0))*2.2046,"")</f>
        <v>116.97607600000001</v>
      </c>
      <c r="C22" s="485"/>
      <c r="D22" s="486"/>
      <c r="E22" s="487">
        <f>IF(C22&gt;0,C22,B22)*C$7</f>
        <v>22.22545444</v>
      </c>
      <c r="F22" s="487">
        <f>IF(C22&gt;0,C22,B22)*C$7*(1-D22)</f>
        <v>22.22545444</v>
      </c>
      <c r="G22" s="487">
        <f>IF(C22&gt;0,C22,B22)*C$7*C$9/2000</f>
        <v>97.347490447200002</v>
      </c>
      <c r="H22" s="488">
        <f>IF(C22&gt;0,C22,B22)*C$7*(1-D22)*C$10/2000</f>
        <v>0</v>
      </c>
    </row>
    <row r="23" spans="1:8">
      <c r="A23" s="319" t="s">
        <v>86</v>
      </c>
      <c r="B23" s="489">
        <f>IFERROR(INDEX('aq-f13-ecs01 Emission Factors'!$A$2:$CH$104,MATCH($A23,'aq-f13-ecs01 Emission Factors'!$A$2:$A$104,0),MATCH(C$11,'aq-f13-ecs01 Emission Factors'!$A$2:$CH$2,0))*2.2046,"")</f>
        <v>2.2046000000000001E-3</v>
      </c>
      <c r="C23" s="490"/>
      <c r="D23" s="491"/>
      <c r="E23" s="492">
        <f>IF(C23&gt;0,C23,B23)*C$7</f>
        <v>4.1887400000000001E-4</v>
      </c>
      <c r="F23" s="492">
        <f>IF(C23&gt;0,C23,B23)*C$7*(1-D23)</f>
        <v>4.1887400000000001E-4</v>
      </c>
      <c r="G23" s="492">
        <f>IF(C23&gt;0,C23,B23)*C$7*C$9/2000</f>
        <v>1.8346681200000002E-3</v>
      </c>
      <c r="H23" s="493">
        <f>IF(C23&gt;0,C23,B23)*C$7*(1-D23)*C$10/2000</f>
        <v>0</v>
      </c>
    </row>
    <row r="24" spans="1:8">
      <c r="A24" s="319" t="s">
        <v>87</v>
      </c>
      <c r="B24" s="489">
        <f>IFERROR(INDEX('aq-f13-ecs01 Emission Factors'!$A$2:$CH$104,MATCH($A24,'aq-f13-ecs01 Emission Factors'!$A$2:$A$104,0),MATCH(C$11,'aq-f13-ecs01 Emission Factors'!$A$2:$CH$2,0))*2.2046,"")</f>
        <v>2.2046000000000001E-4</v>
      </c>
      <c r="C24" s="490"/>
      <c r="D24" s="491"/>
      <c r="E24" s="492">
        <f>IF(C24&gt;0,C24,B24)*C$7</f>
        <v>4.1887400000000001E-5</v>
      </c>
      <c r="F24" s="492">
        <f>IF(C24&gt;0,C24,B24)*C$7*(1-D24)</f>
        <v>4.1887400000000001E-5</v>
      </c>
      <c r="G24" s="492">
        <f>IF(C24&gt;0,C24,B24)*C$7*C$9/2000</f>
        <v>1.83466812E-4</v>
      </c>
      <c r="H24" s="493">
        <f>IF(C24&gt;0,C24,B24)*C$7*(1-D24)*C$10/2000</f>
        <v>0</v>
      </c>
    </row>
    <row r="25" spans="1:8" ht="13.5" thickBot="1">
      <c r="A25" s="322" t="s">
        <v>88</v>
      </c>
      <c r="B25" s="499">
        <f>IFERROR(INDEX('aq-f13-ecs01 Emission Factors'!$A$2:$CH$104,MATCH($A25,'aq-f13-ecs01 Emission Factors'!$A$2:$A$104,0),MATCH(C$11,'aq-f13-ecs01 Emission Factors'!$A$2:$CH$2,0))*2.2046,"")</f>
        <v>117.09688808000001</v>
      </c>
      <c r="C25" s="500"/>
      <c r="D25" s="501"/>
      <c r="E25" s="502">
        <f>IF(C25&gt;0,C25,B25)*C$7</f>
        <v>22.248408735200002</v>
      </c>
      <c r="F25" s="502">
        <f>IF(C25&gt;0,C25,B25)*C$7*(1-D25)</f>
        <v>22.248408735200002</v>
      </c>
      <c r="G25" s="502">
        <f>IF(C25&gt;0,C25,B25)*C$7*C$9/2000</f>
        <v>97.448030260176012</v>
      </c>
      <c r="H25" s="503">
        <f>IF(C25&gt;0,C25,B25)*C$7*(1-D25)*C$10/2000</f>
        <v>0</v>
      </c>
    </row>
    <row r="26" spans="1:8">
      <c r="A26" s="314" t="s">
        <v>89</v>
      </c>
      <c r="B26" s="504">
        <f>IFERROR(INDEX('aq-f13-ecs01 Emission Factors'!$A$2:$CH$104,MATCH($A26,'aq-f13-ecs01 Emission Factors'!$A$2:$A$104,0),MATCH(C$11,'aq-f13-ecs01 Emission Factors'!$A$2:$CH$2,0)),"")</f>
        <v>1.1999999999999999E-3</v>
      </c>
      <c r="C26" s="485"/>
      <c r="D26" s="486"/>
      <c r="E26" s="505">
        <f t="shared" ref="E26:E41" si="4">IF(C26&gt;0,C26,B26)*C$8</f>
        <v>2.2352941176470587E-7</v>
      </c>
      <c r="F26" s="505">
        <f t="shared" ref="F26:F41" si="5">IF(C26&gt;0,C26,B26)*C$8*(1-D26)</f>
        <v>2.2352941176470587E-7</v>
      </c>
      <c r="G26" s="505">
        <f t="shared" ref="G26:G41" si="6">IF(C26&gt;0,C26,B26)*C$8*C$9/2000</f>
        <v>9.7905882352941158E-7</v>
      </c>
      <c r="H26" s="506">
        <f t="shared" ref="H26:H41" si="7">IF(C26&gt;0,C26,B26)*C$8*(1-D26)*C$10/2000</f>
        <v>0</v>
      </c>
    </row>
    <row r="27" spans="1:8">
      <c r="A27" s="327" t="s">
        <v>90</v>
      </c>
      <c r="B27" s="504">
        <f>IFERROR(INDEX('aq-f13-ecs01 Emission Factors'!$A$2:$CH$104,MATCH($A27,'aq-f13-ecs01 Emission Factors'!$A$2:$A$104,0),MATCH(C$11,'aq-f13-ecs01 Emission Factors'!$A$2:$CH$2,0)),"")</f>
        <v>2.0000000000000001E-4</v>
      </c>
      <c r="C27" s="507"/>
      <c r="D27" s="508"/>
      <c r="E27" s="505">
        <f t="shared" si="4"/>
        <v>3.7254901960784314E-8</v>
      </c>
      <c r="F27" s="505">
        <f t="shared" si="5"/>
        <v>3.7254901960784314E-8</v>
      </c>
      <c r="G27" s="505">
        <f t="shared" si="6"/>
        <v>1.6317647058823531E-7</v>
      </c>
      <c r="H27" s="506">
        <f t="shared" si="7"/>
        <v>0</v>
      </c>
    </row>
    <row r="28" spans="1:8">
      <c r="A28" s="319" t="s">
        <v>91</v>
      </c>
      <c r="B28" s="489">
        <f>IFERROR(INDEX('aq-f13-ecs01 Emission Factors'!$A$2:$CH$104,MATCH($A28,'aq-f13-ecs01 Emission Factors'!$A$2:$A$104,0),MATCH(C$11,'aq-f13-ecs01 Emission Factors'!$A$2:$CH$2,0)),"")</f>
        <v>2.0999999999999999E-3</v>
      </c>
      <c r="C28" s="490"/>
      <c r="D28" s="491"/>
      <c r="E28" s="492">
        <f t="shared" si="4"/>
        <v>3.9117647058823526E-7</v>
      </c>
      <c r="F28" s="492">
        <f t="shared" si="5"/>
        <v>3.9117647058823526E-7</v>
      </c>
      <c r="G28" s="492">
        <f t="shared" si="6"/>
        <v>1.7133529411764703E-6</v>
      </c>
      <c r="H28" s="493">
        <f t="shared" si="7"/>
        <v>0</v>
      </c>
    </row>
    <row r="29" spans="1:8">
      <c r="A29" s="319" t="s">
        <v>92</v>
      </c>
      <c r="B29" s="489">
        <f>IFERROR(INDEX('aq-f13-ecs01 Emission Factors'!$A$2:$CH$104,MATCH($A29,'aq-f13-ecs01 Emission Factors'!$A$2:$A$104,0),MATCH(C$11,'aq-f13-ecs01 Emission Factors'!$A$2:$CH$2,0)),"")</f>
        <v>1.2E-5</v>
      </c>
      <c r="C29" s="490"/>
      <c r="D29" s="491"/>
      <c r="E29" s="492">
        <f t="shared" si="4"/>
        <v>2.2352941176470589E-9</v>
      </c>
      <c r="F29" s="492">
        <f t="shared" si="5"/>
        <v>2.2352941176470589E-9</v>
      </c>
      <c r="G29" s="492">
        <f t="shared" si="6"/>
        <v>9.7905882352941168E-9</v>
      </c>
      <c r="H29" s="493">
        <f t="shared" si="7"/>
        <v>0</v>
      </c>
    </row>
    <row r="30" spans="1:8">
      <c r="A30" s="319" t="s">
        <v>93</v>
      </c>
      <c r="B30" s="489">
        <f>IFERROR(INDEX('aq-f13-ecs01 Emission Factors'!$A$2:$CH$104,MATCH($A30,'aq-f13-ecs01 Emission Factors'!$A$2:$A$104,0),MATCH(C$11,'aq-f13-ecs01 Emission Factors'!$A$2:$CH$2,0)),"")</f>
        <v>1.1000000000000001E-3</v>
      </c>
      <c r="C30" s="490"/>
      <c r="D30" s="491"/>
      <c r="E30" s="492">
        <f t="shared" si="4"/>
        <v>2.0490196078431374E-7</v>
      </c>
      <c r="F30" s="492">
        <f t="shared" si="5"/>
        <v>2.0490196078431374E-7</v>
      </c>
      <c r="G30" s="492">
        <f t="shared" si="6"/>
        <v>8.9747058823529412E-7</v>
      </c>
      <c r="H30" s="493">
        <f t="shared" si="7"/>
        <v>0</v>
      </c>
    </row>
    <row r="31" spans="1:8">
      <c r="A31" s="319" t="s">
        <v>94</v>
      </c>
      <c r="B31" s="489">
        <f>IFERROR(INDEX('aq-f13-ecs01 Emission Factors'!$A$2:$CH$104,MATCH($A31,'aq-f13-ecs01 Emission Factors'!$A$2:$A$104,0),MATCH(C$11,'aq-f13-ecs01 Emission Factors'!$A$2:$CH$2,0)),"")</f>
        <v>1.4E-3</v>
      </c>
      <c r="C31" s="490"/>
      <c r="D31" s="491"/>
      <c r="E31" s="492">
        <f t="shared" si="4"/>
        <v>2.6078431372549019E-7</v>
      </c>
      <c r="F31" s="492">
        <f t="shared" si="5"/>
        <v>2.6078431372549019E-7</v>
      </c>
      <c r="G31" s="492">
        <f t="shared" si="6"/>
        <v>1.1422352941176471E-6</v>
      </c>
      <c r="H31" s="493">
        <f t="shared" si="7"/>
        <v>0</v>
      </c>
    </row>
    <row r="32" spans="1:8">
      <c r="A32" s="319" t="s">
        <v>95</v>
      </c>
      <c r="B32" s="489">
        <f>IFERROR(INDEX('aq-f13-ecs01 Emission Factors'!$A$2:$CH$104,MATCH($A32,'aq-f13-ecs01 Emission Factors'!$A$2:$A$104,0),MATCH(C$11,'aq-f13-ecs01 Emission Factors'!$A$2:$CH$2,0)),"")</f>
        <v>8.3999999999999995E-5</v>
      </c>
      <c r="C32" s="490"/>
      <c r="D32" s="491"/>
      <c r="E32" s="492">
        <f t="shared" si="4"/>
        <v>1.5647058823529411E-8</v>
      </c>
      <c r="F32" s="492">
        <f t="shared" si="5"/>
        <v>1.5647058823529411E-8</v>
      </c>
      <c r="G32" s="492">
        <f t="shared" si="6"/>
        <v>6.8534117647058816E-8</v>
      </c>
      <c r="H32" s="493">
        <f t="shared" si="7"/>
        <v>0</v>
      </c>
    </row>
    <row r="33" spans="1:8">
      <c r="A33" s="319" t="s">
        <v>96</v>
      </c>
      <c r="B33" s="489">
        <f>IFERROR(INDEX('aq-f13-ecs01 Emission Factors'!$A$2:$CH$104,MATCH($A33,'aq-f13-ecs01 Emission Factors'!$A$2:$A$104,0),MATCH(C$11,'aq-f13-ecs01 Emission Factors'!$A$2:$CH$2,0)),"")</f>
        <v>7.4999999999999997E-2</v>
      </c>
      <c r="C33" s="490"/>
      <c r="D33" s="491"/>
      <c r="E33" s="492">
        <f t="shared" si="4"/>
        <v>1.3970588235294116E-5</v>
      </c>
      <c r="F33" s="492">
        <f t="shared" si="5"/>
        <v>1.3970588235294116E-5</v>
      </c>
      <c r="G33" s="492">
        <f t="shared" si="6"/>
        <v>6.1191176470588228E-5</v>
      </c>
      <c r="H33" s="493">
        <f t="shared" si="7"/>
        <v>0</v>
      </c>
    </row>
    <row r="34" spans="1:8">
      <c r="A34" s="319" t="s">
        <v>97</v>
      </c>
      <c r="B34" s="489">
        <f>IFERROR(INDEX('aq-f13-ecs01 Emission Factors'!$A$2:$CH$104,MATCH($A34,'aq-f13-ecs01 Emission Factors'!$A$2:$A$104,0),MATCH(C$11,'aq-f13-ecs01 Emission Factors'!$A$2:$CH$2,0)),"")</f>
        <v>1.8</v>
      </c>
      <c r="C34" s="490"/>
      <c r="D34" s="491"/>
      <c r="E34" s="492">
        <f t="shared" si="4"/>
        <v>3.3529411764705885E-4</v>
      </c>
      <c r="F34" s="492">
        <f t="shared" si="5"/>
        <v>3.3529411764705885E-4</v>
      </c>
      <c r="G34" s="492">
        <f t="shared" si="6"/>
        <v>1.4685882352941178E-3</v>
      </c>
      <c r="H34" s="493">
        <f t="shared" si="7"/>
        <v>0</v>
      </c>
    </row>
    <row r="35" spans="1:8">
      <c r="A35" s="319" t="s">
        <v>98</v>
      </c>
      <c r="B35" s="489">
        <f>IFERROR(INDEX('aq-f13-ecs01 Emission Factors'!$A$2:$CH$104,MATCH($A35,'aq-f13-ecs01 Emission Factors'!$A$2:$A$104,0),MATCH(C$11,'aq-f13-ecs01 Emission Factors'!$A$2:$CH$2,0)),"")</f>
        <v>3.8000000000000002E-4</v>
      </c>
      <c r="C35" s="490"/>
      <c r="D35" s="491"/>
      <c r="E35" s="492">
        <f t="shared" si="4"/>
        <v>7.0784313725490195E-8</v>
      </c>
      <c r="F35" s="492">
        <f t="shared" si="5"/>
        <v>7.0784313725490195E-8</v>
      </c>
      <c r="G35" s="492">
        <f t="shared" si="6"/>
        <v>3.1003529411764707E-7</v>
      </c>
      <c r="H35" s="493">
        <f t="shared" si="7"/>
        <v>0</v>
      </c>
    </row>
    <row r="36" spans="1:8">
      <c r="A36" s="319" t="s">
        <v>99</v>
      </c>
      <c r="B36" s="489">
        <f>IFERROR(INDEX('aq-f13-ecs01 Emission Factors'!$A$2:$CH$104,MATCH($A36,'aq-f13-ecs01 Emission Factors'!$A$2:$A$104,0),MATCH(C$11,'aq-f13-ecs01 Emission Factors'!$A$2:$CH$2,0)),"")</f>
        <v>2.5999999999999998E-4</v>
      </c>
      <c r="C36" s="490"/>
      <c r="D36" s="491"/>
      <c r="E36" s="492">
        <f t="shared" si="4"/>
        <v>4.8431372549019603E-8</v>
      </c>
      <c r="F36" s="492">
        <f t="shared" si="5"/>
        <v>4.8431372549019603E-8</v>
      </c>
      <c r="G36" s="492">
        <f t="shared" si="6"/>
        <v>2.1212941176470586E-7</v>
      </c>
      <c r="H36" s="493">
        <f t="shared" si="7"/>
        <v>0</v>
      </c>
    </row>
    <row r="37" spans="1:8">
      <c r="A37" s="319" t="s">
        <v>100</v>
      </c>
      <c r="B37" s="489">
        <f>IFERROR(INDEX('aq-f13-ecs01 Emission Factors'!$A$2:$CH$104,MATCH($A37,'aq-f13-ecs01 Emission Factors'!$A$2:$A$104,0),MATCH(C$11,'aq-f13-ecs01 Emission Factors'!$A$2:$CH$2,0)),"")</f>
        <v>6.0999999999999997E-4</v>
      </c>
      <c r="C37" s="490"/>
      <c r="D37" s="491"/>
      <c r="E37" s="492">
        <f t="shared" si="4"/>
        <v>1.1362745098039215E-7</v>
      </c>
      <c r="F37" s="492">
        <f t="shared" si="5"/>
        <v>1.1362745098039215E-7</v>
      </c>
      <c r="G37" s="492">
        <f t="shared" si="6"/>
        <v>4.9768823529411769E-7</v>
      </c>
      <c r="H37" s="493">
        <f t="shared" si="7"/>
        <v>0</v>
      </c>
    </row>
    <row r="38" spans="1:8">
      <c r="A38" s="319" t="s">
        <v>101</v>
      </c>
      <c r="B38" s="489">
        <f>IFERROR(INDEX('aq-f13-ecs01 Emission Factors'!$A$2:$CH$104,MATCH($A38,'aq-f13-ecs01 Emission Factors'!$A$2:$A$104,0),MATCH(C$11,'aq-f13-ecs01 Emission Factors'!$A$2:$CH$2,0)),"")</f>
        <v>2.0999999999999999E-3</v>
      </c>
      <c r="C38" s="490"/>
      <c r="D38" s="491"/>
      <c r="E38" s="492">
        <f t="shared" si="4"/>
        <v>3.9117647058823526E-7</v>
      </c>
      <c r="F38" s="492">
        <f t="shared" si="5"/>
        <v>3.9117647058823526E-7</v>
      </c>
      <c r="G38" s="492">
        <f t="shared" si="6"/>
        <v>1.7133529411764703E-6</v>
      </c>
      <c r="H38" s="493">
        <f t="shared" si="7"/>
        <v>0</v>
      </c>
    </row>
    <row r="39" spans="1:8">
      <c r="A39" s="319" t="s">
        <v>102</v>
      </c>
      <c r="B39" s="489">
        <f>IFERROR(INDEX('aq-f13-ecs01 Emission Factors'!$A$2:$CH$104,MATCH($A39,'aq-f13-ecs01 Emission Factors'!$A$2:$A$104,0),MATCH(C$11,'aq-f13-ecs01 Emission Factors'!$A$2:$CH$2,0)),"")</f>
        <v>6.9819999999999995E-4</v>
      </c>
      <c r="C39" s="490"/>
      <c r="D39" s="491"/>
      <c r="E39" s="492">
        <f t="shared" si="4"/>
        <v>1.3005686274509802E-7</v>
      </c>
      <c r="F39" s="492">
        <f t="shared" si="5"/>
        <v>1.3005686274509802E-7</v>
      </c>
      <c r="G39" s="492">
        <f t="shared" si="6"/>
        <v>5.6964905882352936E-7</v>
      </c>
      <c r="H39" s="493">
        <f t="shared" si="7"/>
        <v>0</v>
      </c>
    </row>
    <row r="40" spans="1:8">
      <c r="A40" s="319" t="s">
        <v>103</v>
      </c>
      <c r="B40" s="489">
        <f>IFERROR(INDEX('aq-f13-ecs01 Emission Factors'!$A$2:$CH$104,MATCH($A40,'aq-f13-ecs01 Emission Factors'!$A$2:$A$104,0),MATCH(C$11,'aq-f13-ecs01 Emission Factors'!$A$2:$CH$2,0)),"")</f>
        <v>2.4000000000000001E-5</v>
      </c>
      <c r="C40" s="490"/>
      <c r="D40" s="491"/>
      <c r="E40" s="492">
        <f t="shared" si="4"/>
        <v>4.4705882352941178E-9</v>
      </c>
      <c r="F40" s="492">
        <f t="shared" si="5"/>
        <v>4.4705882352941178E-9</v>
      </c>
      <c r="G40" s="492">
        <f t="shared" si="6"/>
        <v>1.9581176470588234E-8</v>
      </c>
      <c r="H40" s="493">
        <f t="shared" si="7"/>
        <v>0</v>
      </c>
    </row>
    <row r="41" spans="1:8" ht="13.5" thickBot="1">
      <c r="A41" s="322" t="s">
        <v>104</v>
      </c>
      <c r="B41" s="499">
        <f>IFERROR(INDEX('aq-f13-ecs01 Emission Factors'!$A$2:$CH$104,MATCH($A41,'aq-f13-ecs01 Emission Factors'!$A$2:$A$104,0),MATCH(C$11,'aq-f13-ecs01 Emission Factors'!$A$2:$CH$2,0)),"")</f>
        <v>3.3999999999999998E-3</v>
      </c>
      <c r="C41" s="500"/>
      <c r="D41" s="501"/>
      <c r="E41" s="502">
        <f t="shared" si="4"/>
        <v>6.3333333333333334E-7</v>
      </c>
      <c r="F41" s="502">
        <f t="shared" si="5"/>
        <v>6.3333333333333334E-7</v>
      </c>
      <c r="G41" s="502">
        <f t="shared" si="6"/>
        <v>2.774E-6</v>
      </c>
      <c r="H41" s="503">
        <f t="shared" si="7"/>
        <v>0</v>
      </c>
    </row>
    <row r="42" spans="1:8">
      <c r="A42" s="465"/>
      <c r="B42" s="509" t="s">
        <v>105</v>
      </c>
      <c r="C42" s="510"/>
      <c r="D42" s="465"/>
      <c r="E42" s="465"/>
      <c r="F42" s="465"/>
      <c r="G42" s="465"/>
      <c r="H42" s="465"/>
    </row>
    <row r="43" spans="1:8">
      <c r="A43" s="465"/>
      <c r="B43" s="511" t="s">
        <v>106</v>
      </c>
      <c r="C43" s="512"/>
      <c r="D43" s="512"/>
      <c r="E43" s="512"/>
      <c r="F43" s="513"/>
      <c r="G43" s="514"/>
      <c r="H43" s="514"/>
    </row>
    <row r="44" spans="1:8">
      <c r="A44" s="465"/>
      <c r="B44" s="510"/>
      <c r="C44" s="510"/>
      <c r="D44" s="510"/>
      <c r="E44" s="510"/>
      <c r="F44" s="510"/>
      <c r="G44" s="510"/>
      <c r="H44" s="510"/>
    </row>
    <row r="45" spans="1:8">
      <c r="A45" s="515"/>
      <c r="B45" s="516" t="s">
        <v>107</v>
      </c>
      <c r="C45" s="465"/>
      <c r="D45" s="465"/>
      <c r="E45" s="465"/>
      <c r="F45" s="465"/>
      <c r="G45" s="465"/>
      <c r="H45" s="517"/>
    </row>
    <row r="46" spans="1:8">
      <c r="A46" s="515"/>
      <c r="B46" s="465" t="s">
        <v>108</v>
      </c>
      <c r="C46" s="518"/>
      <c r="D46" s="518"/>
      <c r="E46" s="518"/>
      <c r="F46" s="518"/>
      <c r="G46" s="518"/>
      <c r="H46" s="517"/>
    </row>
    <row r="47" spans="1:8">
      <c r="A47" s="515"/>
      <c r="B47" s="518" t="s">
        <v>109</v>
      </c>
      <c r="C47" s="465"/>
      <c r="D47" s="465"/>
      <c r="E47" s="465"/>
      <c r="F47" s="518"/>
      <c r="G47" s="518"/>
      <c r="H47" s="517"/>
    </row>
  </sheetData>
  <protectedRanges>
    <protectedRange sqref="B42:H42" name="Notes_1"/>
  </protectedRanges>
  <dataValidations count="1">
    <dataValidation type="list" allowBlank="1" showInputMessage="1" showErrorMessage="1" sqref="C11" xr:uid="{7695629E-65E1-4732-BCA5-96D10BA55735}">
      <formula1>$A$46:$A$55</formula1>
    </dataValidation>
  </dataValidations>
  <pageMargins left="0.7" right="0.7" top="0.75" bottom="0.75" header="0.3" footer="0.3"/>
  <pageSetup scale="75"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B2C12-0DA5-44F7-BDE3-E31195F3E287}">
  <sheetPr codeName="Sheet23">
    <pageSetUpPr fitToPage="1"/>
  </sheetPr>
  <dimension ref="A1:K47"/>
  <sheetViews>
    <sheetView zoomScaleNormal="100" workbookViewId="0">
      <selection activeCell="A2" sqref="A2"/>
    </sheetView>
  </sheetViews>
  <sheetFormatPr defaultColWidth="9.1796875" defaultRowHeight="13"/>
  <cols>
    <col min="1" max="1" width="26.7265625" style="220" customWidth="1"/>
    <col min="2" max="8" width="19.7265625" style="220" customWidth="1"/>
    <col min="9" max="16384" width="9.1796875" style="220"/>
  </cols>
  <sheetData>
    <row r="1" spans="1:11" s="459" customFormat="1" ht="18.75" customHeight="1">
      <c r="A1" s="458" t="s">
        <v>985</v>
      </c>
      <c r="C1" s="221" t="s">
        <v>867</v>
      </c>
      <c r="D1" s="221"/>
      <c r="E1" s="460"/>
      <c r="F1" s="460"/>
      <c r="G1" s="460"/>
      <c r="H1" s="589" t="s">
        <v>59</v>
      </c>
      <c r="I1" s="460"/>
      <c r="J1" s="460"/>
      <c r="K1" s="460"/>
    </row>
    <row r="2" spans="1:11" ht="18.75" customHeight="1">
      <c r="A2" s="458"/>
      <c r="C2" s="221" t="s">
        <v>983</v>
      </c>
      <c r="D2" s="221"/>
      <c r="E2" s="462"/>
      <c r="F2" s="462"/>
      <c r="G2" s="462"/>
      <c r="H2" s="590" t="s">
        <v>60</v>
      </c>
      <c r="I2" s="462"/>
      <c r="J2" s="462"/>
      <c r="K2" s="462"/>
    </row>
    <row r="3" spans="1:11" ht="14.25" customHeight="1">
      <c r="A3" s="516" t="s">
        <v>932</v>
      </c>
      <c r="C3" s="461"/>
      <c r="D3" s="463"/>
      <c r="E3" s="463"/>
      <c r="F3" s="463"/>
      <c r="G3" s="463"/>
      <c r="H3" s="591" t="s">
        <v>61</v>
      </c>
      <c r="I3" s="463"/>
      <c r="J3" s="463"/>
      <c r="K3" s="463"/>
    </row>
    <row r="4" spans="1:11" ht="14.25" customHeight="1">
      <c r="A4" s="516" t="s">
        <v>933</v>
      </c>
      <c r="C4" s="464"/>
      <c r="D4" s="463"/>
      <c r="E4" s="463"/>
      <c r="F4" s="463"/>
      <c r="G4" s="463"/>
      <c r="H4" s="591" t="s">
        <v>62</v>
      </c>
      <c r="I4" s="463"/>
      <c r="J4" s="463"/>
      <c r="K4" s="463"/>
    </row>
    <row r="5" spans="1:11" ht="19" thickBot="1">
      <c r="A5" s="458"/>
    </row>
    <row r="6" spans="1:11">
      <c r="A6" s="465"/>
      <c r="B6" s="466" t="s">
        <v>63</v>
      </c>
      <c r="C6" s="942" t="s">
        <v>934</v>
      </c>
      <c r="D6" s="468"/>
      <c r="E6" s="468"/>
      <c r="F6" s="468"/>
      <c r="G6" s="468"/>
      <c r="H6" s="469"/>
    </row>
    <row r="7" spans="1:11">
      <c r="A7" s="465"/>
      <c r="B7" s="470" t="s">
        <v>64</v>
      </c>
      <c r="C7" s="471">
        <f>ROUNDUP(36*2900/1000000,2)</f>
        <v>0.11</v>
      </c>
      <c r="D7" s="465"/>
      <c r="E7" s="465"/>
      <c r="F7" s="465"/>
      <c r="G7" s="465"/>
      <c r="H7" s="472"/>
    </row>
    <row r="8" spans="1:11">
      <c r="A8" s="465"/>
      <c r="B8" s="470" t="s">
        <v>65</v>
      </c>
      <c r="C8" s="471">
        <f>C7/1020</f>
        <v>1.0784313725490196E-4</v>
      </c>
      <c r="D8" s="465"/>
      <c r="E8" s="465"/>
      <c r="F8" s="465"/>
      <c r="G8" s="465"/>
      <c r="H8" s="472"/>
    </row>
    <row r="9" spans="1:11">
      <c r="A9" s="465"/>
      <c r="B9" s="473" t="s">
        <v>66</v>
      </c>
      <c r="C9" s="474">
        <v>8760</v>
      </c>
      <c r="D9" s="465"/>
      <c r="E9" s="465"/>
      <c r="F9" s="465"/>
      <c r="G9" s="465"/>
      <c r="H9" s="472"/>
    </row>
    <row r="10" spans="1:11">
      <c r="A10" s="465"/>
      <c r="B10" s="473" t="s">
        <v>67</v>
      </c>
      <c r="C10" s="474"/>
      <c r="D10" s="465"/>
      <c r="E10" s="465"/>
      <c r="F10" s="465"/>
      <c r="G10" s="465"/>
      <c r="H10" s="472"/>
    </row>
    <row r="11" spans="1:11" ht="13.5" thickBot="1">
      <c r="A11" s="465"/>
      <c r="B11" s="475" t="s">
        <v>68</v>
      </c>
      <c r="C11" s="476" t="s">
        <v>69</v>
      </c>
      <c r="D11" s="477"/>
      <c r="E11" s="477"/>
      <c r="F11" s="477"/>
      <c r="G11" s="477"/>
      <c r="H11" s="478"/>
    </row>
    <row r="12" spans="1:11" ht="39.5" thickBot="1">
      <c r="A12" s="479" t="s">
        <v>70</v>
      </c>
      <c r="B12" s="480" t="s">
        <v>71</v>
      </c>
      <c r="C12" s="481" t="s">
        <v>72</v>
      </c>
      <c r="D12" s="481" t="s">
        <v>73</v>
      </c>
      <c r="E12" s="481" t="s">
        <v>831</v>
      </c>
      <c r="F12" s="482" t="s">
        <v>74</v>
      </c>
      <c r="G12" s="482" t="s">
        <v>75</v>
      </c>
      <c r="H12" s="483" t="s">
        <v>76</v>
      </c>
    </row>
    <row r="13" spans="1:11">
      <c r="A13" s="314" t="s">
        <v>19</v>
      </c>
      <c r="B13" s="484">
        <f>IFERROR(INDEX('aq-f13-ecs01 Emission Factors'!$A$2:$CH$104,MATCH($A13,'aq-f13-ecs01 Emission Factors'!$A$2:$A$104,0),MATCH(C$11,'aq-f13-ecs01 Emission Factors'!$A$2:$CH$2,0)),"")</f>
        <v>7.6</v>
      </c>
      <c r="C13" s="485"/>
      <c r="D13" s="486"/>
      <c r="E13" s="487">
        <f t="shared" ref="E13:E21" si="0">IF(C13&gt;0,C13,B13)*C$8</f>
        <v>8.1960784313725487E-4</v>
      </c>
      <c r="F13" s="487">
        <f t="shared" ref="F13:F21" si="1">IF(C13&gt;0,C13,B13)*C$8*(1-D13)</f>
        <v>8.1960784313725487E-4</v>
      </c>
      <c r="G13" s="487">
        <f t="shared" ref="G13:G21" si="2">IF(C13&gt;0,C13,B13)*C$8*C$9/2000</f>
        <v>3.5898823529411767E-3</v>
      </c>
      <c r="H13" s="488">
        <f t="shared" ref="H13:H21" si="3">IF(C13&gt;0,C13,B13)*C$8*(1-D13)*C$10/2000</f>
        <v>0</v>
      </c>
    </row>
    <row r="14" spans="1:11">
      <c r="A14" s="319" t="s">
        <v>77</v>
      </c>
      <c r="B14" s="489">
        <f>IFERROR(INDEX('aq-f13-ecs01 Emission Factors'!$A$2:$CH$104,MATCH($A14,'aq-f13-ecs01 Emission Factors'!$A$2:$A$104,0),MATCH(C$11,'aq-f13-ecs01 Emission Factors'!$A$2:$CH$2,0)),"")</f>
        <v>7.6</v>
      </c>
      <c r="C14" s="490"/>
      <c r="D14" s="491"/>
      <c r="E14" s="492">
        <f t="shared" si="0"/>
        <v>8.1960784313725487E-4</v>
      </c>
      <c r="F14" s="492">
        <f t="shared" si="1"/>
        <v>8.1960784313725487E-4</v>
      </c>
      <c r="G14" s="492">
        <f t="shared" si="2"/>
        <v>3.5898823529411767E-3</v>
      </c>
      <c r="H14" s="493">
        <f t="shared" si="3"/>
        <v>0</v>
      </c>
    </row>
    <row r="15" spans="1:11">
      <c r="A15" s="319" t="s">
        <v>78</v>
      </c>
      <c r="B15" s="489">
        <f>IFERROR(INDEX('aq-f13-ecs01 Emission Factors'!$A$2:$CH$104,MATCH($A15,'aq-f13-ecs01 Emission Factors'!$A$2:$A$104,0),MATCH(C$11,'aq-f13-ecs01 Emission Factors'!$A$2:$CH$2,0)),"")</f>
        <v>7.6</v>
      </c>
      <c r="C15" s="490"/>
      <c r="D15" s="491"/>
      <c r="E15" s="492">
        <f t="shared" si="0"/>
        <v>8.1960784313725487E-4</v>
      </c>
      <c r="F15" s="492">
        <f t="shared" si="1"/>
        <v>8.1960784313725487E-4</v>
      </c>
      <c r="G15" s="492">
        <f t="shared" si="2"/>
        <v>3.5898823529411767E-3</v>
      </c>
      <c r="H15" s="493">
        <f t="shared" si="3"/>
        <v>0</v>
      </c>
    </row>
    <row r="16" spans="1:11">
      <c r="A16" s="319" t="s">
        <v>79</v>
      </c>
      <c r="B16" s="489">
        <f>IFERROR(INDEX('aq-f13-ecs01 Emission Factors'!$A$2:$CH$104,MATCH($A16,'aq-f13-ecs01 Emission Factors'!$A$2:$A$104,0),MATCH(C$11,'aq-f13-ecs01 Emission Factors'!$A$2:$CH$2,0)),"")</f>
        <v>100</v>
      </c>
      <c r="C16" s="490"/>
      <c r="D16" s="491"/>
      <c r="E16" s="492">
        <f t="shared" si="0"/>
        <v>1.0784313725490196E-2</v>
      </c>
      <c r="F16" s="492">
        <f t="shared" si="1"/>
        <v>1.0784313725490196E-2</v>
      </c>
      <c r="G16" s="492">
        <f t="shared" si="2"/>
        <v>4.7235294117647056E-2</v>
      </c>
      <c r="H16" s="493">
        <f t="shared" si="3"/>
        <v>0</v>
      </c>
    </row>
    <row r="17" spans="1:8">
      <c r="A17" s="319" t="s">
        <v>80</v>
      </c>
      <c r="B17" s="489">
        <f>IFERROR(INDEX('aq-f13-ecs01 Emission Factors'!$A$2:$CH$104,MATCH($A17,'aq-f13-ecs01 Emission Factors'!$A$2:$A$104,0),MATCH(C$11,'aq-f13-ecs01 Emission Factors'!$A$2:$CH$2,0)),"")</f>
        <v>84</v>
      </c>
      <c r="C17" s="490"/>
      <c r="D17" s="491"/>
      <c r="E17" s="492">
        <f t="shared" si="0"/>
        <v>9.058823529411765E-3</v>
      </c>
      <c r="F17" s="492">
        <f t="shared" si="1"/>
        <v>9.058823529411765E-3</v>
      </c>
      <c r="G17" s="492">
        <f t="shared" si="2"/>
        <v>3.9677647058823533E-2</v>
      </c>
      <c r="H17" s="493">
        <f t="shared" si="3"/>
        <v>0</v>
      </c>
    </row>
    <row r="18" spans="1:8">
      <c r="A18" s="319" t="s">
        <v>81</v>
      </c>
      <c r="B18" s="489">
        <f>IFERROR(INDEX('aq-f13-ecs01 Emission Factors'!$A$2:$CH$104,MATCH($A18,'aq-f13-ecs01 Emission Factors'!$A$2:$A$104,0),MATCH(C$11,'aq-f13-ecs01 Emission Factors'!$A$2:$CH$2,0)),"")</f>
        <v>0.6</v>
      </c>
      <c r="C18" s="490"/>
      <c r="D18" s="491"/>
      <c r="E18" s="492">
        <f t="shared" si="0"/>
        <v>6.4705882352941171E-5</v>
      </c>
      <c r="F18" s="492">
        <f t="shared" si="1"/>
        <v>6.4705882352941171E-5</v>
      </c>
      <c r="G18" s="492">
        <f t="shared" si="2"/>
        <v>2.8341176470588229E-4</v>
      </c>
      <c r="H18" s="493">
        <f t="shared" si="3"/>
        <v>0</v>
      </c>
    </row>
    <row r="19" spans="1:8">
      <c r="A19" s="319" t="s">
        <v>82</v>
      </c>
      <c r="B19" s="489">
        <f>IFERROR(INDEX('aq-f13-ecs01 Emission Factors'!$A$2:$CH$104,MATCH($A19,'aq-f13-ecs01 Emission Factors'!$A$2:$A$104,0),MATCH(C$11,'aq-f13-ecs01 Emission Factors'!$A$2:$CH$2,0)),"")</f>
        <v>5.5</v>
      </c>
      <c r="C19" s="490"/>
      <c r="D19" s="491"/>
      <c r="E19" s="492">
        <f t="shared" si="0"/>
        <v>5.9313725490196074E-4</v>
      </c>
      <c r="F19" s="492">
        <f t="shared" si="1"/>
        <v>5.9313725490196074E-4</v>
      </c>
      <c r="G19" s="492">
        <f t="shared" si="2"/>
        <v>2.597941176470588E-3</v>
      </c>
      <c r="H19" s="493">
        <f t="shared" si="3"/>
        <v>0</v>
      </c>
    </row>
    <row r="20" spans="1:8">
      <c r="A20" s="319" t="s">
        <v>83</v>
      </c>
      <c r="B20" s="489">
        <f>IFERROR(INDEX('aq-f13-ecs01 Emission Factors'!$A$2:$CH$104,MATCH($A20,'aq-f13-ecs01 Emission Factors'!$A$2:$A$104,0),MATCH(C$11,'aq-f13-ecs01 Emission Factors'!$A$2:$CH$2,0)),"")</f>
        <v>5.0000000000000001E-4</v>
      </c>
      <c r="C20" s="490"/>
      <c r="D20" s="491"/>
      <c r="E20" s="492">
        <f t="shared" si="0"/>
        <v>5.3921568627450984E-8</v>
      </c>
      <c r="F20" s="492">
        <f t="shared" si="1"/>
        <v>5.3921568627450984E-8</v>
      </c>
      <c r="G20" s="492">
        <f t="shared" si="2"/>
        <v>2.3617647058823531E-7</v>
      </c>
      <c r="H20" s="493">
        <f t="shared" si="3"/>
        <v>0</v>
      </c>
    </row>
    <row r="21" spans="1:8" ht="13.5" thickBot="1">
      <c r="A21" s="322" t="s">
        <v>84</v>
      </c>
      <c r="B21" s="494">
        <f>IFERROR(INDEX('aq-f13-ecs01 Emission Factors'!$A$2:$CH$104,MATCH($A21,'aq-f13-ecs01 Emission Factors'!$A$2:$A$104,0),MATCH(C$11,'aq-f13-ecs01 Emission Factors'!$A$2:$CH$2,0)),"")</f>
        <v>1.8879582000000001</v>
      </c>
      <c r="C21" s="495"/>
      <c r="D21" s="496"/>
      <c r="E21" s="497">
        <f t="shared" si="0"/>
        <v>2.0360333529411767E-4</v>
      </c>
      <c r="F21" s="497">
        <f t="shared" si="1"/>
        <v>2.0360333529411767E-4</v>
      </c>
      <c r="G21" s="497">
        <f t="shared" si="2"/>
        <v>8.917826085882354E-4</v>
      </c>
      <c r="H21" s="498">
        <f t="shared" si="3"/>
        <v>0</v>
      </c>
    </row>
    <row r="22" spans="1:8">
      <c r="A22" s="314" t="s">
        <v>85</v>
      </c>
      <c r="B22" s="484">
        <f>IFERROR(INDEX('aq-f13-ecs01 Emission Factors'!$A$2:$CH$104,MATCH($A22,'aq-f13-ecs01 Emission Factors'!$A$2:$A$104,0),MATCH(C$11,'aq-f13-ecs01 Emission Factors'!$A$2:$CH$2,0))*2.2046,"")</f>
        <v>116.97607600000001</v>
      </c>
      <c r="C22" s="485"/>
      <c r="D22" s="486"/>
      <c r="E22" s="487">
        <f>IF(C22&gt;0,C22,B22)*C$7</f>
        <v>12.86736836</v>
      </c>
      <c r="F22" s="487">
        <f>IF(C22&gt;0,C22,B22)*C$7*(1-D22)</f>
        <v>12.86736836</v>
      </c>
      <c r="G22" s="487">
        <f>IF(C22&gt;0,C22,B22)*C$7*C$9/2000</f>
        <v>56.359073416800008</v>
      </c>
      <c r="H22" s="488">
        <f>IF(C22&gt;0,C22,B22)*C$7*(1-D22)*C$10/2000</f>
        <v>0</v>
      </c>
    </row>
    <row r="23" spans="1:8">
      <c r="A23" s="319" t="s">
        <v>86</v>
      </c>
      <c r="B23" s="489">
        <f>IFERROR(INDEX('aq-f13-ecs01 Emission Factors'!$A$2:$CH$104,MATCH($A23,'aq-f13-ecs01 Emission Factors'!$A$2:$A$104,0),MATCH(C$11,'aq-f13-ecs01 Emission Factors'!$A$2:$CH$2,0))*2.2046,"")</f>
        <v>2.2046000000000001E-3</v>
      </c>
      <c r="C23" s="490"/>
      <c r="D23" s="491"/>
      <c r="E23" s="492">
        <f>IF(C23&gt;0,C23,B23)*C$7</f>
        <v>2.4250600000000003E-4</v>
      </c>
      <c r="F23" s="492">
        <f>IF(C23&gt;0,C23,B23)*C$7*(1-D23)</f>
        <v>2.4250600000000003E-4</v>
      </c>
      <c r="G23" s="492">
        <f>IF(C23&gt;0,C23,B23)*C$7*C$9/2000</f>
        <v>1.0621762800000001E-3</v>
      </c>
      <c r="H23" s="493">
        <f>IF(C23&gt;0,C23,B23)*C$7*(1-D23)*C$10/2000</f>
        <v>0</v>
      </c>
    </row>
    <row r="24" spans="1:8">
      <c r="A24" s="319" t="s">
        <v>87</v>
      </c>
      <c r="B24" s="489">
        <f>IFERROR(INDEX('aq-f13-ecs01 Emission Factors'!$A$2:$CH$104,MATCH($A24,'aq-f13-ecs01 Emission Factors'!$A$2:$A$104,0),MATCH(C$11,'aq-f13-ecs01 Emission Factors'!$A$2:$CH$2,0))*2.2046,"")</f>
        <v>2.2046000000000001E-4</v>
      </c>
      <c r="C24" s="490"/>
      <c r="D24" s="491"/>
      <c r="E24" s="492">
        <f>IF(C24&gt;0,C24,B24)*C$7</f>
        <v>2.4250600000000001E-5</v>
      </c>
      <c r="F24" s="492">
        <f>IF(C24&gt;0,C24,B24)*C$7*(1-D24)</f>
        <v>2.4250600000000001E-5</v>
      </c>
      <c r="G24" s="492">
        <f>IF(C24&gt;0,C24,B24)*C$7*C$9/2000</f>
        <v>1.0621762800000001E-4</v>
      </c>
      <c r="H24" s="493">
        <f>IF(C24&gt;0,C24,B24)*C$7*(1-D24)*C$10/2000</f>
        <v>0</v>
      </c>
    </row>
    <row r="25" spans="1:8" ht="13.5" thickBot="1">
      <c r="A25" s="322" t="s">
        <v>88</v>
      </c>
      <c r="B25" s="499">
        <f>IFERROR(INDEX('aq-f13-ecs01 Emission Factors'!$A$2:$CH$104,MATCH($A25,'aq-f13-ecs01 Emission Factors'!$A$2:$A$104,0),MATCH(C$11,'aq-f13-ecs01 Emission Factors'!$A$2:$CH$2,0))*2.2046,"")</f>
        <v>117.09688808000001</v>
      </c>
      <c r="C25" s="500"/>
      <c r="D25" s="501"/>
      <c r="E25" s="502">
        <f>IF(C25&gt;0,C25,B25)*C$7</f>
        <v>12.880657688800001</v>
      </c>
      <c r="F25" s="502">
        <f>IF(C25&gt;0,C25,B25)*C$7*(1-D25)</f>
        <v>12.880657688800001</v>
      </c>
      <c r="G25" s="502">
        <f>IF(C25&gt;0,C25,B25)*C$7*C$9/2000</f>
        <v>56.41728067694401</v>
      </c>
      <c r="H25" s="503">
        <f>IF(C25&gt;0,C25,B25)*C$7*(1-D25)*C$10/2000</f>
        <v>0</v>
      </c>
    </row>
    <row r="26" spans="1:8">
      <c r="A26" s="314" t="s">
        <v>89</v>
      </c>
      <c r="B26" s="504">
        <f>IFERROR(INDEX('aq-f13-ecs01 Emission Factors'!$A$2:$CH$104,MATCH($A26,'aq-f13-ecs01 Emission Factors'!$A$2:$A$104,0),MATCH(C$11,'aq-f13-ecs01 Emission Factors'!$A$2:$CH$2,0)),"")</f>
        <v>1.1999999999999999E-3</v>
      </c>
      <c r="C26" s="485"/>
      <c r="D26" s="486"/>
      <c r="E26" s="505">
        <f t="shared" ref="E26:E41" si="4">IF(C26&gt;0,C26,B26)*C$8</f>
        <v>1.2941176470588233E-7</v>
      </c>
      <c r="F26" s="505">
        <f t="shared" ref="F26:F41" si="5">IF(C26&gt;0,C26,B26)*C$8*(1-D26)</f>
        <v>1.2941176470588233E-7</v>
      </c>
      <c r="G26" s="505">
        <f t="shared" ref="G26:G41" si="6">IF(C26&gt;0,C26,B26)*C$8*C$9/2000</f>
        <v>5.6682352941176456E-7</v>
      </c>
      <c r="H26" s="506">
        <f t="shared" ref="H26:H41" si="7">IF(C26&gt;0,C26,B26)*C$8*(1-D26)*C$10/2000</f>
        <v>0</v>
      </c>
    </row>
    <row r="27" spans="1:8">
      <c r="A27" s="327" t="s">
        <v>90</v>
      </c>
      <c r="B27" s="504">
        <f>IFERROR(INDEX('aq-f13-ecs01 Emission Factors'!$A$2:$CH$104,MATCH($A27,'aq-f13-ecs01 Emission Factors'!$A$2:$A$104,0),MATCH(C$11,'aq-f13-ecs01 Emission Factors'!$A$2:$CH$2,0)),"")</f>
        <v>2.0000000000000001E-4</v>
      </c>
      <c r="C27" s="507"/>
      <c r="D27" s="508"/>
      <c r="E27" s="505">
        <f t="shared" si="4"/>
        <v>2.1568627450980392E-8</v>
      </c>
      <c r="F27" s="505">
        <f t="shared" si="5"/>
        <v>2.1568627450980392E-8</v>
      </c>
      <c r="G27" s="505">
        <f t="shared" si="6"/>
        <v>9.447058823529412E-8</v>
      </c>
      <c r="H27" s="506">
        <f t="shared" si="7"/>
        <v>0</v>
      </c>
    </row>
    <row r="28" spans="1:8">
      <c r="A28" s="319" t="s">
        <v>91</v>
      </c>
      <c r="B28" s="489">
        <f>IFERROR(INDEX('aq-f13-ecs01 Emission Factors'!$A$2:$CH$104,MATCH($A28,'aq-f13-ecs01 Emission Factors'!$A$2:$A$104,0),MATCH(C$11,'aq-f13-ecs01 Emission Factors'!$A$2:$CH$2,0)),"")</f>
        <v>2.0999999999999999E-3</v>
      </c>
      <c r="C28" s="490"/>
      <c r="D28" s="491"/>
      <c r="E28" s="492">
        <f t="shared" si="4"/>
        <v>2.2647058823529411E-7</v>
      </c>
      <c r="F28" s="492">
        <f t="shared" si="5"/>
        <v>2.2647058823529411E-7</v>
      </c>
      <c r="G28" s="492">
        <f t="shared" si="6"/>
        <v>9.9194117647058827E-7</v>
      </c>
      <c r="H28" s="493">
        <f t="shared" si="7"/>
        <v>0</v>
      </c>
    </row>
    <row r="29" spans="1:8">
      <c r="A29" s="319" t="s">
        <v>92</v>
      </c>
      <c r="B29" s="489">
        <f>IFERROR(INDEX('aq-f13-ecs01 Emission Factors'!$A$2:$CH$104,MATCH($A29,'aq-f13-ecs01 Emission Factors'!$A$2:$A$104,0),MATCH(C$11,'aq-f13-ecs01 Emission Factors'!$A$2:$CH$2,0)),"")</f>
        <v>1.2E-5</v>
      </c>
      <c r="C29" s="490"/>
      <c r="D29" s="491"/>
      <c r="E29" s="492">
        <f t="shared" si="4"/>
        <v>1.2941176470588236E-9</v>
      </c>
      <c r="F29" s="492">
        <f t="shared" si="5"/>
        <v>1.2941176470588236E-9</v>
      </c>
      <c r="G29" s="492">
        <f t="shared" si="6"/>
        <v>5.6682352941176478E-9</v>
      </c>
      <c r="H29" s="493">
        <f t="shared" si="7"/>
        <v>0</v>
      </c>
    </row>
    <row r="30" spans="1:8">
      <c r="A30" s="319" t="s">
        <v>93</v>
      </c>
      <c r="B30" s="489">
        <f>IFERROR(INDEX('aq-f13-ecs01 Emission Factors'!$A$2:$CH$104,MATCH($A30,'aq-f13-ecs01 Emission Factors'!$A$2:$A$104,0),MATCH(C$11,'aq-f13-ecs01 Emission Factors'!$A$2:$CH$2,0)),"")</f>
        <v>1.1000000000000001E-3</v>
      </c>
      <c r="C30" s="490"/>
      <c r="D30" s="491"/>
      <c r="E30" s="492">
        <f t="shared" si="4"/>
        <v>1.1862745098039217E-7</v>
      </c>
      <c r="F30" s="492">
        <f t="shared" si="5"/>
        <v>1.1862745098039217E-7</v>
      </c>
      <c r="G30" s="492">
        <f t="shared" si="6"/>
        <v>5.1958823529411775E-7</v>
      </c>
      <c r="H30" s="493">
        <f t="shared" si="7"/>
        <v>0</v>
      </c>
    </row>
    <row r="31" spans="1:8">
      <c r="A31" s="319" t="s">
        <v>94</v>
      </c>
      <c r="B31" s="489">
        <f>IFERROR(INDEX('aq-f13-ecs01 Emission Factors'!$A$2:$CH$104,MATCH($A31,'aq-f13-ecs01 Emission Factors'!$A$2:$A$104,0),MATCH(C$11,'aq-f13-ecs01 Emission Factors'!$A$2:$CH$2,0)),"")</f>
        <v>1.4E-3</v>
      </c>
      <c r="C31" s="490"/>
      <c r="D31" s="491"/>
      <c r="E31" s="492">
        <f t="shared" si="4"/>
        <v>1.5098039215686273E-7</v>
      </c>
      <c r="F31" s="492">
        <f t="shared" si="5"/>
        <v>1.5098039215686273E-7</v>
      </c>
      <c r="G31" s="492">
        <f t="shared" si="6"/>
        <v>6.6129411764705871E-7</v>
      </c>
      <c r="H31" s="493">
        <f t="shared" si="7"/>
        <v>0</v>
      </c>
    </row>
    <row r="32" spans="1:8">
      <c r="A32" s="319" t="s">
        <v>95</v>
      </c>
      <c r="B32" s="489">
        <f>IFERROR(INDEX('aq-f13-ecs01 Emission Factors'!$A$2:$CH$104,MATCH($A32,'aq-f13-ecs01 Emission Factors'!$A$2:$A$104,0),MATCH(C$11,'aq-f13-ecs01 Emission Factors'!$A$2:$CH$2,0)),"")</f>
        <v>8.3999999999999995E-5</v>
      </c>
      <c r="C32" s="490"/>
      <c r="D32" s="491"/>
      <c r="E32" s="492">
        <f t="shared" si="4"/>
        <v>9.0588235294117635E-9</v>
      </c>
      <c r="F32" s="492">
        <f t="shared" si="5"/>
        <v>9.0588235294117635E-9</v>
      </c>
      <c r="G32" s="492">
        <f t="shared" si="6"/>
        <v>3.9677647058823529E-8</v>
      </c>
      <c r="H32" s="493">
        <f t="shared" si="7"/>
        <v>0</v>
      </c>
    </row>
    <row r="33" spans="1:8">
      <c r="A33" s="319" t="s">
        <v>96</v>
      </c>
      <c r="B33" s="489">
        <f>IFERROR(INDEX('aq-f13-ecs01 Emission Factors'!$A$2:$CH$104,MATCH($A33,'aq-f13-ecs01 Emission Factors'!$A$2:$A$104,0),MATCH(C$11,'aq-f13-ecs01 Emission Factors'!$A$2:$CH$2,0)),"")</f>
        <v>7.4999999999999997E-2</v>
      </c>
      <c r="C33" s="490"/>
      <c r="D33" s="491"/>
      <c r="E33" s="492">
        <f t="shared" si="4"/>
        <v>8.0882352941176464E-6</v>
      </c>
      <c r="F33" s="492">
        <f t="shared" si="5"/>
        <v>8.0882352941176464E-6</v>
      </c>
      <c r="G33" s="492">
        <f t="shared" si="6"/>
        <v>3.5426470588235286E-5</v>
      </c>
      <c r="H33" s="493">
        <f t="shared" si="7"/>
        <v>0</v>
      </c>
    </row>
    <row r="34" spans="1:8">
      <c r="A34" s="319" t="s">
        <v>97</v>
      </c>
      <c r="B34" s="489">
        <f>IFERROR(INDEX('aq-f13-ecs01 Emission Factors'!$A$2:$CH$104,MATCH($A34,'aq-f13-ecs01 Emission Factors'!$A$2:$A$104,0),MATCH(C$11,'aq-f13-ecs01 Emission Factors'!$A$2:$CH$2,0)),"")</f>
        <v>1.8</v>
      </c>
      <c r="C34" s="490"/>
      <c r="D34" s="491"/>
      <c r="E34" s="492">
        <f t="shared" si="4"/>
        <v>1.9411764705882354E-4</v>
      </c>
      <c r="F34" s="492">
        <f t="shared" si="5"/>
        <v>1.9411764705882354E-4</v>
      </c>
      <c r="G34" s="492">
        <f t="shared" si="6"/>
        <v>8.5023529411764709E-4</v>
      </c>
      <c r="H34" s="493">
        <f t="shared" si="7"/>
        <v>0</v>
      </c>
    </row>
    <row r="35" spans="1:8">
      <c r="A35" s="319" t="s">
        <v>98</v>
      </c>
      <c r="B35" s="489">
        <f>IFERROR(INDEX('aq-f13-ecs01 Emission Factors'!$A$2:$CH$104,MATCH($A35,'aq-f13-ecs01 Emission Factors'!$A$2:$A$104,0),MATCH(C$11,'aq-f13-ecs01 Emission Factors'!$A$2:$CH$2,0)),"")</f>
        <v>3.8000000000000002E-4</v>
      </c>
      <c r="C35" s="490"/>
      <c r="D35" s="491"/>
      <c r="E35" s="492">
        <f t="shared" si="4"/>
        <v>4.0980392156862746E-8</v>
      </c>
      <c r="F35" s="492">
        <f t="shared" si="5"/>
        <v>4.0980392156862746E-8</v>
      </c>
      <c r="G35" s="492">
        <f t="shared" si="6"/>
        <v>1.7949411764705882E-7</v>
      </c>
      <c r="H35" s="493">
        <f t="shared" si="7"/>
        <v>0</v>
      </c>
    </row>
    <row r="36" spans="1:8">
      <c r="A36" s="319" t="s">
        <v>99</v>
      </c>
      <c r="B36" s="489">
        <f>IFERROR(INDEX('aq-f13-ecs01 Emission Factors'!$A$2:$CH$104,MATCH($A36,'aq-f13-ecs01 Emission Factors'!$A$2:$A$104,0),MATCH(C$11,'aq-f13-ecs01 Emission Factors'!$A$2:$CH$2,0)),"")</f>
        <v>2.5999999999999998E-4</v>
      </c>
      <c r="C36" s="490"/>
      <c r="D36" s="491"/>
      <c r="E36" s="492">
        <f t="shared" si="4"/>
        <v>2.8039215686274507E-8</v>
      </c>
      <c r="F36" s="492">
        <f t="shared" si="5"/>
        <v>2.8039215686274507E-8</v>
      </c>
      <c r="G36" s="492">
        <f t="shared" si="6"/>
        <v>1.2281176470588234E-7</v>
      </c>
      <c r="H36" s="493">
        <f t="shared" si="7"/>
        <v>0</v>
      </c>
    </row>
    <row r="37" spans="1:8">
      <c r="A37" s="319" t="s">
        <v>100</v>
      </c>
      <c r="B37" s="489">
        <f>IFERROR(INDEX('aq-f13-ecs01 Emission Factors'!$A$2:$CH$104,MATCH($A37,'aq-f13-ecs01 Emission Factors'!$A$2:$A$104,0),MATCH(C$11,'aq-f13-ecs01 Emission Factors'!$A$2:$CH$2,0)),"")</f>
        <v>6.0999999999999997E-4</v>
      </c>
      <c r="C37" s="490"/>
      <c r="D37" s="491"/>
      <c r="E37" s="492">
        <f t="shared" si="4"/>
        <v>6.578431372549019E-8</v>
      </c>
      <c r="F37" s="492">
        <f t="shared" si="5"/>
        <v>6.578431372549019E-8</v>
      </c>
      <c r="G37" s="492">
        <f t="shared" si="6"/>
        <v>2.8813529411764701E-7</v>
      </c>
      <c r="H37" s="493">
        <f t="shared" si="7"/>
        <v>0</v>
      </c>
    </row>
    <row r="38" spans="1:8">
      <c r="A38" s="319" t="s">
        <v>101</v>
      </c>
      <c r="B38" s="489">
        <f>IFERROR(INDEX('aq-f13-ecs01 Emission Factors'!$A$2:$CH$104,MATCH($A38,'aq-f13-ecs01 Emission Factors'!$A$2:$A$104,0),MATCH(C$11,'aq-f13-ecs01 Emission Factors'!$A$2:$CH$2,0)),"")</f>
        <v>2.0999999999999999E-3</v>
      </c>
      <c r="C38" s="490"/>
      <c r="D38" s="491"/>
      <c r="E38" s="492">
        <f t="shared" si="4"/>
        <v>2.2647058823529411E-7</v>
      </c>
      <c r="F38" s="492">
        <f t="shared" si="5"/>
        <v>2.2647058823529411E-7</v>
      </c>
      <c r="G38" s="492">
        <f t="shared" si="6"/>
        <v>9.9194117647058827E-7</v>
      </c>
      <c r="H38" s="493">
        <f t="shared" si="7"/>
        <v>0</v>
      </c>
    </row>
    <row r="39" spans="1:8">
      <c r="A39" s="319" t="s">
        <v>102</v>
      </c>
      <c r="B39" s="489">
        <f>IFERROR(INDEX('aq-f13-ecs01 Emission Factors'!$A$2:$CH$104,MATCH($A39,'aq-f13-ecs01 Emission Factors'!$A$2:$A$104,0),MATCH(C$11,'aq-f13-ecs01 Emission Factors'!$A$2:$CH$2,0)),"")</f>
        <v>6.9819999999999995E-4</v>
      </c>
      <c r="C39" s="490"/>
      <c r="D39" s="491"/>
      <c r="E39" s="492">
        <f t="shared" si="4"/>
        <v>7.5296078431372539E-8</v>
      </c>
      <c r="F39" s="492">
        <f t="shared" si="5"/>
        <v>7.5296078431372539E-8</v>
      </c>
      <c r="G39" s="492">
        <f t="shared" si="6"/>
        <v>3.297968235294117E-7</v>
      </c>
      <c r="H39" s="493">
        <f t="shared" si="7"/>
        <v>0</v>
      </c>
    </row>
    <row r="40" spans="1:8">
      <c r="A40" s="319" t="s">
        <v>103</v>
      </c>
      <c r="B40" s="489">
        <f>IFERROR(INDEX('aq-f13-ecs01 Emission Factors'!$A$2:$CH$104,MATCH($A40,'aq-f13-ecs01 Emission Factors'!$A$2:$A$104,0),MATCH(C$11,'aq-f13-ecs01 Emission Factors'!$A$2:$CH$2,0)),"")</f>
        <v>2.4000000000000001E-5</v>
      </c>
      <c r="C40" s="490"/>
      <c r="D40" s="491"/>
      <c r="E40" s="492">
        <f t="shared" si="4"/>
        <v>2.5882352941176472E-9</v>
      </c>
      <c r="F40" s="492">
        <f t="shared" si="5"/>
        <v>2.5882352941176472E-9</v>
      </c>
      <c r="G40" s="492">
        <f t="shared" si="6"/>
        <v>1.1336470588235296E-8</v>
      </c>
      <c r="H40" s="493">
        <f t="shared" si="7"/>
        <v>0</v>
      </c>
    </row>
    <row r="41" spans="1:8" ht="13.5" thickBot="1">
      <c r="A41" s="322" t="s">
        <v>104</v>
      </c>
      <c r="B41" s="499">
        <f>IFERROR(INDEX('aq-f13-ecs01 Emission Factors'!$A$2:$CH$104,MATCH($A41,'aq-f13-ecs01 Emission Factors'!$A$2:$A$104,0),MATCH(C$11,'aq-f13-ecs01 Emission Factors'!$A$2:$CH$2,0)),"")</f>
        <v>3.3999999999999998E-3</v>
      </c>
      <c r="C41" s="500"/>
      <c r="D41" s="501"/>
      <c r="E41" s="502">
        <f t="shared" si="4"/>
        <v>3.6666666666666667E-7</v>
      </c>
      <c r="F41" s="502">
        <f t="shared" si="5"/>
        <v>3.6666666666666667E-7</v>
      </c>
      <c r="G41" s="502">
        <f t="shared" si="6"/>
        <v>1.606E-6</v>
      </c>
      <c r="H41" s="503">
        <f t="shared" si="7"/>
        <v>0</v>
      </c>
    </row>
    <row r="42" spans="1:8">
      <c r="A42" s="465"/>
      <c r="B42" s="509" t="s">
        <v>105</v>
      </c>
      <c r="C42" s="510"/>
      <c r="D42" s="465"/>
      <c r="E42" s="465"/>
      <c r="F42" s="465"/>
      <c r="G42" s="465"/>
      <c r="H42" s="465"/>
    </row>
    <row r="43" spans="1:8">
      <c r="A43" s="465"/>
      <c r="B43" s="511" t="s">
        <v>106</v>
      </c>
      <c r="C43" s="512"/>
      <c r="D43" s="512"/>
      <c r="E43" s="512"/>
      <c r="F43" s="513"/>
      <c r="G43" s="514"/>
      <c r="H43" s="514"/>
    </row>
    <row r="44" spans="1:8">
      <c r="A44" s="465"/>
      <c r="B44" s="510"/>
      <c r="C44" s="510"/>
      <c r="D44" s="510"/>
      <c r="E44" s="510"/>
      <c r="F44" s="510"/>
      <c r="G44" s="510"/>
      <c r="H44" s="510"/>
    </row>
    <row r="45" spans="1:8">
      <c r="A45" s="515"/>
      <c r="B45" s="516" t="s">
        <v>107</v>
      </c>
      <c r="C45" s="465"/>
      <c r="D45" s="465"/>
      <c r="E45" s="465"/>
      <c r="F45" s="465"/>
      <c r="G45" s="465"/>
      <c r="H45" s="517"/>
    </row>
    <row r="46" spans="1:8">
      <c r="A46" s="515"/>
      <c r="B46" s="465" t="s">
        <v>108</v>
      </c>
      <c r="C46" s="518"/>
      <c r="D46" s="518"/>
      <c r="E46" s="518"/>
      <c r="F46" s="518"/>
      <c r="G46" s="518"/>
      <c r="H46" s="517"/>
    </row>
    <row r="47" spans="1:8">
      <c r="A47" s="515"/>
      <c r="B47" s="518" t="s">
        <v>109</v>
      </c>
      <c r="C47" s="465"/>
      <c r="D47" s="465"/>
      <c r="E47" s="465"/>
      <c r="F47" s="518"/>
      <c r="G47" s="518"/>
      <c r="H47" s="517"/>
    </row>
  </sheetData>
  <protectedRanges>
    <protectedRange sqref="B42:H42" name="Notes_1"/>
  </protectedRanges>
  <dataValidations count="1">
    <dataValidation type="list" allowBlank="1" showInputMessage="1" showErrorMessage="1" sqref="C11" xr:uid="{F8D2C943-2677-4FBB-91B6-81326E4C68DA}">
      <formula1>$A$46:$A$55</formula1>
    </dataValidation>
  </dataValidations>
  <pageMargins left="0.7" right="0.7" top="0.75" bottom="0.75" header="0.3" footer="0.3"/>
  <pageSetup scale="75"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E1683-FF50-4D61-9622-74F4705283CB}">
  <sheetPr codeName="Sheet24">
    <pageSetUpPr fitToPage="1"/>
  </sheetPr>
  <dimension ref="A1:K47"/>
  <sheetViews>
    <sheetView zoomScaleNormal="100" workbookViewId="0">
      <selection activeCell="A2" sqref="A2"/>
    </sheetView>
  </sheetViews>
  <sheetFormatPr defaultColWidth="9.1796875" defaultRowHeight="13"/>
  <cols>
    <col min="1" max="1" width="26.7265625" style="220" customWidth="1"/>
    <col min="2" max="8" width="19.7265625" style="220" customWidth="1"/>
    <col min="9" max="16384" width="9.1796875" style="220"/>
  </cols>
  <sheetData>
    <row r="1" spans="1:11" s="459" customFormat="1" ht="18.75" customHeight="1">
      <c r="A1" s="458" t="s">
        <v>986</v>
      </c>
      <c r="C1" s="221" t="s">
        <v>867</v>
      </c>
      <c r="D1" s="221"/>
      <c r="E1" s="460"/>
      <c r="F1" s="460"/>
      <c r="G1" s="460"/>
      <c r="H1" s="589" t="s">
        <v>59</v>
      </c>
      <c r="I1" s="460"/>
      <c r="J1" s="460"/>
      <c r="K1" s="460"/>
    </row>
    <row r="2" spans="1:11" ht="18.75" customHeight="1">
      <c r="A2" s="458"/>
      <c r="C2" s="221" t="s">
        <v>983</v>
      </c>
      <c r="D2" s="221"/>
      <c r="E2" s="462"/>
      <c r="F2" s="462"/>
      <c r="G2" s="462"/>
      <c r="H2" s="590" t="s">
        <v>60</v>
      </c>
      <c r="I2" s="462"/>
      <c r="J2" s="462"/>
      <c r="K2" s="462"/>
    </row>
    <row r="3" spans="1:11" ht="14.25" customHeight="1">
      <c r="A3" s="516" t="s">
        <v>932</v>
      </c>
      <c r="C3" s="461"/>
      <c r="D3" s="463"/>
      <c r="E3" s="463"/>
      <c r="F3" s="463"/>
      <c r="G3" s="463"/>
      <c r="H3" s="591" t="s">
        <v>61</v>
      </c>
      <c r="I3" s="463"/>
      <c r="J3" s="463"/>
      <c r="K3" s="463"/>
    </row>
    <row r="4" spans="1:11" ht="14.25" customHeight="1">
      <c r="A4" s="516" t="s">
        <v>933</v>
      </c>
      <c r="C4" s="464"/>
      <c r="D4" s="463"/>
      <c r="E4" s="463"/>
      <c r="F4" s="463"/>
      <c r="G4" s="463"/>
      <c r="H4" s="591" t="s">
        <v>62</v>
      </c>
      <c r="I4" s="463"/>
      <c r="J4" s="463"/>
      <c r="K4" s="463"/>
    </row>
    <row r="5" spans="1:11" ht="19" thickBot="1">
      <c r="A5" s="458"/>
    </row>
    <row r="6" spans="1:11">
      <c r="A6" s="465"/>
      <c r="B6" s="466" t="s">
        <v>63</v>
      </c>
      <c r="C6" s="942" t="s">
        <v>931</v>
      </c>
      <c r="D6" s="468"/>
      <c r="E6" s="468"/>
      <c r="F6" s="468"/>
      <c r="G6" s="468"/>
      <c r="H6" s="469"/>
    </row>
    <row r="7" spans="1:11">
      <c r="A7" s="465"/>
      <c r="B7" s="470" t="s">
        <v>64</v>
      </c>
      <c r="C7" s="471">
        <f>ROUNDUP(52*2900/1000000,2)</f>
        <v>0.16</v>
      </c>
      <c r="D7" s="465"/>
      <c r="E7" s="465"/>
      <c r="F7" s="465"/>
      <c r="G7" s="465"/>
      <c r="H7" s="472"/>
    </row>
    <row r="8" spans="1:11">
      <c r="A8" s="465"/>
      <c r="B8" s="470" t="s">
        <v>65</v>
      </c>
      <c r="C8" s="471">
        <f>C7/1020</f>
        <v>1.5686274509803922E-4</v>
      </c>
      <c r="D8" s="465"/>
      <c r="E8" s="465"/>
      <c r="F8" s="465"/>
      <c r="G8" s="465"/>
      <c r="H8" s="472"/>
    </row>
    <row r="9" spans="1:11">
      <c r="A9" s="465"/>
      <c r="B9" s="473" t="s">
        <v>66</v>
      </c>
      <c r="C9" s="474">
        <v>8760</v>
      </c>
      <c r="D9" s="465"/>
      <c r="E9" s="465"/>
      <c r="F9" s="465"/>
      <c r="G9" s="465"/>
      <c r="H9" s="472"/>
    </row>
    <row r="10" spans="1:11">
      <c r="A10" s="465"/>
      <c r="B10" s="473" t="s">
        <v>67</v>
      </c>
      <c r="C10" s="474"/>
      <c r="D10" s="465"/>
      <c r="E10" s="465"/>
      <c r="F10" s="465"/>
      <c r="G10" s="465"/>
      <c r="H10" s="472"/>
    </row>
    <row r="11" spans="1:11" ht="13.5" thickBot="1">
      <c r="A11" s="465"/>
      <c r="B11" s="475" t="s">
        <v>68</v>
      </c>
      <c r="C11" s="476" t="s">
        <v>69</v>
      </c>
      <c r="D11" s="477"/>
      <c r="E11" s="477"/>
      <c r="F11" s="477"/>
      <c r="G11" s="477"/>
      <c r="H11" s="478"/>
    </row>
    <row r="12" spans="1:11" ht="39.5" thickBot="1">
      <c r="A12" s="479" t="s">
        <v>70</v>
      </c>
      <c r="B12" s="480" t="s">
        <v>71</v>
      </c>
      <c r="C12" s="481" t="s">
        <v>72</v>
      </c>
      <c r="D12" s="481" t="s">
        <v>73</v>
      </c>
      <c r="E12" s="481" t="s">
        <v>831</v>
      </c>
      <c r="F12" s="482" t="s">
        <v>74</v>
      </c>
      <c r="G12" s="482" t="s">
        <v>75</v>
      </c>
      <c r="H12" s="483" t="s">
        <v>76</v>
      </c>
    </row>
    <row r="13" spans="1:11">
      <c r="A13" s="314" t="s">
        <v>19</v>
      </c>
      <c r="B13" s="484">
        <f>IFERROR(INDEX('aq-f13-ecs01 Emission Factors'!$A$2:$CH$104,MATCH($A13,'aq-f13-ecs01 Emission Factors'!$A$2:$A$104,0),MATCH(C$11,'aq-f13-ecs01 Emission Factors'!$A$2:$CH$2,0)),"")</f>
        <v>7.6</v>
      </c>
      <c r="C13" s="485"/>
      <c r="D13" s="486"/>
      <c r="E13" s="487">
        <f t="shared" ref="E13:E21" si="0">IF(C13&gt;0,C13,B13)*C$8</f>
        <v>1.192156862745098E-3</v>
      </c>
      <c r="F13" s="487">
        <f t="shared" ref="F13:F21" si="1">IF(C13&gt;0,C13,B13)*C$8*(1-D13)</f>
        <v>1.192156862745098E-3</v>
      </c>
      <c r="G13" s="487">
        <f t="shared" ref="G13:G21" si="2">IF(C13&gt;0,C13,B13)*C$8*C$9/2000</f>
        <v>5.2216470588235288E-3</v>
      </c>
      <c r="H13" s="488">
        <f t="shared" ref="H13:H21" si="3">IF(C13&gt;0,C13,B13)*C$8*(1-D13)*C$10/2000</f>
        <v>0</v>
      </c>
    </row>
    <row r="14" spans="1:11">
      <c r="A14" s="319" t="s">
        <v>77</v>
      </c>
      <c r="B14" s="489">
        <f>IFERROR(INDEX('aq-f13-ecs01 Emission Factors'!$A$2:$CH$104,MATCH($A14,'aq-f13-ecs01 Emission Factors'!$A$2:$A$104,0),MATCH(C$11,'aq-f13-ecs01 Emission Factors'!$A$2:$CH$2,0)),"")</f>
        <v>7.6</v>
      </c>
      <c r="C14" s="490"/>
      <c r="D14" s="491"/>
      <c r="E14" s="492">
        <f t="shared" si="0"/>
        <v>1.192156862745098E-3</v>
      </c>
      <c r="F14" s="492">
        <f t="shared" si="1"/>
        <v>1.192156862745098E-3</v>
      </c>
      <c r="G14" s="492">
        <f t="shared" si="2"/>
        <v>5.2216470588235288E-3</v>
      </c>
      <c r="H14" s="493">
        <f t="shared" si="3"/>
        <v>0</v>
      </c>
    </row>
    <row r="15" spans="1:11">
      <c r="A15" s="319" t="s">
        <v>78</v>
      </c>
      <c r="B15" s="489">
        <f>IFERROR(INDEX('aq-f13-ecs01 Emission Factors'!$A$2:$CH$104,MATCH($A15,'aq-f13-ecs01 Emission Factors'!$A$2:$A$104,0),MATCH(C$11,'aq-f13-ecs01 Emission Factors'!$A$2:$CH$2,0)),"")</f>
        <v>7.6</v>
      </c>
      <c r="C15" s="490"/>
      <c r="D15" s="491"/>
      <c r="E15" s="492">
        <f t="shared" si="0"/>
        <v>1.192156862745098E-3</v>
      </c>
      <c r="F15" s="492">
        <f t="shared" si="1"/>
        <v>1.192156862745098E-3</v>
      </c>
      <c r="G15" s="492">
        <f t="shared" si="2"/>
        <v>5.2216470588235288E-3</v>
      </c>
      <c r="H15" s="493">
        <f t="shared" si="3"/>
        <v>0</v>
      </c>
    </row>
    <row r="16" spans="1:11">
      <c r="A16" s="319" t="s">
        <v>79</v>
      </c>
      <c r="B16" s="489">
        <f>IFERROR(INDEX('aq-f13-ecs01 Emission Factors'!$A$2:$CH$104,MATCH($A16,'aq-f13-ecs01 Emission Factors'!$A$2:$A$104,0),MATCH(C$11,'aq-f13-ecs01 Emission Factors'!$A$2:$CH$2,0)),"")</f>
        <v>100</v>
      </c>
      <c r="C16" s="490"/>
      <c r="D16" s="491"/>
      <c r="E16" s="492">
        <f t="shared" si="0"/>
        <v>1.5686274509803921E-2</v>
      </c>
      <c r="F16" s="492">
        <f t="shared" si="1"/>
        <v>1.5686274509803921E-2</v>
      </c>
      <c r="G16" s="492">
        <f t="shared" si="2"/>
        <v>6.8705882352941172E-2</v>
      </c>
      <c r="H16" s="493">
        <f t="shared" si="3"/>
        <v>0</v>
      </c>
    </row>
    <row r="17" spans="1:8">
      <c r="A17" s="319" t="s">
        <v>80</v>
      </c>
      <c r="B17" s="489">
        <f>IFERROR(INDEX('aq-f13-ecs01 Emission Factors'!$A$2:$CH$104,MATCH($A17,'aq-f13-ecs01 Emission Factors'!$A$2:$A$104,0),MATCH(C$11,'aq-f13-ecs01 Emission Factors'!$A$2:$CH$2,0)),"")</f>
        <v>84</v>
      </c>
      <c r="C17" s="490"/>
      <c r="D17" s="491"/>
      <c r="E17" s="492">
        <f t="shared" si="0"/>
        <v>1.3176470588235295E-2</v>
      </c>
      <c r="F17" s="492">
        <f t="shared" si="1"/>
        <v>1.3176470588235295E-2</v>
      </c>
      <c r="G17" s="492">
        <f t="shared" si="2"/>
        <v>5.7712941176470592E-2</v>
      </c>
      <c r="H17" s="493">
        <f t="shared" si="3"/>
        <v>0</v>
      </c>
    </row>
    <row r="18" spans="1:8">
      <c r="A18" s="319" t="s">
        <v>81</v>
      </c>
      <c r="B18" s="489">
        <f>IFERROR(INDEX('aq-f13-ecs01 Emission Factors'!$A$2:$CH$104,MATCH($A18,'aq-f13-ecs01 Emission Factors'!$A$2:$A$104,0),MATCH(C$11,'aq-f13-ecs01 Emission Factors'!$A$2:$CH$2,0)),"")</f>
        <v>0.6</v>
      </c>
      <c r="C18" s="490"/>
      <c r="D18" s="491"/>
      <c r="E18" s="492">
        <f t="shared" si="0"/>
        <v>9.4117647058823535E-5</v>
      </c>
      <c r="F18" s="492">
        <f t="shared" si="1"/>
        <v>9.4117647058823535E-5</v>
      </c>
      <c r="G18" s="492">
        <f t="shared" si="2"/>
        <v>4.1223529411764707E-4</v>
      </c>
      <c r="H18" s="493">
        <f t="shared" si="3"/>
        <v>0</v>
      </c>
    </row>
    <row r="19" spans="1:8">
      <c r="A19" s="319" t="s">
        <v>82</v>
      </c>
      <c r="B19" s="489">
        <f>IFERROR(INDEX('aq-f13-ecs01 Emission Factors'!$A$2:$CH$104,MATCH($A19,'aq-f13-ecs01 Emission Factors'!$A$2:$A$104,0),MATCH(C$11,'aq-f13-ecs01 Emission Factors'!$A$2:$CH$2,0)),"")</f>
        <v>5.5</v>
      </c>
      <c r="C19" s="490"/>
      <c r="D19" s="491"/>
      <c r="E19" s="492">
        <f t="shared" si="0"/>
        <v>8.6274509803921568E-4</v>
      </c>
      <c r="F19" s="492">
        <f t="shared" si="1"/>
        <v>8.6274509803921568E-4</v>
      </c>
      <c r="G19" s="492">
        <f t="shared" si="2"/>
        <v>3.7788235294117646E-3</v>
      </c>
      <c r="H19" s="493">
        <f t="shared" si="3"/>
        <v>0</v>
      </c>
    </row>
    <row r="20" spans="1:8">
      <c r="A20" s="319" t="s">
        <v>83</v>
      </c>
      <c r="B20" s="489">
        <f>IFERROR(INDEX('aq-f13-ecs01 Emission Factors'!$A$2:$CH$104,MATCH($A20,'aq-f13-ecs01 Emission Factors'!$A$2:$A$104,0),MATCH(C$11,'aq-f13-ecs01 Emission Factors'!$A$2:$CH$2,0)),"")</f>
        <v>5.0000000000000001E-4</v>
      </c>
      <c r="C20" s="490"/>
      <c r="D20" s="491"/>
      <c r="E20" s="492">
        <f t="shared" si="0"/>
        <v>7.8431372549019607E-8</v>
      </c>
      <c r="F20" s="492">
        <f t="shared" si="1"/>
        <v>7.8431372549019607E-8</v>
      </c>
      <c r="G20" s="492">
        <f t="shared" si="2"/>
        <v>3.4352941176470583E-7</v>
      </c>
      <c r="H20" s="493">
        <f t="shared" si="3"/>
        <v>0</v>
      </c>
    </row>
    <row r="21" spans="1:8" ht="13.5" thickBot="1">
      <c r="A21" s="322" t="s">
        <v>84</v>
      </c>
      <c r="B21" s="494">
        <f>IFERROR(INDEX('aq-f13-ecs01 Emission Factors'!$A$2:$CH$104,MATCH($A21,'aq-f13-ecs01 Emission Factors'!$A$2:$A$104,0),MATCH(C$11,'aq-f13-ecs01 Emission Factors'!$A$2:$CH$2,0)),"")</f>
        <v>1.8879582000000001</v>
      </c>
      <c r="C21" s="495"/>
      <c r="D21" s="496"/>
      <c r="E21" s="497">
        <f t="shared" si="0"/>
        <v>2.9615030588235299E-4</v>
      </c>
      <c r="F21" s="497">
        <f t="shared" si="1"/>
        <v>2.9615030588235299E-4</v>
      </c>
      <c r="G21" s="497">
        <f t="shared" si="2"/>
        <v>1.2971383397647062E-3</v>
      </c>
      <c r="H21" s="498">
        <f t="shared" si="3"/>
        <v>0</v>
      </c>
    </row>
    <row r="22" spans="1:8">
      <c r="A22" s="314" t="s">
        <v>85</v>
      </c>
      <c r="B22" s="484">
        <f>IFERROR(INDEX('aq-f13-ecs01 Emission Factors'!$A$2:$CH$104,MATCH($A22,'aq-f13-ecs01 Emission Factors'!$A$2:$A$104,0),MATCH(C$11,'aq-f13-ecs01 Emission Factors'!$A$2:$CH$2,0))*2.2046,"")</f>
        <v>116.97607600000001</v>
      </c>
      <c r="C22" s="485"/>
      <c r="D22" s="486"/>
      <c r="E22" s="487">
        <f>IF(C22&gt;0,C22,B22)*C$7</f>
        <v>18.716172160000003</v>
      </c>
      <c r="F22" s="487">
        <f>IF(C22&gt;0,C22,B22)*C$7*(1-D22)</f>
        <v>18.716172160000003</v>
      </c>
      <c r="G22" s="487">
        <f>IF(C22&gt;0,C22,B22)*C$7*C$9/2000</f>
        <v>81.976834060800016</v>
      </c>
      <c r="H22" s="488">
        <f>IF(C22&gt;0,C22,B22)*C$7*(1-D22)*C$10/2000</f>
        <v>0</v>
      </c>
    </row>
    <row r="23" spans="1:8">
      <c r="A23" s="319" t="s">
        <v>86</v>
      </c>
      <c r="B23" s="489">
        <f>IFERROR(INDEX('aq-f13-ecs01 Emission Factors'!$A$2:$CH$104,MATCH($A23,'aq-f13-ecs01 Emission Factors'!$A$2:$A$104,0),MATCH(C$11,'aq-f13-ecs01 Emission Factors'!$A$2:$CH$2,0))*2.2046,"")</f>
        <v>2.2046000000000001E-3</v>
      </c>
      <c r="C23" s="490"/>
      <c r="D23" s="491"/>
      <c r="E23" s="492">
        <f>IF(C23&gt;0,C23,B23)*C$7</f>
        <v>3.5273600000000003E-4</v>
      </c>
      <c r="F23" s="492">
        <f>IF(C23&gt;0,C23,B23)*C$7*(1-D23)</f>
        <v>3.5273600000000003E-4</v>
      </c>
      <c r="G23" s="492">
        <f>IF(C23&gt;0,C23,B23)*C$7*C$9/2000</f>
        <v>1.5449836800000001E-3</v>
      </c>
      <c r="H23" s="493">
        <f>IF(C23&gt;0,C23,B23)*C$7*(1-D23)*C$10/2000</f>
        <v>0</v>
      </c>
    </row>
    <row r="24" spans="1:8">
      <c r="A24" s="319" t="s">
        <v>87</v>
      </c>
      <c r="B24" s="489">
        <f>IFERROR(INDEX('aq-f13-ecs01 Emission Factors'!$A$2:$CH$104,MATCH($A24,'aq-f13-ecs01 Emission Factors'!$A$2:$A$104,0),MATCH(C$11,'aq-f13-ecs01 Emission Factors'!$A$2:$CH$2,0))*2.2046,"")</f>
        <v>2.2046000000000001E-4</v>
      </c>
      <c r="C24" s="490"/>
      <c r="D24" s="491"/>
      <c r="E24" s="492">
        <f>IF(C24&gt;0,C24,B24)*C$7</f>
        <v>3.5273600000000001E-5</v>
      </c>
      <c r="F24" s="492">
        <f>IF(C24&gt;0,C24,B24)*C$7*(1-D24)</f>
        <v>3.5273600000000001E-5</v>
      </c>
      <c r="G24" s="492">
        <f>IF(C24&gt;0,C24,B24)*C$7*C$9/2000</f>
        <v>1.54498368E-4</v>
      </c>
      <c r="H24" s="493">
        <f>IF(C24&gt;0,C24,B24)*C$7*(1-D24)*C$10/2000</f>
        <v>0</v>
      </c>
    </row>
    <row r="25" spans="1:8" ht="13.5" thickBot="1">
      <c r="A25" s="322" t="s">
        <v>88</v>
      </c>
      <c r="B25" s="499">
        <f>IFERROR(INDEX('aq-f13-ecs01 Emission Factors'!$A$2:$CH$104,MATCH($A25,'aq-f13-ecs01 Emission Factors'!$A$2:$A$104,0),MATCH(C$11,'aq-f13-ecs01 Emission Factors'!$A$2:$CH$2,0))*2.2046,"")</f>
        <v>117.09688808000001</v>
      </c>
      <c r="C25" s="500"/>
      <c r="D25" s="501"/>
      <c r="E25" s="502">
        <f>IF(C25&gt;0,C25,B25)*C$7</f>
        <v>18.735502092800001</v>
      </c>
      <c r="F25" s="502">
        <f>IF(C25&gt;0,C25,B25)*C$7*(1-D25)</f>
        <v>18.735502092800001</v>
      </c>
      <c r="G25" s="502">
        <f>IF(C25&gt;0,C25,B25)*C$7*C$9/2000</f>
        <v>82.061499166464017</v>
      </c>
      <c r="H25" s="503">
        <f>IF(C25&gt;0,C25,B25)*C$7*(1-D25)*C$10/2000</f>
        <v>0</v>
      </c>
    </row>
    <row r="26" spans="1:8">
      <c r="A26" s="314" t="s">
        <v>89</v>
      </c>
      <c r="B26" s="504">
        <f>IFERROR(INDEX('aq-f13-ecs01 Emission Factors'!$A$2:$CH$104,MATCH($A26,'aq-f13-ecs01 Emission Factors'!$A$2:$A$104,0),MATCH(C$11,'aq-f13-ecs01 Emission Factors'!$A$2:$CH$2,0)),"")</f>
        <v>1.1999999999999999E-3</v>
      </c>
      <c r="C26" s="485"/>
      <c r="D26" s="486"/>
      <c r="E26" s="505">
        <f t="shared" ref="E26:E41" si="4">IF(C26&gt;0,C26,B26)*C$8</f>
        <v>1.8823529411764705E-7</v>
      </c>
      <c r="F26" s="505">
        <f t="shared" ref="F26:F41" si="5">IF(C26&gt;0,C26,B26)*C$8*(1-D26)</f>
        <v>1.8823529411764705E-7</v>
      </c>
      <c r="G26" s="505">
        <f t="shared" ref="G26:G41" si="6">IF(C26&gt;0,C26,B26)*C$8*C$9/2000</f>
        <v>8.2447058823529414E-7</v>
      </c>
      <c r="H26" s="506">
        <f t="shared" ref="H26:H41" si="7">IF(C26&gt;0,C26,B26)*C$8*(1-D26)*C$10/2000</f>
        <v>0</v>
      </c>
    </row>
    <row r="27" spans="1:8">
      <c r="A27" s="327" t="s">
        <v>90</v>
      </c>
      <c r="B27" s="504">
        <f>IFERROR(INDEX('aq-f13-ecs01 Emission Factors'!$A$2:$CH$104,MATCH($A27,'aq-f13-ecs01 Emission Factors'!$A$2:$A$104,0),MATCH(C$11,'aq-f13-ecs01 Emission Factors'!$A$2:$CH$2,0)),"")</f>
        <v>2.0000000000000001E-4</v>
      </c>
      <c r="C27" s="507"/>
      <c r="D27" s="508"/>
      <c r="E27" s="505">
        <f t="shared" si="4"/>
        <v>3.1372549019607844E-8</v>
      </c>
      <c r="F27" s="505">
        <f t="shared" si="5"/>
        <v>3.1372549019607844E-8</v>
      </c>
      <c r="G27" s="505">
        <f t="shared" si="6"/>
        <v>1.3741176470588235E-7</v>
      </c>
      <c r="H27" s="506">
        <f t="shared" si="7"/>
        <v>0</v>
      </c>
    </row>
    <row r="28" spans="1:8">
      <c r="A28" s="319" t="s">
        <v>91</v>
      </c>
      <c r="B28" s="489">
        <f>IFERROR(INDEX('aq-f13-ecs01 Emission Factors'!$A$2:$CH$104,MATCH($A28,'aq-f13-ecs01 Emission Factors'!$A$2:$A$104,0),MATCH(C$11,'aq-f13-ecs01 Emission Factors'!$A$2:$CH$2,0)),"")</f>
        <v>2.0999999999999999E-3</v>
      </c>
      <c r="C28" s="490"/>
      <c r="D28" s="491"/>
      <c r="E28" s="492">
        <f t="shared" si="4"/>
        <v>3.2941176470588235E-7</v>
      </c>
      <c r="F28" s="492">
        <f t="shared" si="5"/>
        <v>3.2941176470588235E-7</v>
      </c>
      <c r="G28" s="492">
        <f t="shared" si="6"/>
        <v>1.4428235294117646E-6</v>
      </c>
      <c r="H28" s="493">
        <f t="shared" si="7"/>
        <v>0</v>
      </c>
    </row>
    <row r="29" spans="1:8">
      <c r="A29" s="319" t="s">
        <v>92</v>
      </c>
      <c r="B29" s="489">
        <f>IFERROR(INDEX('aq-f13-ecs01 Emission Factors'!$A$2:$CH$104,MATCH($A29,'aq-f13-ecs01 Emission Factors'!$A$2:$A$104,0),MATCH(C$11,'aq-f13-ecs01 Emission Factors'!$A$2:$CH$2,0)),"")</f>
        <v>1.2E-5</v>
      </c>
      <c r="C29" s="490"/>
      <c r="D29" s="491"/>
      <c r="E29" s="492">
        <f t="shared" si="4"/>
        <v>1.8823529411764705E-9</v>
      </c>
      <c r="F29" s="492">
        <f t="shared" si="5"/>
        <v>1.8823529411764705E-9</v>
      </c>
      <c r="G29" s="492">
        <f t="shared" si="6"/>
        <v>8.2447058823529413E-9</v>
      </c>
      <c r="H29" s="493">
        <f t="shared" si="7"/>
        <v>0</v>
      </c>
    </row>
    <row r="30" spans="1:8">
      <c r="A30" s="319" t="s">
        <v>93</v>
      </c>
      <c r="B30" s="489">
        <f>IFERROR(INDEX('aq-f13-ecs01 Emission Factors'!$A$2:$CH$104,MATCH($A30,'aq-f13-ecs01 Emission Factors'!$A$2:$A$104,0),MATCH(C$11,'aq-f13-ecs01 Emission Factors'!$A$2:$CH$2,0)),"")</f>
        <v>1.1000000000000001E-3</v>
      </c>
      <c r="C30" s="490"/>
      <c r="D30" s="491"/>
      <c r="E30" s="492">
        <f t="shared" si="4"/>
        <v>1.7254901960784316E-7</v>
      </c>
      <c r="F30" s="492">
        <f t="shared" si="5"/>
        <v>1.7254901960784316E-7</v>
      </c>
      <c r="G30" s="492">
        <f t="shared" si="6"/>
        <v>7.5576470588235306E-7</v>
      </c>
      <c r="H30" s="493">
        <f t="shared" si="7"/>
        <v>0</v>
      </c>
    </row>
    <row r="31" spans="1:8">
      <c r="A31" s="319" t="s">
        <v>94</v>
      </c>
      <c r="B31" s="489">
        <f>IFERROR(INDEX('aq-f13-ecs01 Emission Factors'!$A$2:$CH$104,MATCH($A31,'aq-f13-ecs01 Emission Factors'!$A$2:$A$104,0),MATCH(C$11,'aq-f13-ecs01 Emission Factors'!$A$2:$CH$2,0)),"")</f>
        <v>1.4E-3</v>
      </c>
      <c r="C31" s="490"/>
      <c r="D31" s="491"/>
      <c r="E31" s="492">
        <f t="shared" si="4"/>
        <v>2.1960784313725492E-7</v>
      </c>
      <c r="F31" s="492">
        <f t="shared" si="5"/>
        <v>2.1960784313725492E-7</v>
      </c>
      <c r="G31" s="492">
        <f t="shared" si="6"/>
        <v>9.6188235294117663E-7</v>
      </c>
      <c r="H31" s="493">
        <f t="shared" si="7"/>
        <v>0</v>
      </c>
    </row>
    <row r="32" spans="1:8">
      <c r="A32" s="319" t="s">
        <v>95</v>
      </c>
      <c r="B32" s="489">
        <f>IFERROR(INDEX('aq-f13-ecs01 Emission Factors'!$A$2:$CH$104,MATCH($A32,'aq-f13-ecs01 Emission Factors'!$A$2:$A$104,0),MATCH(C$11,'aq-f13-ecs01 Emission Factors'!$A$2:$CH$2,0)),"")</f>
        <v>8.3999999999999995E-5</v>
      </c>
      <c r="C32" s="490"/>
      <c r="D32" s="491"/>
      <c r="E32" s="492">
        <f t="shared" si="4"/>
        <v>1.3176470588235294E-8</v>
      </c>
      <c r="F32" s="492">
        <f t="shared" si="5"/>
        <v>1.3176470588235294E-8</v>
      </c>
      <c r="G32" s="492">
        <f t="shared" si="6"/>
        <v>5.7712941176470586E-8</v>
      </c>
      <c r="H32" s="493">
        <f t="shared" si="7"/>
        <v>0</v>
      </c>
    </row>
    <row r="33" spans="1:8">
      <c r="A33" s="319" t="s">
        <v>96</v>
      </c>
      <c r="B33" s="489">
        <f>IFERROR(INDEX('aq-f13-ecs01 Emission Factors'!$A$2:$CH$104,MATCH($A33,'aq-f13-ecs01 Emission Factors'!$A$2:$A$104,0),MATCH(C$11,'aq-f13-ecs01 Emission Factors'!$A$2:$CH$2,0)),"")</f>
        <v>7.4999999999999997E-2</v>
      </c>
      <c r="C33" s="490"/>
      <c r="D33" s="491"/>
      <c r="E33" s="492">
        <f t="shared" si="4"/>
        <v>1.1764705882352942E-5</v>
      </c>
      <c r="F33" s="492">
        <f t="shared" si="5"/>
        <v>1.1764705882352942E-5</v>
      </c>
      <c r="G33" s="492">
        <f t="shared" si="6"/>
        <v>5.1529411764705883E-5</v>
      </c>
      <c r="H33" s="493">
        <f t="shared" si="7"/>
        <v>0</v>
      </c>
    </row>
    <row r="34" spans="1:8">
      <c r="A34" s="319" t="s">
        <v>97</v>
      </c>
      <c r="B34" s="489">
        <f>IFERROR(INDEX('aq-f13-ecs01 Emission Factors'!$A$2:$CH$104,MATCH($A34,'aq-f13-ecs01 Emission Factors'!$A$2:$A$104,0),MATCH(C$11,'aq-f13-ecs01 Emission Factors'!$A$2:$CH$2,0)),"")</f>
        <v>1.8</v>
      </c>
      <c r="C34" s="490"/>
      <c r="D34" s="491"/>
      <c r="E34" s="492">
        <f t="shared" si="4"/>
        <v>2.8235294117647062E-4</v>
      </c>
      <c r="F34" s="492">
        <f t="shared" si="5"/>
        <v>2.8235294117647062E-4</v>
      </c>
      <c r="G34" s="492">
        <f t="shared" si="6"/>
        <v>1.2367058823529414E-3</v>
      </c>
      <c r="H34" s="493">
        <f t="shared" si="7"/>
        <v>0</v>
      </c>
    </row>
    <row r="35" spans="1:8">
      <c r="A35" s="319" t="s">
        <v>98</v>
      </c>
      <c r="B35" s="489">
        <f>IFERROR(INDEX('aq-f13-ecs01 Emission Factors'!$A$2:$CH$104,MATCH($A35,'aq-f13-ecs01 Emission Factors'!$A$2:$A$104,0),MATCH(C$11,'aq-f13-ecs01 Emission Factors'!$A$2:$CH$2,0)),"")</f>
        <v>3.8000000000000002E-4</v>
      </c>
      <c r="C35" s="490"/>
      <c r="D35" s="491"/>
      <c r="E35" s="492">
        <f t="shared" si="4"/>
        <v>5.9607843137254913E-8</v>
      </c>
      <c r="F35" s="492">
        <f t="shared" si="5"/>
        <v>5.9607843137254913E-8</v>
      </c>
      <c r="G35" s="492">
        <f t="shared" si="6"/>
        <v>2.6108235294117649E-7</v>
      </c>
      <c r="H35" s="493">
        <f t="shared" si="7"/>
        <v>0</v>
      </c>
    </row>
    <row r="36" spans="1:8">
      <c r="A36" s="319" t="s">
        <v>99</v>
      </c>
      <c r="B36" s="489">
        <f>IFERROR(INDEX('aq-f13-ecs01 Emission Factors'!$A$2:$CH$104,MATCH($A36,'aq-f13-ecs01 Emission Factors'!$A$2:$A$104,0),MATCH(C$11,'aq-f13-ecs01 Emission Factors'!$A$2:$CH$2,0)),"")</f>
        <v>2.5999999999999998E-4</v>
      </c>
      <c r="C36" s="490"/>
      <c r="D36" s="491"/>
      <c r="E36" s="492">
        <f t="shared" si="4"/>
        <v>4.0784313725490191E-8</v>
      </c>
      <c r="F36" s="492">
        <f t="shared" si="5"/>
        <v>4.0784313725490191E-8</v>
      </c>
      <c r="G36" s="492">
        <f t="shared" si="6"/>
        <v>1.7863529411764702E-7</v>
      </c>
      <c r="H36" s="493">
        <f t="shared" si="7"/>
        <v>0</v>
      </c>
    </row>
    <row r="37" spans="1:8">
      <c r="A37" s="319" t="s">
        <v>100</v>
      </c>
      <c r="B37" s="489">
        <f>IFERROR(INDEX('aq-f13-ecs01 Emission Factors'!$A$2:$CH$104,MATCH($A37,'aq-f13-ecs01 Emission Factors'!$A$2:$A$104,0),MATCH(C$11,'aq-f13-ecs01 Emission Factors'!$A$2:$CH$2,0)),"")</f>
        <v>6.0999999999999997E-4</v>
      </c>
      <c r="C37" s="490"/>
      <c r="D37" s="491"/>
      <c r="E37" s="492">
        <f t="shared" si="4"/>
        <v>9.568627450980392E-8</v>
      </c>
      <c r="F37" s="492">
        <f t="shared" si="5"/>
        <v>9.568627450980392E-8</v>
      </c>
      <c r="G37" s="492">
        <f t="shared" si="6"/>
        <v>4.1910588235294115E-7</v>
      </c>
      <c r="H37" s="493">
        <f t="shared" si="7"/>
        <v>0</v>
      </c>
    </row>
    <row r="38" spans="1:8">
      <c r="A38" s="319" t="s">
        <v>101</v>
      </c>
      <c r="B38" s="489">
        <f>IFERROR(INDEX('aq-f13-ecs01 Emission Factors'!$A$2:$CH$104,MATCH($A38,'aq-f13-ecs01 Emission Factors'!$A$2:$A$104,0),MATCH(C$11,'aq-f13-ecs01 Emission Factors'!$A$2:$CH$2,0)),"")</f>
        <v>2.0999999999999999E-3</v>
      </c>
      <c r="C38" s="490"/>
      <c r="D38" s="491"/>
      <c r="E38" s="492">
        <f t="shared" si="4"/>
        <v>3.2941176470588235E-7</v>
      </c>
      <c r="F38" s="492">
        <f t="shared" si="5"/>
        <v>3.2941176470588235E-7</v>
      </c>
      <c r="G38" s="492">
        <f t="shared" si="6"/>
        <v>1.4428235294117646E-6</v>
      </c>
      <c r="H38" s="493">
        <f t="shared" si="7"/>
        <v>0</v>
      </c>
    </row>
    <row r="39" spans="1:8">
      <c r="A39" s="319" t="s">
        <v>102</v>
      </c>
      <c r="B39" s="489">
        <f>IFERROR(INDEX('aq-f13-ecs01 Emission Factors'!$A$2:$CH$104,MATCH($A39,'aq-f13-ecs01 Emission Factors'!$A$2:$A$104,0),MATCH(C$11,'aq-f13-ecs01 Emission Factors'!$A$2:$CH$2,0)),"")</f>
        <v>6.9819999999999995E-4</v>
      </c>
      <c r="C39" s="490"/>
      <c r="D39" s="491"/>
      <c r="E39" s="492">
        <f t="shared" si="4"/>
        <v>1.0952156862745097E-7</v>
      </c>
      <c r="F39" s="492">
        <f t="shared" si="5"/>
        <v>1.0952156862745097E-7</v>
      </c>
      <c r="G39" s="492">
        <f t="shared" si="6"/>
        <v>4.7970447058823532E-7</v>
      </c>
      <c r="H39" s="493">
        <f t="shared" si="7"/>
        <v>0</v>
      </c>
    </row>
    <row r="40" spans="1:8">
      <c r="A40" s="319" t="s">
        <v>103</v>
      </c>
      <c r="B40" s="489">
        <f>IFERROR(INDEX('aq-f13-ecs01 Emission Factors'!$A$2:$CH$104,MATCH($A40,'aq-f13-ecs01 Emission Factors'!$A$2:$A$104,0),MATCH(C$11,'aq-f13-ecs01 Emission Factors'!$A$2:$CH$2,0)),"")</f>
        <v>2.4000000000000001E-5</v>
      </c>
      <c r="C40" s="490"/>
      <c r="D40" s="491"/>
      <c r="E40" s="492">
        <f t="shared" si="4"/>
        <v>3.7647058823529411E-9</v>
      </c>
      <c r="F40" s="492">
        <f t="shared" si="5"/>
        <v>3.7647058823529411E-9</v>
      </c>
      <c r="G40" s="492">
        <f t="shared" si="6"/>
        <v>1.6489411764705883E-8</v>
      </c>
      <c r="H40" s="493">
        <f t="shared" si="7"/>
        <v>0</v>
      </c>
    </row>
    <row r="41" spans="1:8" ht="13.5" thickBot="1">
      <c r="A41" s="322" t="s">
        <v>104</v>
      </c>
      <c r="B41" s="499">
        <f>IFERROR(INDEX('aq-f13-ecs01 Emission Factors'!$A$2:$CH$104,MATCH($A41,'aq-f13-ecs01 Emission Factors'!$A$2:$A$104,0),MATCH(C$11,'aq-f13-ecs01 Emission Factors'!$A$2:$CH$2,0)),"")</f>
        <v>3.3999999999999998E-3</v>
      </c>
      <c r="C41" s="500"/>
      <c r="D41" s="501"/>
      <c r="E41" s="502">
        <f t="shared" si="4"/>
        <v>5.3333333333333334E-7</v>
      </c>
      <c r="F41" s="502">
        <f t="shared" si="5"/>
        <v>5.3333333333333334E-7</v>
      </c>
      <c r="G41" s="502">
        <f t="shared" si="6"/>
        <v>2.3360000000000002E-6</v>
      </c>
      <c r="H41" s="503">
        <f t="shared" si="7"/>
        <v>0</v>
      </c>
    </row>
    <row r="42" spans="1:8">
      <c r="A42" s="465"/>
      <c r="B42" s="509" t="s">
        <v>105</v>
      </c>
      <c r="C42" s="510"/>
      <c r="D42" s="465"/>
      <c r="E42" s="465"/>
      <c r="F42" s="465"/>
      <c r="G42" s="465"/>
      <c r="H42" s="465"/>
    </row>
    <row r="43" spans="1:8">
      <c r="A43" s="465"/>
      <c r="B43" s="511" t="s">
        <v>106</v>
      </c>
      <c r="C43" s="512"/>
      <c r="D43" s="512"/>
      <c r="E43" s="512"/>
      <c r="F43" s="513"/>
      <c r="G43" s="514"/>
      <c r="H43" s="514"/>
    </row>
    <row r="44" spans="1:8">
      <c r="A44" s="465"/>
      <c r="B44" s="510"/>
      <c r="C44" s="510"/>
      <c r="D44" s="510"/>
      <c r="E44" s="510"/>
      <c r="F44" s="510"/>
      <c r="G44" s="510"/>
      <c r="H44" s="510"/>
    </row>
    <row r="45" spans="1:8">
      <c r="A45" s="515"/>
      <c r="B45" s="516" t="s">
        <v>107</v>
      </c>
      <c r="C45" s="465"/>
      <c r="D45" s="465"/>
      <c r="E45" s="465"/>
      <c r="F45" s="465"/>
      <c r="G45" s="465"/>
      <c r="H45" s="517"/>
    </row>
    <row r="46" spans="1:8">
      <c r="A46" s="515"/>
      <c r="B46" s="465" t="s">
        <v>108</v>
      </c>
      <c r="C46" s="518"/>
      <c r="D46" s="518"/>
      <c r="E46" s="518"/>
      <c r="F46" s="518"/>
      <c r="G46" s="518"/>
      <c r="H46" s="517"/>
    </row>
    <row r="47" spans="1:8">
      <c r="A47" s="515"/>
      <c r="B47" s="518" t="s">
        <v>109</v>
      </c>
      <c r="C47" s="465"/>
      <c r="D47" s="465"/>
      <c r="E47" s="465"/>
      <c r="F47" s="518"/>
      <c r="G47" s="518"/>
      <c r="H47" s="517"/>
    </row>
  </sheetData>
  <protectedRanges>
    <protectedRange sqref="B42:H42" name="Notes_1"/>
  </protectedRanges>
  <dataValidations count="1">
    <dataValidation type="list" allowBlank="1" showInputMessage="1" showErrorMessage="1" sqref="C11" xr:uid="{2C9AEE2E-2DD0-4079-9629-69CBEFE5BB8A}">
      <formula1>$A$46:$A$55</formula1>
    </dataValidation>
  </dataValidations>
  <pageMargins left="0.7" right="0.7" top="0.75" bottom="0.75" header="0.3" footer="0.3"/>
  <pageSetup scale="75"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92D02-35B1-4C50-B587-F8EB15A7EB43}">
  <sheetPr codeName="Sheet25">
    <pageSetUpPr fitToPage="1"/>
  </sheetPr>
  <dimension ref="A1:K48"/>
  <sheetViews>
    <sheetView topLeftCell="C51" zoomScaleNormal="100" workbookViewId="0">
      <selection activeCell="D89" sqref="D89"/>
    </sheetView>
  </sheetViews>
  <sheetFormatPr defaultColWidth="9.1796875" defaultRowHeight="13"/>
  <cols>
    <col min="1" max="1" width="26.7265625" style="220" customWidth="1"/>
    <col min="2" max="2" width="29.26953125" style="220" customWidth="1"/>
    <col min="3" max="3" width="16.54296875" style="220" customWidth="1"/>
    <col min="4" max="8" width="15.26953125" style="220" customWidth="1"/>
    <col min="9" max="16384" width="9.1796875" style="220"/>
  </cols>
  <sheetData>
    <row r="1" spans="1:11" s="459" customFormat="1" ht="18.75" customHeight="1">
      <c r="A1" s="458" t="s">
        <v>871</v>
      </c>
      <c r="C1" s="460"/>
      <c r="D1" s="460"/>
      <c r="E1" s="460"/>
      <c r="F1" s="460"/>
      <c r="G1" s="460"/>
      <c r="H1" s="589" t="s">
        <v>59</v>
      </c>
      <c r="I1" s="460"/>
      <c r="J1" s="460"/>
      <c r="K1" s="460"/>
    </row>
    <row r="2" spans="1:11" ht="18.75" customHeight="1">
      <c r="A2" s="458"/>
      <c r="C2" s="461"/>
      <c r="D2" s="462"/>
      <c r="E2" s="462"/>
      <c r="F2" s="462"/>
      <c r="G2" s="462"/>
      <c r="H2" s="590" t="s">
        <v>60</v>
      </c>
      <c r="I2" s="462"/>
      <c r="J2" s="462"/>
      <c r="K2" s="462"/>
    </row>
    <row r="3" spans="1:11" ht="18.75" customHeight="1">
      <c r="A3" s="1633" t="s">
        <v>872</v>
      </c>
      <c r="B3" s="1633"/>
      <c r="C3" s="1633"/>
      <c r="D3" s="1633"/>
      <c r="E3" s="463"/>
      <c r="F3" s="463"/>
      <c r="G3" s="463"/>
      <c r="H3" s="591" t="s">
        <v>61</v>
      </c>
      <c r="I3" s="463"/>
      <c r="J3" s="463"/>
      <c r="K3" s="463"/>
    </row>
    <row r="4" spans="1:11" ht="14.25" customHeight="1">
      <c r="A4" s="1633"/>
      <c r="B4" s="1633"/>
      <c r="C4" s="1633"/>
      <c r="D4" s="1633"/>
      <c r="E4" s="463"/>
      <c r="F4" s="463"/>
      <c r="G4" s="463"/>
      <c r="H4" s="591" t="s">
        <v>62</v>
      </c>
      <c r="I4" s="463"/>
      <c r="J4" s="463"/>
      <c r="K4" s="463"/>
    </row>
    <row r="5" spans="1:11" ht="14.25" customHeight="1">
      <c r="A5" s="1633"/>
      <c r="B5" s="1633"/>
      <c r="C5" s="1633"/>
      <c r="D5" s="1633"/>
      <c r="E5" s="463"/>
      <c r="F5" s="463"/>
      <c r="G5" s="463"/>
      <c r="H5" s="591"/>
      <c r="I5" s="463"/>
      <c r="J5" s="463"/>
      <c r="K5" s="463"/>
    </row>
    <row r="6" spans="1:11" ht="19" thickBot="1">
      <c r="A6" s="458"/>
    </row>
    <row r="7" spans="1:11">
      <c r="A7" s="465"/>
      <c r="B7" s="466" t="s">
        <v>63</v>
      </c>
      <c r="C7" s="467" t="s">
        <v>873</v>
      </c>
      <c r="D7" s="468"/>
      <c r="E7" s="468"/>
      <c r="F7" s="468"/>
      <c r="G7" s="468"/>
      <c r="H7" s="469"/>
    </row>
    <row r="8" spans="1:11">
      <c r="A8" s="465"/>
      <c r="B8" s="470" t="s">
        <v>64</v>
      </c>
      <c r="C8" s="471">
        <v>0.15</v>
      </c>
      <c r="D8" s="465"/>
      <c r="E8" s="465"/>
      <c r="F8" s="465"/>
      <c r="G8" s="465"/>
      <c r="H8" s="472"/>
    </row>
    <row r="9" spans="1:11">
      <c r="A9" s="465"/>
      <c r="B9" s="470" t="s">
        <v>65</v>
      </c>
      <c r="C9" s="471">
        <f>C8/1020</f>
        <v>1.4705882352941175E-4</v>
      </c>
      <c r="D9" s="465"/>
      <c r="E9" s="465"/>
      <c r="F9" s="465"/>
      <c r="G9" s="465"/>
      <c r="H9" s="472"/>
    </row>
    <row r="10" spans="1:11">
      <c r="A10" s="465"/>
      <c r="B10" s="473" t="s">
        <v>66</v>
      </c>
      <c r="C10" s="474">
        <v>8760</v>
      </c>
      <c r="D10" s="465"/>
      <c r="E10" s="465"/>
      <c r="F10" s="465"/>
      <c r="G10" s="465"/>
      <c r="H10" s="472"/>
    </row>
    <row r="11" spans="1:11">
      <c r="A11" s="465"/>
      <c r="B11" s="473" t="s">
        <v>67</v>
      </c>
      <c r="C11" s="474"/>
      <c r="D11" s="465"/>
      <c r="E11" s="465"/>
      <c r="F11" s="465"/>
      <c r="G11" s="465"/>
      <c r="H11" s="472"/>
    </row>
    <row r="12" spans="1:11" ht="13.5" thickBot="1">
      <c r="A12" s="465"/>
      <c r="B12" s="475" t="s">
        <v>68</v>
      </c>
      <c r="C12" s="476" t="s">
        <v>69</v>
      </c>
      <c r="D12" s="477"/>
      <c r="E12" s="477"/>
      <c r="F12" s="477"/>
      <c r="G12" s="477"/>
      <c r="H12" s="478"/>
    </row>
    <row r="13" spans="1:11" ht="39.5" thickBot="1">
      <c r="A13" s="479" t="s">
        <v>70</v>
      </c>
      <c r="B13" s="480" t="s">
        <v>71</v>
      </c>
      <c r="C13" s="481" t="s">
        <v>72</v>
      </c>
      <c r="D13" s="481" t="s">
        <v>73</v>
      </c>
      <c r="E13" s="481" t="s">
        <v>831</v>
      </c>
      <c r="F13" s="482" t="s">
        <v>74</v>
      </c>
      <c r="G13" s="482" t="s">
        <v>75</v>
      </c>
      <c r="H13" s="483" t="s">
        <v>76</v>
      </c>
    </row>
    <row r="14" spans="1:11">
      <c r="A14" s="314" t="s">
        <v>19</v>
      </c>
      <c r="B14" s="484">
        <f>IFERROR(INDEX('aq-f13-ecs01 Emission Factors'!$A$2:$CH$104,MATCH($A14,'aq-f13-ecs01 Emission Factors'!$A$2:$A$104,0),MATCH(C$12,'aq-f13-ecs01 Emission Factors'!$A$2:$CH$2,0)),"")</f>
        <v>7.6</v>
      </c>
      <c r="C14" s="485"/>
      <c r="D14" s="486"/>
      <c r="E14" s="487">
        <f t="shared" ref="E14:E22" si="0">IF(C14&gt;0,C14,B14)*C$9</f>
        <v>1.1176470588235292E-3</v>
      </c>
      <c r="F14" s="487">
        <f t="shared" ref="F14:F22" si="1">IF(C14&gt;0,C14,B14)*C$9*(1-D14)</f>
        <v>1.1176470588235292E-3</v>
      </c>
      <c r="G14" s="487">
        <f t="shared" ref="G14:G22" si="2">IF(C14&gt;0,C14,B14)*C$9*C$10/2000</f>
        <v>4.8952941176470584E-3</v>
      </c>
      <c r="H14" s="488">
        <f t="shared" ref="H14:H22" si="3">IF(C14&gt;0,C14,B14)*C$9*(1-D14)*C$11/2000</f>
        <v>0</v>
      </c>
    </row>
    <row r="15" spans="1:11">
      <c r="A15" s="319" t="s">
        <v>77</v>
      </c>
      <c r="B15" s="489">
        <f>IFERROR(INDEX('aq-f13-ecs01 Emission Factors'!$A$2:$CH$104,MATCH($A15,'aq-f13-ecs01 Emission Factors'!$A$2:$A$104,0),MATCH(C$12,'aq-f13-ecs01 Emission Factors'!$A$2:$CH$2,0)),"")</f>
        <v>7.6</v>
      </c>
      <c r="C15" s="490"/>
      <c r="D15" s="491"/>
      <c r="E15" s="492">
        <f t="shared" si="0"/>
        <v>1.1176470588235292E-3</v>
      </c>
      <c r="F15" s="492">
        <f t="shared" si="1"/>
        <v>1.1176470588235292E-3</v>
      </c>
      <c r="G15" s="492">
        <f t="shared" si="2"/>
        <v>4.8952941176470584E-3</v>
      </c>
      <c r="H15" s="493">
        <f t="shared" si="3"/>
        <v>0</v>
      </c>
    </row>
    <row r="16" spans="1:11">
      <c r="A16" s="319" t="s">
        <v>78</v>
      </c>
      <c r="B16" s="489">
        <f>IFERROR(INDEX('aq-f13-ecs01 Emission Factors'!$A$2:$CH$104,MATCH($A16,'aq-f13-ecs01 Emission Factors'!$A$2:$A$104,0),MATCH(C$12,'aq-f13-ecs01 Emission Factors'!$A$2:$CH$2,0)),"")</f>
        <v>7.6</v>
      </c>
      <c r="C16" s="490"/>
      <c r="D16" s="491"/>
      <c r="E16" s="492">
        <f t="shared" si="0"/>
        <v>1.1176470588235292E-3</v>
      </c>
      <c r="F16" s="492">
        <f t="shared" si="1"/>
        <v>1.1176470588235292E-3</v>
      </c>
      <c r="G16" s="492">
        <f t="shared" si="2"/>
        <v>4.8952941176470584E-3</v>
      </c>
      <c r="H16" s="493">
        <f t="shared" si="3"/>
        <v>0</v>
      </c>
    </row>
    <row r="17" spans="1:8">
      <c r="A17" s="319" t="s">
        <v>79</v>
      </c>
      <c r="B17" s="489">
        <f>IFERROR(INDEX('aq-f13-ecs01 Emission Factors'!$A$2:$CH$104,MATCH($A17,'aq-f13-ecs01 Emission Factors'!$A$2:$A$104,0),MATCH(C$12,'aq-f13-ecs01 Emission Factors'!$A$2:$CH$2,0)),"")</f>
        <v>100</v>
      </c>
      <c r="C17" s="490"/>
      <c r="D17" s="491"/>
      <c r="E17" s="492">
        <f t="shared" si="0"/>
        <v>1.4705882352941175E-2</v>
      </c>
      <c r="F17" s="492">
        <f t="shared" si="1"/>
        <v>1.4705882352941175E-2</v>
      </c>
      <c r="G17" s="492">
        <f t="shared" si="2"/>
        <v>6.4411764705882349E-2</v>
      </c>
      <c r="H17" s="493">
        <f t="shared" si="3"/>
        <v>0</v>
      </c>
    </row>
    <row r="18" spans="1:8">
      <c r="A18" s="319" t="s">
        <v>80</v>
      </c>
      <c r="B18" s="489">
        <f>IFERROR(INDEX('aq-f13-ecs01 Emission Factors'!$A$2:$CH$104,MATCH($A18,'aq-f13-ecs01 Emission Factors'!$A$2:$A$104,0),MATCH(C$12,'aq-f13-ecs01 Emission Factors'!$A$2:$CH$2,0)),"")</f>
        <v>84</v>
      </c>
      <c r="C18" s="490"/>
      <c r="D18" s="491"/>
      <c r="E18" s="492">
        <f t="shared" si="0"/>
        <v>1.2352941176470587E-2</v>
      </c>
      <c r="F18" s="492">
        <f t="shared" si="1"/>
        <v>1.2352941176470587E-2</v>
      </c>
      <c r="G18" s="492">
        <f t="shared" si="2"/>
        <v>5.410588235294117E-2</v>
      </c>
      <c r="H18" s="493">
        <f t="shared" si="3"/>
        <v>0</v>
      </c>
    </row>
    <row r="19" spans="1:8">
      <c r="A19" s="319" t="s">
        <v>81</v>
      </c>
      <c r="B19" s="489">
        <f>IFERROR(INDEX('aq-f13-ecs01 Emission Factors'!$A$2:$CH$104,MATCH($A19,'aq-f13-ecs01 Emission Factors'!$A$2:$A$104,0),MATCH(C$12,'aq-f13-ecs01 Emission Factors'!$A$2:$CH$2,0)),"")</f>
        <v>0.6</v>
      </c>
      <c r="C19" s="490"/>
      <c r="D19" s="491"/>
      <c r="E19" s="492">
        <f t="shared" si="0"/>
        <v>8.8235294117647051E-5</v>
      </c>
      <c r="F19" s="492">
        <f t="shared" si="1"/>
        <v>8.8235294117647051E-5</v>
      </c>
      <c r="G19" s="492">
        <f t="shared" si="2"/>
        <v>3.8647058823529406E-4</v>
      </c>
      <c r="H19" s="493">
        <f t="shared" si="3"/>
        <v>0</v>
      </c>
    </row>
    <row r="20" spans="1:8">
      <c r="A20" s="319" t="s">
        <v>82</v>
      </c>
      <c r="B20" s="489">
        <f>IFERROR(INDEX('aq-f13-ecs01 Emission Factors'!$A$2:$CH$104,MATCH($A20,'aq-f13-ecs01 Emission Factors'!$A$2:$A$104,0),MATCH(C$12,'aq-f13-ecs01 Emission Factors'!$A$2:$CH$2,0)),"")</f>
        <v>5.5</v>
      </c>
      <c r="C20" s="490"/>
      <c r="D20" s="491"/>
      <c r="E20" s="492">
        <f t="shared" si="0"/>
        <v>8.0882352941176461E-4</v>
      </c>
      <c r="F20" s="492">
        <f t="shared" si="1"/>
        <v>8.0882352941176461E-4</v>
      </c>
      <c r="G20" s="492">
        <f t="shared" si="2"/>
        <v>3.5426470588235288E-3</v>
      </c>
      <c r="H20" s="493">
        <f t="shared" si="3"/>
        <v>0</v>
      </c>
    </row>
    <row r="21" spans="1:8">
      <c r="A21" s="319" t="s">
        <v>83</v>
      </c>
      <c r="B21" s="489">
        <f>IFERROR(INDEX('aq-f13-ecs01 Emission Factors'!$A$2:$CH$104,MATCH($A21,'aq-f13-ecs01 Emission Factors'!$A$2:$A$104,0),MATCH(C$12,'aq-f13-ecs01 Emission Factors'!$A$2:$CH$2,0)),"")</f>
        <v>5.0000000000000001E-4</v>
      </c>
      <c r="C21" s="490"/>
      <c r="D21" s="491"/>
      <c r="E21" s="492">
        <f t="shared" si="0"/>
        <v>7.3529411764705876E-8</v>
      </c>
      <c r="F21" s="492">
        <f t="shared" si="1"/>
        <v>7.3529411764705876E-8</v>
      </c>
      <c r="G21" s="492">
        <f t="shared" si="2"/>
        <v>3.2205882352941172E-7</v>
      </c>
      <c r="H21" s="493">
        <f t="shared" si="3"/>
        <v>0</v>
      </c>
    </row>
    <row r="22" spans="1:8" ht="13.5" thickBot="1">
      <c r="A22" s="322" t="s">
        <v>84</v>
      </c>
      <c r="B22" s="494">
        <f>IFERROR(INDEX('aq-f13-ecs01 Emission Factors'!$A$2:$CH$104,MATCH($A22,'aq-f13-ecs01 Emission Factors'!$A$2:$A$104,0),MATCH(C$12,'aq-f13-ecs01 Emission Factors'!$A$2:$CH$2,0)),"")</f>
        <v>1.8879582000000001</v>
      </c>
      <c r="C22" s="495"/>
      <c r="D22" s="496"/>
      <c r="E22" s="497">
        <f t="shared" si="0"/>
        <v>2.776409117647059E-4</v>
      </c>
      <c r="F22" s="497">
        <f t="shared" si="1"/>
        <v>2.776409117647059E-4</v>
      </c>
      <c r="G22" s="497">
        <f t="shared" si="2"/>
        <v>1.2160671935294118E-3</v>
      </c>
      <c r="H22" s="498">
        <f t="shared" si="3"/>
        <v>0</v>
      </c>
    </row>
    <row r="23" spans="1:8">
      <c r="A23" s="314" t="s">
        <v>85</v>
      </c>
      <c r="B23" s="484">
        <f>IFERROR(INDEX('aq-f13-ecs01 Emission Factors'!$A$2:$CH$104,MATCH($A23,'aq-f13-ecs01 Emission Factors'!$A$2:$A$104,0),MATCH(C$12,'aq-f13-ecs01 Emission Factors'!$A$2:$CH$2,0))*2.2046,"")</f>
        <v>116.97607600000001</v>
      </c>
      <c r="C23" s="485"/>
      <c r="D23" s="486"/>
      <c r="E23" s="487">
        <f>IF(C23&gt;0,C23,B23)*C$8</f>
        <v>17.5464114</v>
      </c>
      <c r="F23" s="487">
        <f>IF(C23&gt;0,C23,B23)*C$8*(1-D23)</f>
        <v>17.5464114</v>
      </c>
      <c r="G23" s="487">
        <f>IF(C23&gt;0,C23,B23)*C$8*C$10/2000</f>
        <v>76.853281932000002</v>
      </c>
      <c r="H23" s="488">
        <f>IF(C23&gt;0,C23,B23)*C$8*(1-D23)*C$11/2000</f>
        <v>0</v>
      </c>
    </row>
    <row r="24" spans="1:8">
      <c r="A24" s="319" t="s">
        <v>86</v>
      </c>
      <c r="B24" s="489">
        <f>IFERROR(INDEX('aq-f13-ecs01 Emission Factors'!$A$2:$CH$104,MATCH($A24,'aq-f13-ecs01 Emission Factors'!$A$2:$A$104,0),MATCH(C$12,'aq-f13-ecs01 Emission Factors'!$A$2:$CH$2,0))*2.2046,"")</f>
        <v>2.2046000000000001E-3</v>
      </c>
      <c r="C24" s="490"/>
      <c r="D24" s="491"/>
      <c r="E24" s="492">
        <f>IF(C24&gt;0,C24,B24)*C$8</f>
        <v>3.3069000000000002E-4</v>
      </c>
      <c r="F24" s="492">
        <f>IF(C24&gt;0,C24,B24)*C$8*(1-D24)</f>
        <v>3.3069000000000002E-4</v>
      </c>
      <c r="G24" s="492">
        <f>IF(C24&gt;0,C24,B24)*C$8*C$10/2000</f>
        <v>1.4484222000000001E-3</v>
      </c>
      <c r="H24" s="493">
        <f>IF(C24&gt;0,C24,B24)*C$8*(1-D24)*C$11/2000</f>
        <v>0</v>
      </c>
    </row>
    <row r="25" spans="1:8">
      <c r="A25" s="319" t="s">
        <v>87</v>
      </c>
      <c r="B25" s="489">
        <f>IFERROR(INDEX('aq-f13-ecs01 Emission Factors'!$A$2:$CH$104,MATCH($A25,'aq-f13-ecs01 Emission Factors'!$A$2:$A$104,0),MATCH(C$12,'aq-f13-ecs01 Emission Factors'!$A$2:$CH$2,0))*2.2046,"")</f>
        <v>2.2046000000000001E-4</v>
      </c>
      <c r="C25" s="490"/>
      <c r="D25" s="491"/>
      <c r="E25" s="492">
        <f>IF(C25&gt;0,C25,B25)*C$8</f>
        <v>3.3068999999999998E-5</v>
      </c>
      <c r="F25" s="492">
        <f>IF(C25&gt;0,C25,B25)*C$8*(1-D25)</f>
        <v>3.3068999999999998E-5</v>
      </c>
      <c r="G25" s="492">
        <f>IF(C25&gt;0,C25,B25)*C$8*C$10/2000</f>
        <v>1.4484222E-4</v>
      </c>
      <c r="H25" s="493">
        <f>IF(C25&gt;0,C25,B25)*C$8*(1-D25)*C$11/2000</f>
        <v>0</v>
      </c>
    </row>
    <row r="26" spans="1:8" ht="13.5" thickBot="1">
      <c r="A26" s="322" t="s">
        <v>88</v>
      </c>
      <c r="B26" s="499">
        <f>IFERROR(INDEX('aq-f13-ecs01 Emission Factors'!$A$2:$CH$104,MATCH($A26,'aq-f13-ecs01 Emission Factors'!$A$2:$A$104,0),MATCH(C$12,'aq-f13-ecs01 Emission Factors'!$A$2:$CH$2,0))*2.2046,"")</f>
        <v>117.09688808000001</v>
      </c>
      <c r="C26" s="500"/>
      <c r="D26" s="501"/>
      <c r="E26" s="502">
        <f>IF(C26&gt;0,C26,B26)*C$8</f>
        <v>17.564533212000001</v>
      </c>
      <c r="F26" s="502">
        <f>IF(C26&gt;0,C26,B26)*C$8*(1-D26)</f>
        <v>17.564533212000001</v>
      </c>
      <c r="G26" s="502">
        <f>IF(C26&gt;0,C26,B26)*C$8*C$10/2000</f>
        <v>76.93265546856</v>
      </c>
      <c r="H26" s="503">
        <f>IF(C26&gt;0,C26,B26)*C$8*(1-D26)*C$11/2000</f>
        <v>0</v>
      </c>
    </row>
    <row r="27" spans="1:8">
      <c r="A27" s="314" t="s">
        <v>89</v>
      </c>
      <c r="B27" s="504">
        <f>IFERROR(INDEX('aq-f13-ecs01 Emission Factors'!$A$2:$CH$104,MATCH($A27,'aq-f13-ecs01 Emission Factors'!$A$2:$A$104,0),MATCH(C$12,'aq-f13-ecs01 Emission Factors'!$A$2:$CH$2,0)),"")</f>
        <v>1.1999999999999999E-3</v>
      </c>
      <c r="C27" s="485"/>
      <c r="D27" s="486"/>
      <c r="E27" s="505">
        <f t="shared" ref="E27:E42" si="4">IF(C27&gt;0,C27,B27)*C$9</f>
        <v>1.7647058823529409E-7</v>
      </c>
      <c r="F27" s="505">
        <f t="shared" ref="F27:F42" si="5">IF(C27&gt;0,C27,B27)*C$9*(1-D27)</f>
        <v>1.7647058823529409E-7</v>
      </c>
      <c r="G27" s="505">
        <f t="shared" ref="G27:G42" si="6">IF(C27&gt;0,C27,B27)*C$9*C$10/2000</f>
        <v>7.7294117647058812E-7</v>
      </c>
      <c r="H27" s="506">
        <f t="shared" ref="H27:H42" si="7">IF(C27&gt;0,C27,B27)*C$9*(1-D27)*C$11/2000</f>
        <v>0</v>
      </c>
    </row>
    <row r="28" spans="1:8">
      <c r="A28" s="327" t="s">
        <v>90</v>
      </c>
      <c r="B28" s="504">
        <f>IFERROR(INDEX('aq-f13-ecs01 Emission Factors'!$A$2:$CH$104,MATCH($A28,'aq-f13-ecs01 Emission Factors'!$A$2:$A$104,0),MATCH(C$12,'aq-f13-ecs01 Emission Factors'!$A$2:$CH$2,0)),"")</f>
        <v>2.0000000000000001E-4</v>
      </c>
      <c r="C28" s="507"/>
      <c r="D28" s="508"/>
      <c r="E28" s="505">
        <f t="shared" si="4"/>
        <v>2.9411764705882351E-8</v>
      </c>
      <c r="F28" s="505">
        <f t="shared" si="5"/>
        <v>2.9411764705882351E-8</v>
      </c>
      <c r="G28" s="505">
        <f t="shared" si="6"/>
        <v>1.2882352941176469E-7</v>
      </c>
      <c r="H28" s="506">
        <f t="shared" si="7"/>
        <v>0</v>
      </c>
    </row>
    <row r="29" spans="1:8">
      <c r="A29" s="319" t="s">
        <v>91</v>
      </c>
      <c r="B29" s="489">
        <f>IFERROR(INDEX('aq-f13-ecs01 Emission Factors'!$A$2:$CH$104,MATCH($A29,'aq-f13-ecs01 Emission Factors'!$A$2:$A$104,0),MATCH(C$12,'aq-f13-ecs01 Emission Factors'!$A$2:$CH$2,0)),"")</f>
        <v>2.0999999999999999E-3</v>
      </c>
      <c r="C29" s="490"/>
      <c r="D29" s="491"/>
      <c r="E29" s="492">
        <f t="shared" si="4"/>
        <v>3.0882352941176466E-7</v>
      </c>
      <c r="F29" s="492">
        <f t="shared" si="5"/>
        <v>3.0882352941176466E-7</v>
      </c>
      <c r="G29" s="492">
        <f t="shared" si="6"/>
        <v>1.3526470588235293E-6</v>
      </c>
      <c r="H29" s="493">
        <f t="shared" si="7"/>
        <v>0</v>
      </c>
    </row>
    <row r="30" spans="1:8">
      <c r="A30" s="319" t="s">
        <v>92</v>
      </c>
      <c r="B30" s="489">
        <f>IFERROR(INDEX('aq-f13-ecs01 Emission Factors'!$A$2:$CH$104,MATCH($A30,'aq-f13-ecs01 Emission Factors'!$A$2:$A$104,0),MATCH(C$12,'aq-f13-ecs01 Emission Factors'!$A$2:$CH$2,0)),"")</f>
        <v>1.2E-5</v>
      </c>
      <c r="C30" s="490"/>
      <c r="D30" s="491"/>
      <c r="E30" s="492">
        <f t="shared" si="4"/>
        <v>1.7647058823529412E-9</v>
      </c>
      <c r="F30" s="492">
        <f t="shared" si="5"/>
        <v>1.7647058823529412E-9</v>
      </c>
      <c r="G30" s="492">
        <f t="shared" si="6"/>
        <v>7.7294117647058823E-9</v>
      </c>
      <c r="H30" s="493">
        <f t="shared" si="7"/>
        <v>0</v>
      </c>
    </row>
    <row r="31" spans="1:8">
      <c r="A31" s="319" t="s">
        <v>93</v>
      </c>
      <c r="B31" s="489">
        <f>IFERROR(INDEX('aq-f13-ecs01 Emission Factors'!$A$2:$CH$104,MATCH($A31,'aq-f13-ecs01 Emission Factors'!$A$2:$A$104,0),MATCH(C$12,'aq-f13-ecs01 Emission Factors'!$A$2:$CH$2,0)),"")</f>
        <v>1.1000000000000001E-3</v>
      </c>
      <c r="C31" s="490"/>
      <c r="D31" s="491"/>
      <c r="E31" s="492">
        <f t="shared" si="4"/>
        <v>1.6176470588235293E-7</v>
      </c>
      <c r="F31" s="492">
        <f t="shared" si="5"/>
        <v>1.6176470588235293E-7</v>
      </c>
      <c r="G31" s="492">
        <f t="shared" si="6"/>
        <v>7.0852941176470583E-7</v>
      </c>
      <c r="H31" s="493">
        <f t="shared" si="7"/>
        <v>0</v>
      </c>
    </row>
    <row r="32" spans="1:8">
      <c r="A32" s="319" t="s">
        <v>94</v>
      </c>
      <c r="B32" s="489">
        <f>IFERROR(INDEX('aq-f13-ecs01 Emission Factors'!$A$2:$CH$104,MATCH($A32,'aq-f13-ecs01 Emission Factors'!$A$2:$A$104,0),MATCH(C$12,'aq-f13-ecs01 Emission Factors'!$A$2:$CH$2,0)),"")</f>
        <v>1.4E-3</v>
      </c>
      <c r="C32" s="490"/>
      <c r="D32" s="491"/>
      <c r="E32" s="492">
        <f t="shared" si="4"/>
        <v>2.0588235294117645E-7</v>
      </c>
      <c r="F32" s="492">
        <f t="shared" si="5"/>
        <v>2.0588235294117645E-7</v>
      </c>
      <c r="G32" s="492">
        <f t="shared" si="6"/>
        <v>9.0176470588235291E-7</v>
      </c>
      <c r="H32" s="493">
        <f t="shared" si="7"/>
        <v>0</v>
      </c>
    </row>
    <row r="33" spans="1:8">
      <c r="A33" s="319" t="s">
        <v>95</v>
      </c>
      <c r="B33" s="489">
        <f>IFERROR(INDEX('aq-f13-ecs01 Emission Factors'!$A$2:$CH$104,MATCH($A33,'aq-f13-ecs01 Emission Factors'!$A$2:$A$104,0),MATCH(C$12,'aq-f13-ecs01 Emission Factors'!$A$2:$CH$2,0)),"")</f>
        <v>8.3999999999999995E-5</v>
      </c>
      <c r="C33" s="490"/>
      <c r="D33" s="491"/>
      <c r="E33" s="492">
        <f t="shared" si="4"/>
        <v>1.2352941176470587E-8</v>
      </c>
      <c r="F33" s="492">
        <f t="shared" si="5"/>
        <v>1.2352941176470587E-8</v>
      </c>
      <c r="G33" s="492">
        <f t="shared" si="6"/>
        <v>5.4105882352941169E-8</v>
      </c>
      <c r="H33" s="493">
        <f t="shared" si="7"/>
        <v>0</v>
      </c>
    </row>
    <row r="34" spans="1:8">
      <c r="A34" s="319" t="s">
        <v>96</v>
      </c>
      <c r="B34" s="489">
        <f>IFERROR(INDEX('aq-f13-ecs01 Emission Factors'!$A$2:$CH$104,MATCH($A34,'aq-f13-ecs01 Emission Factors'!$A$2:$A$104,0),MATCH(C$12,'aq-f13-ecs01 Emission Factors'!$A$2:$CH$2,0)),"")</f>
        <v>7.4999999999999997E-2</v>
      </c>
      <c r="C34" s="490"/>
      <c r="D34" s="491"/>
      <c r="E34" s="492">
        <f t="shared" si="4"/>
        <v>1.1029411764705881E-5</v>
      </c>
      <c r="F34" s="492">
        <f t="shared" si="5"/>
        <v>1.1029411764705881E-5</v>
      </c>
      <c r="G34" s="492">
        <f t="shared" si="6"/>
        <v>4.8308823529411757E-5</v>
      </c>
      <c r="H34" s="493">
        <f t="shared" si="7"/>
        <v>0</v>
      </c>
    </row>
    <row r="35" spans="1:8">
      <c r="A35" s="319" t="s">
        <v>97</v>
      </c>
      <c r="B35" s="489">
        <f>IFERROR(INDEX('aq-f13-ecs01 Emission Factors'!$A$2:$CH$104,MATCH($A35,'aq-f13-ecs01 Emission Factors'!$A$2:$A$104,0),MATCH(C$12,'aq-f13-ecs01 Emission Factors'!$A$2:$CH$2,0)),"")</f>
        <v>1.8</v>
      </c>
      <c r="C35" s="490"/>
      <c r="D35" s="491"/>
      <c r="E35" s="492">
        <f t="shared" si="4"/>
        <v>2.6470588235294115E-4</v>
      </c>
      <c r="F35" s="492">
        <f t="shared" si="5"/>
        <v>2.6470588235294115E-4</v>
      </c>
      <c r="G35" s="492">
        <f t="shared" si="6"/>
        <v>1.1594117647058821E-3</v>
      </c>
      <c r="H35" s="493">
        <f t="shared" si="7"/>
        <v>0</v>
      </c>
    </row>
    <row r="36" spans="1:8">
      <c r="A36" s="319" t="s">
        <v>98</v>
      </c>
      <c r="B36" s="489">
        <f>IFERROR(INDEX('aq-f13-ecs01 Emission Factors'!$A$2:$CH$104,MATCH($A36,'aq-f13-ecs01 Emission Factors'!$A$2:$A$104,0),MATCH(C$12,'aq-f13-ecs01 Emission Factors'!$A$2:$CH$2,0)),"")</f>
        <v>3.8000000000000002E-4</v>
      </c>
      <c r="C36" s="490"/>
      <c r="D36" s="491"/>
      <c r="E36" s="492">
        <f t="shared" si="4"/>
        <v>5.5882352941176467E-8</v>
      </c>
      <c r="F36" s="492">
        <f t="shared" si="5"/>
        <v>5.5882352941176467E-8</v>
      </c>
      <c r="G36" s="492">
        <f t="shared" si="6"/>
        <v>2.4476470588235289E-7</v>
      </c>
      <c r="H36" s="493">
        <f t="shared" si="7"/>
        <v>0</v>
      </c>
    </row>
    <row r="37" spans="1:8">
      <c r="A37" s="319" t="s">
        <v>99</v>
      </c>
      <c r="B37" s="489">
        <f>IFERROR(INDEX('aq-f13-ecs01 Emission Factors'!$A$2:$CH$104,MATCH($A37,'aq-f13-ecs01 Emission Factors'!$A$2:$A$104,0),MATCH(C$12,'aq-f13-ecs01 Emission Factors'!$A$2:$CH$2,0)),"")</f>
        <v>2.5999999999999998E-4</v>
      </c>
      <c r="C37" s="490"/>
      <c r="D37" s="491"/>
      <c r="E37" s="492">
        <f t="shared" si="4"/>
        <v>3.8235294117647052E-8</v>
      </c>
      <c r="F37" s="492">
        <f t="shared" si="5"/>
        <v>3.8235294117647052E-8</v>
      </c>
      <c r="G37" s="492">
        <f t="shared" si="6"/>
        <v>1.674705882352941E-7</v>
      </c>
      <c r="H37" s="493">
        <f t="shared" si="7"/>
        <v>0</v>
      </c>
    </row>
    <row r="38" spans="1:8">
      <c r="A38" s="319" t="s">
        <v>100</v>
      </c>
      <c r="B38" s="489">
        <f>IFERROR(INDEX('aq-f13-ecs01 Emission Factors'!$A$2:$CH$104,MATCH($A38,'aq-f13-ecs01 Emission Factors'!$A$2:$A$104,0),MATCH(C$12,'aq-f13-ecs01 Emission Factors'!$A$2:$CH$2,0)),"")</f>
        <v>6.0999999999999997E-4</v>
      </c>
      <c r="C38" s="490"/>
      <c r="D38" s="491"/>
      <c r="E38" s="492">
        <f t="shared" si="4"/>
        <v>8.9705882352941164E-8</v>
      </c>
      <c r="F38" s="492">
        <f t="shared" si="5"/>
        <v>8.9705882352941164E-8</v>
      </c>
      <c r="G38" s="492">
        <f t="shared" si="6"/>
        <v>3.929117647058823E-7</v>
      </c>
      <c r="H38" s="493">
        <f t="shared" si="7"/>
        <v>0</v>
      </c>
    </row>
    <row r="39" spans="1:8">
      <c r="A39" s="319" t="s">
        <v>101</v>
      </c>
      <c r="B39" s="489">
        <f>IFERROR(INDEX('aq-f13-ecs01 Emission Factors'!$A$2:$CH$104,MATCH($A39,'aq-f13-ecs01 Emission Factors'!$A$2:$A$104,0),MATCH(C$12,'aq-f13-ecs01 Emission Factors'!$A$2:$CH$2,0)),"")</f>
        <v>2.0999999999999999E-3</v>
      </c>
      <c r="C39" s="490"/>
      <c r="D39" s="491"/>
      <c r="E39" s="492">
        <f t="shared" si="4"/>
        <v>3.0882352941176466E-7</v>
      </c>
      <c r="F39" s="492">
        <f t="shared" si="5"/>
        <v>3.0882352941176466E-7</v>
      </c>
      <c r="G39" s="492">
        <f t="shared" si="6"/>
        <v>1.3526470588235293E-6</v>
      </c>
      <c r="H39" s="493">
        <f t="shared" si="7"/>
        <v>0</v>
      </c>
    </row>
    <row r="40" spans="1:8">
      <c r="A40" s="319" t="s">
        <v>102</v>
      </c>
      <c r="B40" s="489">
        <f>IFERROR(INDEX('aq-f13-ecs01 Emission Factors'!$A$2:$CH$104,MATCH($A40,'aq-f13-ecs01 Emission Factors'!$A$2:$A$104,0),MATCH(C$12,'aq-f13-ecs01 Emission Factors'!$A$2:$CH$2,0)),"")</f>
        <v>6.9819999999999995E-4</v>
      </c>
      <c r="C40" s="490"/>
      <c r="D40" s="491"/>
      <c r="E40" s="492">
        <f t="shared" si="4"/>
        <v>1.0267647058823528E-7</v>
      </c>
      <c r="F40" s="492">
        <f t="shared" si="5"/>
        <v>1.0267647058823528E-7</v>
      </c>
      <c r="G40" s="492">
        <f t="shared" si="6"/>
        <v>4.4972294117647053E-7</v>
      </c>
      <c r="H40" s="493">
        <f t="shared" si="7"/>
        <v>0</v>
      </c>
    </row>
    <row r="41" spans="1:8">
      <c r="A41" s="319" t="s">
        <v>103</v>
      </c>
      <c r="B41" s="489">
        <f>IFERROR(INDEX('aq-f13-ecs01 Emission Factors'!$A$2:$CH$104,MATCH($A41,'aq-f13-ecs01 Emission Factors'!$A$2:$A$104,0),MATCH(C$12,'aq-f13-ecs01 Emission Factors'!$A$2:$CH$2,0)),"")</f>
        <v>2.4000000000000001E-5</v>
      </c>
      <c r="C41" s="490"/>
      <c r="D41" s="491"/>
      <c r="E41" s="492">
        <f t="shared" si="4"/>
        <v>3.5294117647058823E-9</v>
      </c>
      <c r="F41" s="492">
        <f t="shared" si="5"/>
        <v>3.5294117647058823E-9</v>
      </c>
      <c r="G41" s="492">
        <f t="shared" si="6"/>
        <v>1.5458823529411765E-8</v>
      </c>
      <c r="H41" s="493">
        <f t="shared" si="7"/>
        <v>0</v>
      </c>
    </row>
    <row r="42" spans="1:8" ht="13.5" thickBot="1">
      <c r="A42" s="322" t="s">
        <v>104</v>
      </c>
      <c r="B42" s="499">
        <f>IFERROR(INDEX('aq-f13-ecs01 Emission Factors'!$A$2:$CH$104,MATCH($A42,'aq-f13-ecs01 Emission Factors'!$A$2:$A$104,0),MATCH(C$12,'aq-f13-ecs01 Emission Factors'!$A$2:$CH$2,0)),"")</f>
        <v>3.3999999999999998E-3</v>
      </c>
      <c r="C42" s="500"/>
      <c r="D42" s="501"/>
      <c r="E42" s="502">
        <f t="shared" si="4"/>
        <v>4.9999999999999998E-7</v>
      </c>
      <c r="F42" s="502">
        <f t="shared" si="5"/>
        <v>4.9999999999999998E-7</v>
      </c>
      <c r="G42" s="502">
        <f t="shared" si="6"/>
        <v>2.1900000000000002E-6</v>
      </c>
      <c r="H42" s="503">
        <f t="shared" si="7"/>
        <v>0</v>
      </c>
    </row>
    <row r="43" spans="1:8">
      <c r="A43" s="465"/>
      <c r="B43" s="509" t="s">
        <v>105</v>
      </c>
      <c r="C43" s="510"/>
      <c r="D43" s="465"/>
      <c r="E43" s="465"/>
      <c r="F43" s="465"/>
      <c r="G43" s="465"/>
      <c r="H43" s="465"/>
    </row>
    <row r="44" spans="1:8">
      <c r="A44" s="465"/>
      <c r="B44" s="511" t="s">
        <v>106</v>
      </c>
      <c r="C44" s="512"/>
      <c r="D44" s="512"/>
      <c r="E44" s="512"/>
      <c r="F44" s="513"/>
      <c r="G44" s="514"/>
      <c r="H44" s="514"/>
    </row>
    <row r="45" spans="1:8">
      <c r="A45" s="465"/>
      <c r="B45" s="510"/>
      <c r="C45" s="510"/>
      <c r="D45" s="510"/>
      <c r="E45" s="510"/>
      <c r="F45" s="510"/>
      <c r="G45" s="510"/>
      <c r="H45" s="510"/>
    </row>
    <row r="46" spans="1:8">
      <c r="A46" s="515"/>
      <c r="B46" s="516" t="s">
        <v>107</v>
      </c>
      <c r="C46" s="465"/>
      <c r="D46" s="465"/>
      <c r="E46" s="465"/>
      <c r="F46" s="465"/>
      <c r="G46" s="465"/>
      <c r="H46" s="517"/>
    </row>
    <row r="47" spans="1:8">
      <c r="A47" s="515"/>
      <c r="B47" s="465" t="s">
        <v>108</v>
      </c>
      <c r="C47" s="518"/>
      <c r="D47" s="518"/>
      <c r="E47" s="518"/>
      <c r="F47" s="518"/>
      <c r="G47" s="518"/>
      <c r="H47" s="517"/>
    </row>
    <row r="48" spans="1:8">
      <c r="A48" s="515"/>
      <c r="B48" s="518" t="s">
        <v>109</v>
      </c>
      <c r="C48" s="465"/>
      <c r="D48" s="465"/>
      <c r="E48" s="465"/>
      <c r="F48" s="518"/>
      <c r="G48" s="518"/>
      <c r="H48" s="517"/>
    </row>
  </sheetData>
  <protectedRanges>
    <protectedRange sqref="B43:H43" name="Notes_1"/>
  </protectedRanges>
  <mergeCells count="1">
    <mergeCell ref="A3:D5"/>
  </mergeCells>
  <dataValidations count="1">
    <dataValidation type="list" allowBlank="1" showInputMessage="1" showErrorMessage="1" sqref="C12" xr:uid="{BD3572C5-D342-4B5F-BCA3-B9F9C5D3CAB3}">
      <formula1>$A$47:$A$56</formula1>
    </dataValidation>
  </dataValidations>
  <pageMargins left="0.7" right="0.7" top="0.75" bottom="0.75" header="0.3" footer="0.3"/>
  <pageSetup scale="75" orientation="landscape" r:id="rId1"/>
  <headerFooter>
    <oddHeader>&amp;C&amp;"Aptos Narrow,Bold"&amp;14&amp;A Emission Calculations</oddHeader>
    <oddFooter>&amp;L&amp;"Aptos Narrow,Regular"St. Paul Brass &amp; Aluminum Foundry (Facility ID: 12300001)
B2303515&amp;C&amp;"Aptos Narrow,Regular"&amp;P of &amp;N&amp;R&amp;"-,Regular"&amp;D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88813-AE22-4DD7-83FA-89972404E446}">
  <sheetPr codeName="Sheet26"/>
  <dimension ref="A1:K38"/>
  <sheetViews>
    <sheetView topLeftCell="A2" zoomScaleNormal="100" workbookViewId="0">
      <selection activeCell="A39" sqref="A38:A39"/>
    </sheetView>
  </sheetViews>
  <sheetFormatPr defaultRowHeight="12.5"/>
  <cols>
    <col min="2" max="2" width="22.7265625" bestFit="1" customWidth="1"/>
    <col min="3" max="3" width="11.453125" bestFit="1" customWidth="1"/>
    <col min="4" max="11" width="9.26953125" customWidth="1"/>
  </cols>
  <sheetData>
    <row r="1" spans="1:11" ht="13.5" customHeight="1" thickBot="1"/>
    <row r="2" spans="1:11" ht="26">
      <c r="A2" s="562" t="s">
        <v>167</v>
      </c>
      <c r="B2" s="564" t="s">
        <v>168</v>
      </c>
      <c r="C2" s="564" t="s">
        <v>169</v>
      </c>
      <c r="D2" s="565">
        <v>2022</v>
      </c>
      <c r="E2" s="566" t="s">
        <v>1</v>
      </c>
      <c r="F2" s="565">
        <v>2023</v>
      </c>
      <c r="G2" s="566" t="s">
        <v>1</v>
      </c>
      <c r="H2" s="565">
        <v>2024</v>
      </c>
      <c r="I2" s="567" t="s">
        <v>1</v>
      </c>
      <c r="J2" s="565">
        <v>2025</v>
      </c>
      <c r="K2" s="567" t="s">
        <v>1</v>
      </c>
    </row>
    <row r="3" spans="1:11" ht="13">
      <c r="A3" s="771" t="s">
        <v>170</v>
      </c>
      <c r="B3" s="773" t="s">
        <v>171</v>
      </c>
      <c r="C3" s="774" t="s">
        <v>172</v>
      </c>
      <c r="D3" s="775">
        <v>3.64</v>
      </c>
      <c r="E3" s="776" t="s">
        <v>173</v>
      </c>
      <c r="F3" s="775">
        <v>2.3450000000000002</v>
      </c>
      <c r="G3" s="776" t="s">
        <v>173</v>
      </c>
      <c r="H3" s="775">
        <v>2.0449999999999999</v>
      </c>
      <c r="I3" s="777" t="s">
        <v>173</v>
      </c>
      <c r="J3" s="775">
        <v>2.91</v>
      </c>
      <c r="K3" s="777" t="s">
        <v>173</v>
      </c>
    </row>
    <row r="4" spans="1:11" ht="13">
      <c r="A4" s="771" t="s">
        <v>174</v>
      </c>
      <c r="B4" s="773" t="s">
        <v>175</v>
      </c>
      <c r="C4" s="778" t="s">
        <v>176</v>
      </c>
      <c r="D4" s="775">
        <v>299.35000000000002</v>
      </c>
      <c r="E4" s="776" t="s">
        <v>173</v>
      </c>
      <c r="F4" s="775">
        <v>258.42</v>
      </c>
      <c r="G4" s="776" t="s">
        <v>173</v>
      </c>
      <c r="H4" s="775">
        <v>274.18</v>
      </c>
      <c r="I4" s="777" t="s">
        <v>173</v>
      </c>
      <c r="J4" s="956">
        <v>299.86694999999997</v>
      </c>
      <c r="K4" s="777" t="s">
        <v>173</v>
      </c>
    </row>
    <row r="5" spans="1:11" ht="13">
      <c r="A5" s="771" t="s">
        <v>177</v>
      </c>
      <c r="B5" s="773" t="s">
        <v>178</v>
      </c>
      <c r="C5" s="778" t="s">
        <v>176</v>
      </c>
      <c r="D5" s="775">
        <v>99.78</v>
      </c>
      <c r="E5" s="776" t="s">
        <v>173</v>
      </c>
      <c r="F5" s="775">
        <v>86.14</v>
      </c>
      <c r="G5" s="776" t="s">
        <v>173</v>
      </c>
      <c r="H5" s="775">
        <v>91.39</v>
      </c>
      <c r="I5" s="777" t="s">
        <v>173</v>
      </c>
      <c r="J5" s="956">
        <v>99.955650000000006</v>
      </c>
      <c r="K5" s="777" t="s">
        <v>173</v>
      </c>
    </row>
    <row r="6" spans="1:11" ht="13">
      <c r="A6" s="771" t="s">
        <v>179</v>
      </c>
      <c r="B6" s="773" t="s">
        <v>50</v>
      </c>
      <c r="C6" s="778" t="s">
        <v>176</v>
      </c>
      <c r="D6" s="775">
        <v>33.26</v>
      </c>
      <c r="E6" s="776" t="s">
        <v>173</v>
      </c>
      <c r="F6" s="775">
        <v>28.71</v>
      </c>
      <c r="G6" s="776" t="s">
        <v>173</v>
      </c>
      <c r="H6" s="775">
        <v>30.46</v>
      </c>
      <c r="I6" s="777" t="s">
        <v>173</v>
      </c>
      <c r="J6" s="956">
        <v>33.318550000000002</v>
      </c>
      <c r="K6" s="777" t="s">
        <v>173</v>
      </c>
    </row>
    <row r="7" spans="1:11" ht="13">
      <c r="A7" s="771" t="s">
        <v>120</v>
      </c>
      <c r="B7" s="773" t="s">
        <v>180</v>
      </c>
      <c r="C7" s="774" t="s">
        <v>172</v>
      </c>
      <c r="D7" s="779">
        <v>1527.57</v>
      </c>
      <c r="E7" s="776" t="s">
        <v>173</v>
      </c>
      <c r="F7" s="779">
        <v>1483.33</v>
      </c>
      <c r="G7" s="776" t="s">
        <v>173</v>
      </c>
      <c r="H7" s="779">
        <v>1157.0899999999999</v>
      </c>
      <c r="I7" s="777" t="s">
        <v>173</v>
      </c>
      <c r="J7" s="779">
        <v>1406.04</v>
      </c>
      <c r="K7" s="777" t="s">
        <v>173</v>
      </c>
    </row>
    <row r="8" spans="1:11" ht="13">
      <c r="A8" s="771" t="s">
        <v>124</v>
      </c>
      <c r="B8" s="773" t="s">
        <v>181</v>
      </c>
      <c r="C8" s="774" t="s">
        <v>172</v>
      </c>
      <c r="D8" s="775">
        <v>37.56</v>
      </c>
      <c r="E8" s="776" t="s">
        <v>173</v>
      </c>
      <c r="F8" s="775">
        <v>0</v>
      </c>
      <c r="G8" s="776" t="s">
        <v>173</v>
      </c>
      <c r="H8" s="775">
        <v>186.72</v>
      </c>
      <c r="I8" s="777" t="s">
        <v>173</v>
      </c>
      <c r="J8" s="956">
        <v>59.16</v>
      </c>
      <c r="K8" s="777" t="s">
        <v>173</v>
      </c>
    </row>
    <row r="9" spans="1:11" ht="13">
      <c r="A9" s="771" t="s">
        <v>182</v>
      </c>
      <c r="B9" s="773" t="s">
        <v>183</v>
      </c>
      <c r="C9" s="778" t="s">
        <v>176</v>
      </c>
      <c r="D9" s="775">
        <v>104.67</v>
      </c>
      <c r="E9" s="776" t="s">
        <v>173</v>
      </c>
      <c r="F9" s="775">
        <v>86.37</v>
      </c>
      <c r="G9" s="776" t="s">
        <v>173</v>
      </c>
      <c r="H9" s="775">
        <v>82.36</v>
      </c>
      <c r="I9" s="777" t="s">
        <v>173</v>
      </c>
      <c r="J9" s="956">
        <v>112.14449999999999</v>
      </c>
      <c r="K9" s="777" t="s">
        <v>173</v>
      </c>
    </row>
    <row r="10" spans="1:11" ht="13">
      <c r="A10" s="771" t="s">
        <v>184</v>
      </c>
      <c r="B10" s="773" t="s">
        <v>185</v>
      </c>
      <c r="C10" s="778" t="s">
        <v>176</v>
      </c>
      <c r="D10" s="775">
        <v>34.89</v>
      </c>
      <c r="E10" s="776" t="s">
        <v>173</v>
      </c>
      <c r="F10" s="775">
        <v>28.79</v>
      </c>
      <c r="G10" s="776" t="s">
        <v>173</v>
      </c>
      <c r="H10" s="775">
        <v>27.45</v>
      </c>
      <c r="I10" s="777" t="s">
        <v>173</v>
      </c>
      <c r="J10" s="956">
        <v>37.381500000000003</v>
      </c>
      <c r="K10" s="777" t="s">
        <v>173</v>
      </c>
    </row>
    <row r="11" spans="1:11" ht="13">
      <c r="A11" s="771" t="s">
        <v>186</v>
      </c>
      <c r="B11" s="773" t="s">
        <v>187</v>
      </c>
      <c r="C11" s="778" t="s">
        <v>176</v>
      </c>
      <c r="D11" s="775">
        <v>39.54</v>
      </c>
      <c r="E11" s="776" t="s">
        <v>173</v>
      </c>
      <c r="F11" s="775">
        <v>35.799999999999997</v>
      </c>
      <c r="G11" s="776" t="s">
        <v>173</v>
      </c>
      <c r="H11" s="775">
        <v>41.85</v>
      </c>
      <c r="I11" s="777" t="s">
        <v>173</v>
      </c>
      <c r="J11" s="956">
        <v>36.569499999999998</v>
      </c>
      <c r="K11" s="777" t="s">
        <v>173</v>
      </c>
    </row>
    <row r="12" spans="1:11" ht="13">
      <c r="A12" s="771" t="s">
        <v>188</v>
      </c>
      <c r="B12" s="773" t="s">
        <v>189</v>
      </c>
      <c r="C12" s="778" t="s">
        <v>176</v>
      </c>
      <c r="D12" s="775">
        <v>39.54</v>
      </c>
      <c r="E12" s="776" t="s">
        <v>173</v>
      </c>
      <c r="F12" s="775">
        <v>35.799999999999997</v>
      </c>
      <c r="G12" s="776" t="s">
        <v>173</v>
      </c>
      <c r="H12" s="775">
        <v>41.85</v>
      </c>
      <c r="I12" s="777" t="s">
        <v>173</v>
      </c>
      <c r="J12" s="956">
        <v>36.569499999999998</v>
      </c>
      <c r="K12" s="777" t="s">
        <v>173</v>
      </c>
    </row>
    <row r="13" spans="1:11" ht="13">
      <c r="A13" s="771" t="s">
        <v>190</v>
      </c>
      <c r="B13" s="773" t="s">
        <v>191</v>
      </c>
      <c r="C13" s="778" t="s">
        <v>176</v>
      </c>
      <c r="D13" s="775">
        <v>39.54</v>
      </c>
      <c r="E13" s="776" t="s">
        <v>173</v>
      </c>
      <c r="F13" s="775">
        <v>35.799999999999997</v>
      </c>
      <c r="G13" s="776" t="s">
        <v>173</v>
      </c>
      <c r="H13" s="775">
        <v>0</v>
      </c>
      <c r="I13" s="777" t="s">
        <v>173</v>
      </c>
      <c r="J13" s="775">
        <v>0</v>
      </c>
      <c r="K13" s="777" t="s">
        <v>173</v>
      </c>
    </row>
    <row r="14" spans="1:11" ht="13">
      <c r="A14" s="771" t="s">
        <v>192</v>
      </c>
      <c r="B14" s="773" t="s">
        <v>193</v>
      </c>
      <c r="C14" s="778" t="s">
        <v>176</v>
      </c>
      <c r="D14" s="775">
        <v>23.72</v>
      </c>
      <c r="E14" s="776" t="s">
        <v>173</v>
      </c>
      <c r="F14" s="775">
        <v>21.48</v>
      </c>
      <c r="G14" s="776" t="s">
        <v>173</v>
      </c>
      <c r="H14" s="775">
        <v>41.85</v>
      </c>
      <c r="I14" s="777" t="s">
        <v>173</v>
      </c>
      <c r="J14" s="956">
        <v>36.569499999999998</v>
      </c>
      <c r="K14" s="777" t="s">
        <v>173</v>
      </c>
    </row>
    <row r="15" spans="1:11" ht="13">
      <c r="A15" s="771" t="s">
        <v>194</v>
      </c>
      <c r="B15" s="773" t="s">
        <v>30</v>
      </c>
      <c r="C15" s="778" t="s">
        <v>176</v>
      </c>
      <c r="D15" s="775">
        <v>332.61</v>
      </c>
      <c r="E15" s="776" t="s">
        <v>173</v>
      </c>
      <c r="F15" s="775">
        <v>287.13</v>
      </c>
      <c r="G15" s="776" t="s">
        <v>173</v>
      </c>
      <c r="H15" s="775">
        <v>114.35</v>
      </c>
      <c r="I15" s="777" t="s">
        <v>173</v>
      </c>
      <c r="J15" s="1379" t="s">
        <v>1265</v>
      </c>
      <c r="K15" s="777" t="s">
        <v>173</v>
      </c>
    </row>
    <row r="16" spans="1:11" ht="13">
      <c r="A16" s="771" t="s">
        <v>195</v>
      </c>
      <c r="B16" s="773" t="s">
        <v>196</v>
      </c>
      <c r="C16" s="778" t="s">
        <v>176</v>
      </c>
      <c r="D16" s="775">
        <v>15.82</v>
      </c>
      <c r="E16" s="776" t="s">
        <v>173</v>
      </c>
      <c r="F16" s="775">
        <v>14.32</v>
      </c>
      <c r="G16" s="776" t="s">
        <v>173</v>
      </c>
      <c r="H16" s="775">
        <v>41.85</v>
      </c>
      <c r="I16" s="777" t="s">
        <v>173</v>
      </c>
      <c r="J16" s="956">
        <v>36.569499999999998</v>
      </c>
      <c r="K16" s="777" t="s">
        <v>173</v>
      </c>
    </row>
    <row r="17" spans="1:11" ht="13">
      <c r="A17" s="1542" t="s">
        <v>126</v>
      </c>
      <c r="B17" s="1543" t="s">
        <v>197</v>
      </c>
      <c r="C17" s="774" t="s">
        <v>172</v>
      </c>
      <c r="D17" s="779">
        <v>2078.58</v>
      </c>
      <c r="E17" s="776" t="s">
        <v>173</v>
      </c>
      <c r="F17" s="779">
        <v>1737.9</v>
      </c>
      <c r="G17" s="776" t="s">
        <v>173</v>
      </c>
      <c r="H17" s="779">
        <v>2191.79</v>
      </c>
      <c r="I17" s="777" t="s">
        <v>173</v>
      </c>
      <c r="J17" s="779">
        <v>2045.05</v>
      </c>
      <c r="K17" s="777" t="s">
        <v>173</v>
      </c>
    </row>
    <row r="18" spans="1:11" ht="13">
      <c r="A18" s="1542"/>
      <c r="B18" s="1543"/>
      <c r="C18" s="780" t="s">
        <v>781</v>
      </c>
      <c r="D18" s="779">
        <v>33257.279999999999</v>
      </c>
      <c r="E18" s="776" t="s">
        <v>198</v>
      </c>
      <c r="F18" s="779">
        <v>27806.36</v>
      </c>
      <c r="G18" s="776" t="s">
        <v>198</v>
      </c>
      <c r="H18" s="779">
        <v>39452.15</v>
      </c>
      <c r="I18" s="777" t="s">
        <v>198</v>
      </c>
      <c r="J18" s="779">
        <v>32720.856</v>
      </c>
      <c r="K18" s="777" t="s">
        <v>198</v>
      </c>
    </row>
    <row r="19" spans="1:11" ht="13">
      <c r="A19" s="771" t="s">
        <v>129</v>
      </c>
      <c r="B19" s="773" t="s">
        <v>199</v>
      </c>
      <c r="C19" s="774" t="s">
        <v>172</v>
      </c>
      <c r="D19" s="775">
        <v>0</v>
      </c>
      <c r="E19" s="776" t="s">
        <v>173</v>
      </c>
      <c r="F19" s="775">
        <v>0</v>
      </c>
      <c r="G19" s="776" t="s">
        <v>173</v>
      </c>
      <c r="H19" s="775">
        <v>0</v>
      </c>
      <c r="I19" s="777" t="s">
        <v>173</v>
      </c>
      <c r="J19" s="775">
        <v>0</v>
      </c>
      <c r="K19" s="777" t="s">
        <v>173</v>
      </c>
    </row>
    <row r="20" spans="1:11" ht="13">
      <c r="A20" s="771" t="s">
        <v>131</v>
      </c>
      <c r="B20" s="773" t="s">
        <v>200</v>
      </c>
      <c r="C20" s="774" t="s">
        <v>172</v>
      </c>
      <c r="D20" s="775">
        <v>0</v>
      </c>
      <c r="E20" s="776" t="s">
        <v>173</v>
      </c>
      <c r="F20" s="775">
        <v>0</v>
      </c>
      <c r="G20" s="776" t="s">
        <v>173</v>
      </c>
      <c r="H20" s="775">
        <v>14.03</v>
      </c>
      <c r="I20" s="777" t="s">
        <v>173</v>
      </c>
      <c r="J20" s="775">
        <v>59.16</v>
      </c>
      <c r="K20" s="777" t="s">
        <v>173</v>
      </c>
    </row>
    <row r="21" spans="1:11" ht="13">
      <c r="A21" s="1542" t="s">
        <v>133</v>
      </c>
      <c r="B21" s="1543" t="s">
        <v>201</v>
      </c>
      <c r="C21" s="774" t="s">
        <v>172</v>
      </c>
      <c r="D21" s="775">
        <v>19.440000000000001</v>
      </c>
      <c r="E21" s="776" t="s">
        <v>173</v>
      </c>
      <c r="F21" s="775">
        <v>22.81</v>
      </c>
      <c r="G21" s="776" t="s">
        <v>173</v>
      </c>
      <c r="H21" s="775">
        <v>9.8000000000000007</v>
      </c>
      <c r="I21" s="777" t="s">
        <v>173</v>
      </c>
      <c r="J21" s="775">
        <v>11.55</v>
      </c>
      <c r="K21" s="777" t="s">
        <v>173</v>
      </c>
    </row>
    <row r="22" spans="1:11" ht="13">
      <c r="A22" s="1542"/>
      <c r="B22" s="1543"/>
      <c r="C22" s="780" t="s">
        <v>782</v>
      </c>
      <c r="D22" s="775">
        <v>214</v>
      </c>
      <c r="E22" s="776" t="s">
        <v>198</v>
      </c>
      <c r="F22" s="775">
        <v>251</v>
      </c>
      <c r="G22" s="776" t="s">
        <v>198</v>
      </c>
      <c r="H22" s="1508">
        <f>0.098*2000</f>
        <v>196</v>
      </c>
      <c r="I22" s="1517" t="s">
        <v>198</v>
      </c>
      <c r="J22" s="1514">
        <v>230.95699999999999</v>
      </c>
      <c r="K22" s="1517" t="s">
        <v>198</v>
      </c>
    </row>
    <row r="23" spans="1:11" ht="13">
      <c r="A23" s="1542"/>
      <c r="B23" s="1543"/>
      <c r="C23" s="780" t="s">
        <v>783</v>
      </c>
      <c r="D23" s="775">
        <v>171</v>
      </c>
      <c r="E23" s="776" t="s">
        <v>198</v>
      </c>
      <c r="F23" s="775">
        <v>205</v>
      </c>
      <c r="G23" s="776" t="s">
        <v>198</v>
      </c>
      <c r="H23" s="1509"/>
      <c r="I23" s="1518"/>
      <c r="J23" s="1515"/>
      <c r="K23" s="1518"/>
    </row>
    <row r="24" spans="1:11" ht="13">
      <c r="A24" s="1542"/>
      <c r="B24" s="1543"/>
      <c r="C24" s="780" t="s">
        <v>784</v>
      </c>
      <c r="D24" s="775">
        <v>73</v>
      </c>
      <c r="E24" s="776" t="s">
        <v>198</v>
      </c>
      <c r="F24" s="775">
        <v>86</v>
      </c>
      <c r="G24" s="776" t="s">
        <v>198</v>
      </c>
      <c r="H24" s="1510"/>
      <c r="I24" s="1519"/>
      <c r="J24" s="1516"/>
      <c r="K24" s="1519"/>
    </row>
    <row r="25" spans="1:11" ht="13">
      <c r="A25" s="771" t="s">
        <v>202</v>
      </c>
      <c r="B25" s="773" t="s">
        <v>203</v>
      </c>
      <c r="C25" s="778" t="s">
        <v>176</v>
      </c>
      <c r="D25" s="775">
        <v>34.89</v>
      </c>
      <c r="E25" s="776" t="s">
        <v>173</v>
      </c>
      <c r="F25" s="775">
        <v>28.79</v>
      </c>
      <c r="G25" s="776" t="s">
        <v>173</v>
      </c>
      <c r="H25" s="775">
        <v>27.45</v>
      </c>
      <c r="I25" s="777" t="s">
        <v>173</v>
      </c>
      <c r="J25" s="956">
        <v>37.381500000000003</v>
      </c>
      <c r="K25" s="777" t="s">
        <v>173</v>
      </c>
    </row>
    <row r="26" spans="1:11" ht="13">
      <c r="A26" s="1542" t="s">
        <v>134</v>
      </c>
      <c r="B26" s="1543" t="s">
        <v>204</v>
      </c>
      <c r="C26" s="774" t="s">
        <v>172</v>
      </c>
      <c r="D26" s="775">
        <v>2.97</v>
      </c>
      <c r="E26" s="776" t="s">
        <v>173</v>
      </c>
      <c r="F26" s="775">
        <v>0</v>
      </c>
      <c r="G26" s="776" t="s">
        <v>173</v>
      </c>
      <c r="H26" s="775">
        <v>0</v>
      </c>
      <c r="I26" s="777" t="s">
        <v>173</v>
      </c>
      <c r="J26" s="775">
        <v>0</v>
      </c>
      <c r="K26" s="777" t="s">
        <v>173</v>
      </c>
    </row>
    <row r="27" spans="1:11" ht="13">
      <c r="A27" s="1542"/>
      <c r="B27" s="1543"/>
      <c r="C27" s="780" t="s">
        <v>781</v>
      </c>
      <c r="D27" s="775">
        <v>16</v>
      </c>
      <c r="E27" s="776" t="s">
        <v>198</v>
      </c>
      <c r="F27" s="775">
        <v>0</v>
      </c>
      <c r="G27" s="776" t="s">
        <v>198</v>
      </c>
      <c r="H27" s="775">
        <v>0</v>
      </c>
      <c r="I27" s="777" t="s">
        <v>198</v>
      </c>
      <c r="J27" s="775">
        <v>0</v>
      </c>
      <c r="K27" s="777" t="s">
        <v>198</v>
      </c>
    </row>
    <row r="28" spans="1:11" ht="13">
      <c r="A28" s="771" t="s">
        <v>205</v>
      </c>
      <c r="B28" s="773" t="s">
        <v>206</v>
      </c>
      <c r="C28" s="778" t="s">
        <v>176</v>
      </c>
      <c r="D28" s="775">
        <v>174.45</v>
      </c>
      <c r="E28" s="776" t="s">
        <v>173</v>
      </c>
      <c r="F28" s="775">
        <v>143.94999999999999</v>
      </c>
      <c r="G28" s="776" t="s">
        <v>173</v>
      </c>
      <c r="H28" s="775">
        <v>137.26</v>
      </c>
      <c r="I28" s="777" t="s">
        <v>173</v>
      </c>
      <c r="J28" s="775">
        <v>186.91</v>
      </c>
      <c r="K28" s="777" t="s">
        <v>173</v>
      </c>
    </row>
    <row r="29" spans="1:11" ht="13">
      <c r="A29" s="825" t="s">
        <v>205</v>
      </c>
      <c r="B29" s="826" t="s">
        <v>207</v>
      </c>
      <c r="C29" s="827" t="s">
        <v>176</v>
      </c>
      <c r="D29" s="828">
        <v>158.16</v>
      </c>
      <c r="E29" s="829" t="s">
        <v>173</v>
      </c>
      <c r="F29" s="828">
        <v>143.18</v>
      </c>
      <c r="G29" s="829" t="s">
        <v>173</v>
      </c>
      <c r="H29" s="828">
        <v>167.38</v>
      </c>
      <c r="I29" s="830" t="s">
        <v>173</v>
      </c>
      <c r="J29" s="1037">
        <v>146.28</v>
      </c>
      <c r="K29" s="777" t="s">
        <v>173</v>
      </c>
    </row>
    <row r="30" spans="1:11" ht="13.5" thickBot="1">
      <c r="A30" s="781" t="s">
        <v>752</v>
      </c>
      <c r="B30" s="783" t="s">
        <v>57</v>
      </c>
      <c r="C30" s="831" t="s">
        <v>785</v>
      </c>
      <c r="D30" s="785">
        <v>55</v>
      </c>
      <c r="E30" s="786" t="s">
        <v>751</v>
      </c>
      <c r="F30" s="785">
        <v>55</v>
      </c>
      <c r="G30" s="786" t="s">
        <v>751</v>
      </c>
      <c r="H30" s="785">
        <v>45</v>
      </c>
      <c r="I30" s="787" t="s">
        <v>751</v>
      </c>
      <c r="J30" s="1035">
        <v>55</v>
      </c>
      <c r="K30" s="1036" t="s">
        <v>751</v>
      </c>
    </row>
    <row r="32" spans="1:11" ht="13">
      <c r="A32" s="963" t="s">
        <v>1025</v>
      </c>
      <c r="C32" s="832"/>
      <c r="D32" s="833"/>
      <c r="F32" s="833"/>
      <c r="H32" s="833"/>
    </row>
    <row r="33" spans="1:1" ht="13">
      <c r="A33" s="963" t="s">
        <v>1026</v>
      </c>
    </row>
    <row r="34" spans="1:1" s="220" customFormat="1" ht="13">
      <c r="A34" s="963" t="s">
        <v>1027</v>
      </c>
    </row>
    <row r="35" spans="1:1" s="220" customFormat="1" ht="13"/>
    <row r="36" spans="1:1" s="220" customFormat="1" ht="13"/>
    <row r="37" spans="1:1" s="220" customFormat="1" ht="4" customHeight="1"/>
    <row r="38" spans="1:1" s="220" customFormat="1" ht="13"/>
  </sheetData>
  <mergeCells count="10">
    <mergeCell ref="J22:J24"/>
    <mergeCell ref="K22:K24"/>
    <mergeCell ref="I22:I24"/>
    <mergeCell ref="A26:A27"/>
    <mergeCell ref="B26:B27"/>
    <mergeCell ref="A17:A18"/>
    <mergeCell ref="B17:B18"/>
    <mergeCell ref="A21:A24"/>
    <mergeCell ref="B21:B24"/>
    <mergeCell ref="H22:H24"/>
  </mergeCells>
  <phoneticPr fontId="9" type="noConversion"/>
  <pageMargins left="0.7" right="0.7" top="0.75" bottom="0.75" header="0.3" footer="0.3"/>
  <pageSetup scale="70" orientation="landscape" r:id="rId1"/>
  <headerFooter>
    <oddHeader>&amp;C&amp;"Aptos Narror,Bold"&amp;14&amp;A</oddHeader>
    <oddFooter>&amp;L&amp;"-,Regular"St. Paul Brass &amp; Aluminum Foundry (Facility ID: 12300001)
B2303515&amp;C&amp;"-,Regular"&amp;P of &amp;N&amp;R&amp;"-,Regular"&amp;D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08FE-8497-4985-83E8-7A4C46D35422}">
  <sheetPr codeName="Sheet19"/>
  <dimension ref="A1:GJ131"/>
  <sheetViews>
    <sheetView view="pageBreakPreview" zoomScale="40" zoomScaleNormal="100" zoomScaleSheetLayoutView="40" workbookViewId="0">
      <pane xSplit="1" topLeftCell="BH1" activePane="topRight" state="frozen"/>
      <selection activeCell="R33" sqref="Q33:R33"/>
      <selection pane="topRight" activeCell="A9" sqref="A1:XFD1048576"/>
    </sheetView>
  </sheetViews>
  <sheetFormatPr defaultColWidth="9.1796875" defaultRowHeight="14.5"/>
  <cols>
    <col min="1" max="1" width="48" style="1" bestFit="1" customWidth="1"/>
    <col min="2" max="2" width="20.1796875" style="1" bestFit="1" customWidth="1"/>
    <col min="3" max="90" width="20.54296875" style="1" customWidth="1"/>
    <col min="91" max="16384" width="9.1796875" style="1"/>
  </cols>
  <sheetData>
    <row r="1" spans="1:86" s="58" customFormat="1" ht="19" thickBot="1">
      <c r="A1" s="59" t="s">
        <v>458</v>
      </c>
      <c r="B1" s="1636" t="s">
        <v>459</v>
      </c>
      <c r="C1" s="1637"/>
      <c r="D1" s="1637"/>
      <c r="E1" s="1637"/>
      <c r="F1" s="1637"/>
      <c r="G1" s="1637"/>
      <c r="H1" s="1637"/>
      <c r="I1" s="1637"/>
      <c r="J1" s="1637"/>
      <c r="K1" s="1637"/>
      <c r="L1" s="1637"/>
      <c r="M1" s="1637"/>
      <c r="N1" s="1637"/>
      <c r="O1" s="1637"/>
      <c r="P1" s="1637"/>
      <c r="Q1" s="1637"/>
      <c r="R1" s="1637"/>
      <c r="S1" s="1637"/>
      <c r="T1" s="1637"/>
      <c r="U1" s="1637"/>
      <c r="V1" s="1637"/>
      <c r="W1" s="1637"/>
      <c r="X1" s="1637"/>
      <c r="Y1" s="1637"/>
      <c r="Z1" s="1637"/>
      <c r="AA1" s="1637"/>
      <c r="AB1" s="1637"/>
      <c r="AC1" s="1637"/>
      <c r="AD1" s="1637"/>
      <c r="AE1" s="1637"/>
      <c r="AF1" s="1637"/>
      <c r="AG1" s="1637"/>
      <c r="AH1" s="1637"/>
      <c r="AI1" s="1637"/>
      <c r="AJ1" s="1637"/>
      <c r="AK1" s="1637"/>
      <c r="AL1" s="1638"/>
      <c r="AM1" s="1639" t="s">
        <v>460</v>
      </c>
      <c r="AN1" s="1640"/>
      <c r="AO1" s="1640"/>
      <c r="AP1" s="1641"/>
      <c r="AQ1" s="1642" t="s">
        <v>461</v>
      </c>
      <c r="AR1" s="1643"/>
      <c r="AS1" s="1643"/>
      <c r="AT1" s="1643"/>
      <c r="AU1" s="1643"/>
      <c r="AV1" s="1643"/>
      <c r="AW1" s="1643"/>
      <c r="AX1" s="1643"/>
      <c r="AY1" s="1643"/>
      <c r="AZ1" s="1643"/>
      <c r="BA1" s="1643"/>
      <c r="BB1" s="1643"/>
      <c r="BC1" s="1643"/>
      <c r="BD1" s="1643"/>
      <c r="BE1" s="1643"/>
      <c r="BF1" s="1636" t="s">
        <v>462</v>
      </c>
      <c r="BG1" s="1637"/>
      <c r="BH1" s="1637"/>
      <c r="BI1" s="1637"/>
      <c r="BJ1" s="1637"/>
      <c r="BK1" s="1637"/>
      <c r="BL1" s="1637"/>
      <c r="BM1" s="1637"/>
      <c r="BN1" s="1637"/>
      <c r="BO1" s="1638"/>
      <c r="BP1" s="1636" t="s">
        <v>463</v>
      </c>
      <c r="BQ1" s="1637"/>
      <c r="BR1" s="1637"/>
      <c r="BS1" s="1638"/>
      <c r="BT1" s="1634" t="s">
        <v>464</v>
      </c>
      <c r="BU1" s="1635"/>
      <c r="BV1" s="1635"/>
      <c r="BW1" s="1635"/>
      <c r="BX1" s="1635"/>
      <c r="BY1" s="1635"/>
      <c r="BZ1" s="1635"/>
      <c r="CA1" s="1635"/>
      <c r="CB1" s="1635"/>
      <c r="CC1" s="1635"/>
      <c r="CD1" s="1635"/>
      <c r="CE1" s="1635"/>
      <c r="CF1" s="1635"/>
      <c r="CG1" s="1635"/>
      <c r="CH1" s="1635"/>
    </row>
    <row r="2" spans="1:86" s="42" customFormat="1" ht="47.5" thickBot="1">
      <c r="A2" s="57"/>
      <c r="B2" s="51" t="s">
        <v>465</v>
      </c>
      <c r="C2" s="46" t="s">
        <v>466</v>
      </c>
      <c r="D2" s="46" t="s">
        <v>467</v>
      </c>
      <c r="E2" s="46" t="s">
        <v>468</v>
      </c>
      <c r="F2" s="46" t="s">
        <v>469</v>
      </c>
      <c r="G2" s="46" t="s">
        <v>470</v>
      </c>
      <c r="H2" s="46" t="s">
        <v>471</v>
      </c>
      <c r="I2" s="46" t="s">
        <v>472</v>
      </c>
      <c r="J2" s="46" t="s">
        <v>473</v>
      </c>
      <c r="K2" s="46" t="s">
        <v>474</v>
      </c>
      <c r="L2" s="46" t="s">
        <v>475</v>
      </c>
      <c r="M2" s="46" t="s">
        <v>476</v>
      </c>
      <c r="N2" s="46" t="s">
        <v>477</v>
      </c>
      <c r="O2" s="46" t="s">
        <v>478</v>
      </c>
      <c r="P2" s="46" t="s">
        <v>479</v>
      </c>
      <c r="Q2" s="46" t="s">
        <v>480</v>
      </c>
      <c r="R2" s="46" t="s">
        <v>481</v>
      </c>
      <c r="S2" s="56" t="s">
        <v>482</v>
      </c>
      <c r="T2" s="56" t="s">
        <v>483</v>
      </c>
      <c r="U2" s="56" t="s">
        <v>484</v>
      </c>
      <c r="V2" s="56" t="s">
        <v>485</v>
      </c>
      <c r="W2" s="56" t="s">
        <v>486</v>
      </c>
      <c r="X2" s="56" t="s">
        <v>487</v>
      </c>
      <c r="Y2" s="56" t="s">
        <v>488</v>
      </c>
      <c r="Z2" s="56" t="s">
        <v>489</v>
      </c>
      <c r="AA2" s="56" t="s">
        <v>490</v>
      </c>
      <c r="AB2" s="56" t="s">
        <v>491</v>
      </c>
      <c r="AC2" s="56" t="s">
        <v>492</v>
      </c>
      <c r="AD2" s="56" t="s">
        <v>493</v>
      </c>
      <c r="AE2" s="56" t="s">
        <v>494</v>
      </c>
      <c r="AF2" s="56" t="s">
        <v>495</v>
      </c>
      <c r="AG2" s="56" t="s">
        <v>496</v>
      </c>
      <c r="AH2" s="56" t="s">
        <v>497</v>
      </c>
      <c r="AI2" s="56" t="s">
        <v>498</v>
      </c>
      <c r="AJ2" s="56" t="s">
        <v>499</v>
      </c>
      <c r="AK2" s="55" t="s">
        <v>500</v>
      </c>
      <c r="AL2" s="54" t="s">
        <v>501</v>
      </c>
      <c r="AM2" s="53" t="s">
        <v>502</v>
      </c>
      <c r="AN2" s="53" t="s">
        <v>503</v>
      </c>
      <c r="AO2" s="53" t="s">
        <v>504</v>
      </c>
      <c r="AP2" s="52" t="s">
        <v>505</v>
      </c>
      <c r="AQ2" s="51" t="s">
        <v>506</v>
      </c>
      <c r="AR2" s="46" t="s">
        <v>507</v>
      </c>
      <c r="AS2" s="46" t="s">
        <v>508</v>
      </c>
      <c r="AT2" s="46" t="s">
        <v>509</v>
      </c>
      <c r="AU2" s="46" t="s">
        <v>510</v>
      </c>
      <c r="AV2" s="46" t="s">
        <v>511</v>
      </c>
      <c r="AW2" s="46" t="s">
        <v>512</v>
      </c>
      <c r="AX2" s="46" t="s">
        <v>513</v>
      </c>
      <c r="AY2" s="46" t="s">
        <v>514</v>
      </c>
      <c r="AZ2" s="46" t="s">
        <v>515</v>
      </c>
      <c r="BA2" s="46" t="s">
        <v>516</v>
      </c>
      <c r="BB2" s="46" t="s">
        <v>517</v>
      </c>
      <c r="BC2" s="46" t="s">
        <v>518</v>
      </c>
      <c r="BD2" s="46" t="s">
        <v>519</v>
      </c>
      <c r="BE2" s="45" t="s">
        <v>520</v>
      </c>
      <c r="BF2" s="50" t="s">
        <v>286</v>
      </c>
      <c r="BG2" s="49" t="s">
        <v>287</v>
      </c>
      <c r="BH2" s="49" t="s">
        <v>288</v>
      </c>
      <c r="BI2" s="49" t="s">
        <v>289</v>
      </c>
      <c r="BJ2" s="49" t="s">
        <v>69</v>
      </c>
      <c r="BK2" s="49" t="s">
        <v>290</v>
      </c>
      <c r="BL2" s="49" t="s">
        <v>291</v>
      </c>
      <c r="BM2" s="49" t="s">
        <v>292</v>
      </c>
      <c r="BN2" s="49" t="s">
        <v>293</v>
      </c>
      <c r="BO2" s="48" t="s">
        <v>294</v>
      </c>
      <c r="BP2" s="47" t="s">
        <v>521</v>
      </c>
      <c r="BQ2" s="46" t="s">
        <v>522</v>
      </c>
      <c r="BR2" s="46" t="s">
        <v>523</v>
      </c>
      <c r="BS2" s="45" t="s">
        <v>524</v>
      </c>
      <c r="BT2" s="44" t="s">
        <v>525</v>
      </c>
      <c r="BU2" s="44" t="s">
        <v>526</v>
      </c>
      <c r="BV2" s="44" t="s">
        <v>527</v>
      </c>
      <c r="BW2" s="44" t="s">
        <v>528</v>
      </c>
      <c r="BX2" s="44" t="s">
        <v>529</v>
      </c>
      <c r="BY2" s="44" t="s">
        <v>530</v>
      </c>
      <c r="BZ2" s="44" t="s">
        <v>531</v>
      </c>
      <c r="CA2" s="44" t="s">
        <v>532</v>
      </c>
      <c r="CB2" s="44" t="s">
        <v>533</v>
      </c>
      <c r="CC2" s="44" t="s">
        <v>534</v>
      </c>
      <c r="CD2" s="44" t="s">
        <v>535</v>
      </c>
      <c r="CE2" s="44" t="s">
        <v>536</v>
      </c>
      <c r="CF2" s="44" t="s">
        <v>537</v>
      </c>
      <c r="CG2" s="44" t="s">
        <v>538</v>
      </c>
      <c r="CH2" s="43" t="s">
        <v>539</v>
      </c>
    </row>
    <row r="3" spans="1:86">
      <c r="A3" s="30" t="s">
        <v>540</v>
      </c>
      <c r="B3" s="40" t="s">
        <v>258</v>
      </c>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41"/>
      <c r="AM3" s="15" t="s">
        <v>258</v>
      </c>
      <c r="AN3" s="15"/>
      <c r="AO3" s="15"/>
      <c r="AP3" s="41"/>
      <c r="AQ3" s="39" t="s">
        <v>541</v>
      </c>
      <c r="AR3" s="39"/>
      <c r="AS3" s="39"/>
      <c r="AT3" s="39"/>
      <c r="AU3" s="39"/>
      <c r="AV3" s="39"/>
      <c r="AW3" s="39"/>
      <c r="AX3" s="39"/>
      <c r="AY3" s="39"/>
      <c r="AZ3" s="39"/>
      <c r="BA3" s="39"/>
      <c r="BB3" s="39"/>
      <c r="BC3" s="39"/>
      <c r="BD3" s="39"/>
      <c r="BE3" s="41"/>
      <c r="BF3" s="39" t="s">
        <v>542</v>
      </c>
      <c r="BG3" s="39"/>
      <c r="BH3" s="39"/>
      <c r="BI3" s="39"/>
      <c r="BJ3" s="39"/>
      <c r="BK3" s="39"/>
      <c r="BL3" s="39"/>
      <c r="BM3" s="39"/>
      <c r="BN3" s="39"/>
      <c r="BO3" s="41"/>
      <c r="BP3" s="39" t="s">
        <v>543</v>
      </c>
      <c r="BQ3" s="39"/>
      <c r="BR3" s="39"/>
      <c r="BS3" s="39"/>
      <c r="BT3" s="40" t="s">
        <v>406</v>
      </c>
      <c r="BU3" s="39"/>
      <c r="BV3" s="39"/>
      <c r="BW3" s="39"/>
      <c r="BX3" s="39"/>
      <c r="BY3" s="39"/>
      <c r="BZ3" s="39"/>
      <c r="CA3" s="39"/>
      <c r="CB3" s="39"/>
      <c r="CC3" s="39"/>
      <c r="CD3" s="39"/>
      <c r="CE3" s="39"/>
      <c r="CF3" s="39"/>
      <c r="CG3" s="39"/>
      <c r="CH3" s="38"/>
    </row>
    <row r="4" spans="1:86" s="31" customFormat="1">
      <c r="A4" s="35" t="s">
        <v>19</v>
      </c>
      <c r="B4" s="34">
        <v>10</v>
      </c>
      <c r="C4" s="33">
        <v>10</v>
      </c>
      <c r="D4" s="33">
        <v>10</v>
      </c>
      <c r="E4" s="33">
        <v>10</v>
      </c>
      <c r="F4" s="33">
        <v>10</v>
      </c>
      <c r="G4" s="33">
        <v>10</v>
      </c>
      <c r="H4" s="33">
        <v>10</v>
      </c>
      <c r="I4" s="33">
        <v>10</v>
      </c>
      <c r="J4" s="33">
        <v>10</v>
      </c>
      <c r="K4" s="33">
        <v>10</v>
      </c>
      <c r="L4" s="33">
        <v>10</v>
      </c>
      <c r="M4" s="33">
        <v>10</v>
      </c>
      <c r="N4" s="33">
        <v>7</v>
      </c>
      <c r="O4" s="33">
        <v>7</v>
      </c>
      <c r="P4" s="33">
        <v>7</v>
      </c>
      <c r="Q4" s="33">
        <v>2</v>
      </c>
      <c r="R4" s="33">
        <v>2</v>
      </c>
      <c r="S4" s="15">
        <v>66</v>
      </c>
      <c r="T4" s="29">
        <v>17</v>
      </c>
      <c r="U4" s="29">
        <v>12</v>
      </c>
      <c r="V4" s="15">
        <v>66</v>
      </c>
      <c r="W4" s="37">
        <v>17</v>
      </c>
      <c r="X4" s="37">
        <v>12</v>
      </c>
      <c r="Y4" s="29">
        <v>16</v>
      </c>
      <c r="Z4" s="29">
        <v>9</v>
      </c>
      <c r="AA4" s="29">
        <v>16</v>
      </c>
      <c r="AB4" s="29">
        <v>9</v>
      </c>
      <c r="AC4" s="15">
        <v>15</v>
      </c>
      <c r="AD4" s="15">
        <v>11</v>
      </c>
      <c r="AE4" s="15">
        <v>15</v>
      </c>
      <c r="AF4" s="15">
        <v>11</v>
      </c>
      <c r="AG4" s="15">
        <v>15</v>
      </c>
      <c r="AH4" s="15">
        <v>15</v>
      </c>
      <c r="AI4" s="15">
        <v>17</v>
      </c>
      <c r="AJ4" s="15">
        <v>17</v>
      </c>
      <c r="AK4" s="15">
        <v>17</v>
      </c>
      <c r="AL4" s="20">
        <v>17</v>
      </c>
      <c r="AM4" s="15">
        <v>10</v>
      </c>
      <c r="AN4" s="15">
        <v>10</v>
      </c>
      <c r="AO4" s="15">
        <v>10</v>
      </c>
      <c r="AP4" s="20">
        <v>10</v>
      </c>
      <c r="AQ4" s="15">
        <v>8.3000000000000007</v>
      </c>
      <c r="AR4" s="15">
        <v>8.3000000000000007</v>
      </c>
      <c r="AS4" s="15">
        <v>8.3000000000000007</v>
      </c>
      <c r="AT4" s="15">
        <v>8.3000000000000007</v>
      </c>
      <c r="AU4" s="15">
        <v>8.3000000000000007</v>
      </c>
      <c r="AV4" s="15">
        <v>8.3000000000000007</v>
      </c>
      <c r="AW4" s="15">
        <v>8.3000000000000007</v>
      </c>
      <c r="AX4" s="15">
        <v>8.3000000000000007</v>
      </c>
      <c r="AY4" s="26">
        <v>2</v>
      </c>
      <c r="AZ4" s="26">
        <v>2</v>
      </c>
      <c r="BA4" s="15">
        <v>8.34</v>
      </c>
      <c r="BB4" s="15">
        <v>8.34</v>
      </c>
      <c r="BC4" s="15">
        <v>8.34</v>
      </c>
      <c r="BD4" s="26">
        <v>2</v>
      </c>
      <c r="BE4" s="20">
        <v>0.4</v>
      </c>
      <c r="BF4" s="15">
        <v>7.6</v>
      </c>
      <c r="BG4" s="15">
        <v>7.6</v>
      </c>
      <c r="BH4" s="15">
        <v>7.6</v>
      </c>
      <c r="BI4" s="15">
        <v>7.6</v>
      </c>
      <c r="BJ4" s="15">
        <v>7.6</v>
      </c>
      <c r="BK4" s="15">
        <v>7.6</v>
      </c>
      <c r="BL4" s="15">
        <v>7.6</v>
      </c>
      <c r="BM4" s="15">
        <v>7.6</v>
      </c>
      <c r="BN4" s="15">
        <v>7.6</v>
      </c>
      <c r="BO4" s="20">
        <v>7.6</v>
      </c>
      <c r="BP4" s="15">
        <v>0.8</v>
      </c>
      <c r="BQ4" s="15">
        <v>0.8</v>
      </c>
      <c r="BR4" s="15">
        <v>0.7</v>
      </c>
      <c r="BS4" s="15">
        <v>0.7</v>
      </c>
      <c r="BT4" s="23">
        <v>0.56000000000000005</v>
      </c>
      <c r="BU4" s="26">
        <v>0.4</v>
      </c>
      <c r="BV4" s="15">
        <v>0.33</v>
      </c>
      <c r="BW4" s="15">
        <v>0.54</v>
      </c>
      <c r="BX4" s="15">
        <v>0.35</v>
      </c>
      <c r="BY4" s="26">
        <v>0.3</v>
      </c>
      <c r="BZ4" s="15">
        <v>0.22</v>
      </c>
      <c r="CA4" s="15">
        <v>0.1</v>
      </c>
      <c r="CB4" s="15">
        <v>0.1</v>
      </c>
      <c r="CC4" s="15">
        <v>6.6000000000000003E-2</v>
      </c>
      <c r="CD4" s="15">
        <v>6.6000000000000003E-2</v>
      </c>
      <c r="CE4" s="15">
        <v>0.1</v>
      </c>
      <c r="CF4" s="15">
        <v>0.1</v>
      </c>
      <c r="CG4" s="15">
        <v>5.3999999999999999E-2</v>
      </c>
      <c r="CH4" s="19">
        <v>5.3999999999999999E-2</v>
      </c>
    </row>
    <row r="5" spans="1:86" s="31" customFormat="1">
      <c r="A5" s="35" t="s">
        <v>77</v>
      </c>
      <c r="B5" s="34">
        <v>2.2999999999999998</v>
      </c>
      <c r="C5" s="33">
        <v>2.2999999999999998</v>
      </c>
      <c r="D5" s="33">
        <v>2.2999999999999998</v>
      </c>
      <c r="E5" s="33">
        <v>2.2999999999999998</v>
      </c>
      <c r="F5" s="33">
        <v>2.2999999999999998</v>
      </c>
      <c r="G5" s="33">
        <v>2.2999999999999998</v>
      </c>
      <c r="H5" s="33">
        <v>2.2999999999999998</v>
      </c>
      <c r="I5" s="33">
        <v>2.2999999999999998</v>
      </c>
      <c r="J5" s="33">
        <v>2.2999999999999998</v>
      </c>
      <c r="K5" s="33">
        <v>2.2999999999999998</v>
      </c>
      <c r="L5" s="33">
        <v>2.2999999999999998</v>
      </c>
      <c r="M5" s="33">
        <v>2.2999999999999998</v>
      </c>
      <c r="N5" s="33">
        <v>2.6</v>
      </c>
      <c r="O5" s="33">
        <v>2.6</v>
      </c>
      <c r="P5" s="33">
        <v>2.6</v>
      </c>
      <c r="Q5" s="33">
        <v>0.26</v>
      </c>
      <c r="R5" s="33">
        <v>0.26</v>
      </c>
      <c r="S5" s="15">
        <v>13.2</v>
      </c>
      <c r="T5" s="15">
        <v>12</v>
      </c>
      <c r="U5" s="15">
        <v>7.8</v>
      </c>
      <c r="V5" s="15">
        <v>13.2</v>
      </c>
      <c r="W5" s="15">
        <v>12.4</v>
      </c>
      <c r="X5" s="15">
        <v>7.8</v>
      </c>
      <c r="Y5" s="36">
        <v>6</v>
      </c>
      <c r="Z5" s="36">
        <v>5</v>
      </c>
      <c r="AA5" s="36">
        <v>6</v>
      </c>
      <c r="AB5" s="36">
        <v>5</v>
      </c>
      <c r="AC5" s="15">
        <v>6.2</v>
      </c>
      <c r="AD5" s="36">
        <v>6.2</v>
      </c>
      <c r="AE5" s="15">
        <v>6.2</v>
      </c>
      <c r="AF5" s="36">
        <v>6.2</v>
      </c>
      <c r="AG5" s="15">
        <v>6.2</v>
      </c>
      <c r="AH5" s="15">
        <v>6.2</v>
      </c>
      <c r="AI5" s="15">
        <v>12.4</v>
      </c>
      <c r="AJ5" s="15">
        <v>12.4</v>
      </c>
      <c r="AK5" s="15">
        <v>12.4</v>
      </c>
      <c r="AL5" s="20">
        <v>12.4</v>
      </c>
      <c r="AM5" s="15">
        <v>2.2999999999999998</v>
      </c>
      <c r="AN5" s="15">
        <v>2.2999999999999998</v>
      </c>
      <c r="AO5" s="15">
        <v>2.2999999999999998</v>
      </c>
      <c r="AP5" s="20">
        <v>2.2999999999999998</v>
      </c>
      <c r="AQ5" s="15">
        <v>5.9</v>
      </c>
      <c r="AR5" s="15">
        <v>5.9</v>
      </c>
      <c r="AS5" s="15">
        <v>5.9</v>
      </c>
      <c r="AT5" s="15">
        <v>5.9</v>
      </c>
      <c r="AU5" s="15">
        <v>5.9</v>
      </c>
      <c r="AV5" s="15">
        <v>5.9</v>
      </c>
      <c r="AW5" s="15">
        <v>5.9</v>
      </c>
      <c r="AX5" s="15">
        <v>5.9</v>
      </c>
      <c r="AY5" s="26">
        <v>1</v>
      </c>
      <c r="AZ5" s="26">
        <v>1</v>
      </c>
      <c r="BA5" s="15">
        <v>5.17</v>
      </c>
      <c r="BB5" s="15">
        <v>5.17</v>
      </c>
      <c r="BC5" s="15">
        <v>5.17</v>
      </c>
      <c r="BD5" s="26">
        <v>1</v>
      </c>
      <c r="BE5" s="20">
        <v>0.4</v>
      </c>
      <c r="BF5" s="15">
        <v>7.6</v>
      </c>
      <c r="BG5" s="15">
        <v>7.6</v>
      </c>
      <c r="BH5" s="15">
        <v>7.6</v>
      </c>
      <c r="BI5" s="15">
        <v>7.6</v>
      </c>
      <c r="BJ5" s="15">
        <v>7.6</v>
      </c>
      <c r="BK5" s="15">
        <v>7.6</v>
      </c>
      <c r="BL5" s="15">
        <v>7.6</v>
      </c>
      <c r="BM5" s="15">
        <v>7.6</v>
      </c>
      <c r="BN5" s="15">
        <v>7.6</v>
      </c>
      <c r="BO5" s="20">
        <v>7.6</v>
      </c>
      <c r="BP5" s="15">
        <v>0.8</v>
      </c>
      <c r="BQ5" s="15">
        <v>0.8</v>
      </c>
      <c r="BR5" s="15">
        <v>0.7</v>
      </c>
      <c r="BS5" s="15">
        <v>0.7</v>
      </c>
      <c r="BT5" s="27">
        <v>0.5</v>
      </c>
      <c r="BU5" s="15">
        <v>0.36</v>
      </c>
      <c r="BV5" s="15">
        <v>0.28999999999999998</v>
      </c>
      <c r="BW5" s="15">
        <v>0.49</v>
      </c>
      <c r="BX5" s="15">
        <v>0.32</v>
      </c>
      <c r="BY5" s="15">
        <v>0.27</v>
      </c>
      <c r="BZ5" s="26">
        <v>0.2</v>
      </c>
      <c r="CA5" s="15">
        <v>7.3999999999999996E-2</v>
      </c>
      <c r="CB5" s="15">
        <v>7.3999999999999996E-2</v>
      </c>
      <c r="CC5" s="15">
        <v>6.5000000000000002E-2</v>
      </c>
      <c r="CD5" s="15">
        <v>6.5000000000000002E-2</v>
      </c>
      <c r="CE5" s="15">
        <v>7.3999999999999996E-2</v>
      </c>
      <c r="CF5" s="15">
        <v>7.3999999999999996E-2</v>
      </c>
      <c r="CG5" s="15">
        <v>0.04</v>
      </c>
      <c r="CH5" s="19">
        <v>0.04</v>
      </c>
    </row>
    <row r="6" spans="1:86" s="31" customFormat="1">
      <c r="A6" s="35" t="s">
        <v>78</v>
      </c>
      <c r="B6" s="34">
        <v>0.6</v>
      </c>
      <c r="C6" s="33">
        <v>0.6</v>
      </c>
      <c r="D6" s="33">
        <v>0.6</v>
      </c>
      <c r="E6" s="33">
        <v>2.2999999999999998</v>
      </c>
      <c r="F6" s="33">
        <v>2.2999999999999998</v>
      </c>
      <c r="G6" s="33">
        <v>2.2999999999999998</v>
      </c>
      <c r="H6" s="33">
        <v>2.2999999999999998</v>
      </c>
      <c r="I6" s="33">
        <v>0.6</v>
      </c>
      <c r="J6" s="33">
        <v>0.6</v>
      </c>
      <c r="K6" s="33">
        <v>0.6</v>
      </c>
      <c r="L6" s="33">
        <v>2.2999999999999998</v>
      </c>
      <c r="M6" s="33">
        <v>2.2999999999999998</v>
      </c>
      <c r="N6" s="33">
        <v>1.48</v>
      </c>
      <c r="O6" s="33">
        <v>2.6</v>
      </c>
      <c r="P6" s="33">
        <v>2.6</v>
      </c>
      <c r="Q6" s="33">
        <v>0.11</v>
      </c>
      <c r="R6" s="15">
        <v>0.26</v>
      </c>
      <c r="S6" s="15">
        <v>4.5999999999999996</v>
      </c>
      <c r="T6" s="15">
        <v>1.4</v>
      </c>
      <c r="U6" s="15">
        <v>3.2</v>
      </c>
      <c r="V6" s="15">
        <v>4.5999999999999996</v>
      </c>
      <c r="W6" s="15">
        <v>12.4</v>
      </c>
      <c r="X6" s="15">
        <v>7.8</v>
      </c>
      <c r="Y6" s="15">
        <v>2.2000000000000002</v>
      </c>
      <c r="Z6" s="15">
        <v>3.8</v>
      </c>
      <c r="AA6" s="15">
        <v>2.2000000000000002</v>
      </c>
      <c r="AB6" s="29">
        <v>5</v>
      </c>
      <c r="AC6" s="15">
        <v>3.8</v>
      </c>
      <c r="AD6" s="15">
        <v>6.2</v>
      </c>
      <c r="AE6" s="15">
        <v>6.2</v>
      </c>
      <c r="AF6" s="15">
        <v>6.2</v>
      </c>
      <c r="AG6" s="15">
        <v>6.2</v>
      </c>
      <c r="AH6" s="15">
        <v>6.2</v>
      </c>
      <c r="AI6" s="15">
        <v>12.4</v>
      </c>
      <c r="AJ6" s="15">
        <v>12.4</v>
      </c>
      <c r="AK6" s="15">
        <v>12.4</v>
      </c>
      <c r="AL6" s="20">
        <v>12.4</v>
      </c>
      <c r="AM6" s="15">
        <v>0.6</v>
      </c>
      <c r="AN6" s="15">
        <v>0.6</v>
      </c>
      <c r="AO6" s="15">
        <v>0.6</v>
      </c>
      <c r="AP6" s="20">
        <v>0.6</v>
      </c>
      <c r="AQ6" s="15">
        <v>4.3</v>
      </c>
      <c r="AR6" s="15">
        <v>4.3</v>
      </c>
      <c r="AS6" s="15">
        <v>4.3</v>
      </c>
      <c r="AT6" s="15">
        <v>4.3</v>
      </c>
      <c r="AU6" s="15">
        <v>4.3</v>
      </c>
      <c r="AV6" s="15">
        <v>4.3</v>
      </c>
      <c r="AW6" s="15">
        <v>4.3</v>
      </c>
      <c r="AX6" s="15">
        <v>4.3</v>
      </c>
      <c r="AY6" s="15">
        <v>0.25</v>
      </c>
      <c r="AZ6" s="15">
        <v>0.25</v>
      </c>
      <c r="BA6" s="15">
        <v>1.92</v>
      </c>
      <c r="BB6" s="15">
        <v>1.92</v>
      </c>
      <c r="BC6" s="15">
        <v>1.92</v>
      </c>
      <c r="BD6" s="15">
        <v>0.25</v>
      </c>
      <c r="BE6" s="20">
        <v>0.4</v>
      </c>
      <c r="BF6" s="15">
        <v>7.6</v>
      </c>
      <c r="BG6" s="15">
        <v>7.6</v>
      </c>
      <c r="BH6" s="15">
        <v>7.6</v>
      </c>
      <c r="BI6" s="15">
        <v>7.6</v>
      </c>
      <c r="BJ6" s="15">
        <v>7.6</v>
      </c>
      <c r="BK6" s="15">
        <v>7.6</v>
      </c>
      <c r="BL6" s="15">
        <v>7.6</v>
      </c>
      <c r="BM6" s="15">
        <v>7.6</v>
      </c>
      <c r="BN6" s="15">
        <v>7.6</v>
      </c>
      <c r="BO6" s="20">
        <v>7.6</v>
      </c>
      <c r="BP6" s="15">
        <v>0.8</v>
      </c>
      <c r="BQ6" s="15">
        <v>0.8</v>
      </c>
      <c r="BR6" s="15">
        <v>0.7</v>
      </c>
      <c r="BS6" s="15">
        <v>0.7</v>
      </c>
      <c r="BT6" s="23">
        <v>0.43</v>
      </c>
      <c r="BU6" s="15">
        <v>0.31</v>
      </c>
      <c r="BV6" s="15">
        <v>0.25</v>
      </c>
      <c r="BW6" s="15">
        <v>0.28999999999999998</v>
      </c>
      <c r="BX6" s="15">
        <v>0.19</v>
      </c>
      <c r="BY6" s="15">
        <v>0.16</v>
      </c>
      <c r="BZ6" s="15">
        <v>0.12</v>
      </c>
      <c r="CA6" s="15">
        <v>6.5000000000000002E-2</v>
      </c>
      <c r="CB6" s="15">
        <v>6.5000000000000002E-2</v>
      </c>
      <c r="CC6" s="15">
        <v>6.5000000000000002E-2</v>
      </c>
      <c r="CD6" s="15">
        <v>6.5000000000000002E-2</v>
      </c>
      <c r="CE6" s="15">
        <v>6.5000000000000002E-2</v>
      </c>
      <c r="CF6" s="15">
        <v>6.5000000000000002E-2</v>
      </c>
      <c r="CG6" s="15">
        <v>3.5000000000000003E-2</v>
      </c>
      <c r="CH6" s="19">
        <v>3.5000000000000003E-2</v>
      </c>
    </row>
    <row r="7" spans="1:86">
      <c r="A7" s="35" t="s">
        <v>79</v>
      </c>
      <c r="B7" s="23">
        <v>22</v>
      </c>
      <c r="C7" s="15">
        <v>11</v>
      </c>
      <c r="D7" s="15">
        <v>12</v>
      </c>
      <c r="E7" s="15">
        <v>12</v>
      </c>
      <c r="F7" s="15">
        <v>7.4</v>
      </c>
      <c r="G7" s="15">
        <v>31</v>
      </c>
      <c r="H7" s="15">
        <v>14</v>
      </c>
      <c r="I7" s="15">
        <v>15</v>
      </c>
      <c r="J7" s="15">
        <v>9.6999999999999993</v>
      </c>
      <c r="K7" s="15">
        <v>10</v>
      </c>
      <c r="L7" s="15">
        <v>8.4</v>
      </c>
      <c r="M7" s="15">
        <v>7.2</v>
      </c>
      <c r="N7" s="15">
        <v>31</v>
      </c>
      <c r="O7" s="15">
        <v>14</v>
      </c>
      <c r="P7" s="15">
        <v>24</v>
      </c>
      <c r="Q7" s="15">
        <v>33</v>
      </c>
      <c r="R7" s="15">
        <v>17</v>
      </c>
      <c r="S7" s="15">
        <v>11</v>
      </c>
      <c r="T7" s="15">
        <v>11</v>
      </c>
      <c r="U7" s="15">
        <v>11</v>
      </c>
      <c r="V7" s="15">
        <v>8.8000000000000007</v>
      </c>
      <c r="W7" s="15">
        <v>8.8000000000000007</v>
      </c>
      <c r="X7" s="15">
        <v>8.8000000000000007</v>
      </c>
      <c r="Y7" s="15">
        <v>7.5</v>
      </c>
      <c r="Z7" s="15">
        <v>7.5</v>
      </c>
      <c r="AA7" s="15">
        <v>7.5</v>
      </c>
      <c r="AB7" s="15">
        <v>7.5</v>
      </c>
      <c r="AC7" s="15">
        <v>9.5</v>
      </c>
      <c r="AD7" s="15">
        <v>9.5</v>
      </c>
      <c r="AE7" s="15">
        <v>9.5</v>
      </c>
      <c r="AF7" s="15">
        <v>9.5</v>
      </c>
      <c r="AG7" s="15">
        <v>9.1</v>
      </c>
      <c r="AH7" s="15">
        <v>9.1</v>
      </c>
      <c r="AI7" s="29">
        <v>5</v>
      </c>
      <c r="AJ7" s="29">
        <v>5</v>
      </c>
      <c r="AK7" s="15">
        <v>15.2</v>
      </c>
      <c r="AL7" s="20">
        <v>15.2</v>
      </c>
      <c r="AM7" s="29">
        <v>9</v>
      </c>
      <c r="AN7" s="15">
        <v>1.8</v>
      </c>
      <c r="AO7" s="15">
        <v>18</v>
      </c>
      <c r="AP7" s="20">
        <v>3</v>
      </c>
      <c r="AQ7" s="15">
        <v>47</v>
      </c>
      <c r="AR7" s="15">
        <v>40</v>
      </c>
      <c r="AS7" s="15">
        <v>32</v>
      </c>
      <c r="AT7" s="15">
        <v>26</v>
      </c>
      <c r="AU7" s="15">
        <v>47</v>
      </c>
      <c r="AV7" s="15">
        <v>32</v>
      </c>
      <c r="AW7" s="15">
        <v>47</v>
      </c>
      <c r="AX7" s="15">
        <v>32</v>
      </c>
      <c r="AY7" s="15">
        <v>24</v>
      </c>
      <c r="AZ7" s="15">
        <v>10</v>
      </c>
      <c r="BA7" s="15">
        <v>55</v>
      </c>
      <c r="BB7" s="15">
        <v>55</v>
      </c>
      <c r="BC7" s="15">
        <v>20</v>
      </c>
      <c r="BD7" s="15">
        <v>20</v>
      </c>
      <c r="BE7" s="20">
        <v>18</v>
      </c>
      <c r="BF7" s="15">
        <v>280</v>
      </c>
      <c r="BG7" s="15">
        <v>190</v>
      </c>
      <c r="BH7" s="15">
        <v>140</v>
      </c>
      <c r="BI7" s="15">
        <v>100</v>
      </c>
      <c r="BJ7" s="15">
        <v>100</v>
      </c>
      <c r="BK7" s="15">
        <v>50</v>
      </c>
      <c r="BL7" s="15">
        <v>32</v>
      </c>
      <c r="BM7" s="15">
        <v>170</v>
      </c>
      <c r="BN7" s="15">
        <v>76</v>
      </c>
      <c r="BO7" s="20">
        <v>94</v>
      </c>
      <c r="BP7" s="15">
        <v>15</v>
      </c>
      <c r="BQ7" s="15">
        <v>15</v>
      </c>
      <c r="BR7" s="15">
        <v>13</v>
      </c>
      <c r="BS7" s="15">
        <v>13</v>
      </c>
      <c r="BT7" s="23">
        <v>0.22</v>
      </c>
      <c r="BU7" s="15">
        <v>0.49</v>
      </c>
      <c r="BV7" s="15">
        <v>0.22</v>
      </c>
      <c r="BW7" s="15">
        <v>0.22</v>
      </c>
      <c r="BX7" s="15">
        <v>0.22</v>
      </c>
      <c r="BY7" s="15">
        <v>0.49</v>
      </c>
      <c r="BZ7" s="15">
        <v>0.22</v>
      </c>
      <c r="CA7" s="15">
        <v>0.22</v>
      </c>
      <c r="CB7" s="15">
        <v>0.49</v>
      </c>
      <c r="CC7" s="15">
        <v>0.22</v>
      </c>
      <c r="CD7" s="15">
        <v>0.49</v>
      </c>
      <c r="CE7" s="15">
        <v>0.22</v>
      </c>
      <c r="CF7" s="15">
        <v>0.49</v>
      </c>
      <c r="CG7" s="15">
        <v>0.22</v>
      </c>
      <c r="CH7" s="19">
        <v>0.49</v>
      </c>
    </row>
    <row r="8" spans="1:86">
      <c r="A8" s="35" t="s">
        <v>80</v>
      </c>
      <c r="B8" s="23">
        <v>0.5</v>
      </c>
      <c r="C8" s="15">
        <v>0.5</v>
      </c>
      <c r="D8" s="15">
        <v>0.5</v>
      </c>
      <c r="E8" s="15">
        <v>0.5</v>
      </c>
      <c r="F8" s="15">
        <v>0.5</v>
      </c>
      <c r="G8" s="15">
        <v>0.5</v>
      </c>
      <c r="H8" s="15">
        <v>0.5</v>
      </c>
      <c r="I8" s="15">
        <v>0.5</v>
      </c>
      <c r="J8" s="15">
        <v>0.5</v>
      </c>
      <c r="K8" s="15">
        <v>0.5</v>
      </c>
      <c r="L8" s="15">
        <v>0.5</v>
      </c>
      <c r="M8" s="15">
        <v>0.5</v>
      </c>
      <c r="N8" s="15">
        <v>0.5</v>
      </c>
      <c r="O8" s="15">
        <v>0.5</v>
      </c>
      <c r="P8" s="15">
        <v>0.5</v>
      </c>
      <c r="Q8" s="15">
        <v>0.5</v>
      </c>
      <c r="R8" s="15">
        <v>0.5</v>
      </c>
      <c r="S8" s="15">
        <v>5</v>
      </c>
      <c r="T8" s="15">
        <v>5</v>
      </c>
      <c r="U8" s="15">
        <v>5</v>
      </c>
      <c r="V8" s="15">
        <v>5</v>
      </c>
      <c r="W8" s="15">
        <v>5</v>
      </c>
      <c r="X8" s="15">
        <v>5</v>
      </c>
      <c r="Y8" s="15">
        <v>6</v>
      </c>
      <c r="Z8" s="15">
        <v>6</v>
      </c>
      <c r="AA8" s="15">
        <v>6</v>
      </c>
      <c r="AB8" s="15">
        <v>6</v>
      </c>
      <c r="AC8" s="15">
        <v>11</v>
      </c>
      <c r="AD8" s="15">
        <v>11</v>
      </c>
      <c r="AE8" s="15">
        <v>11</v>
      </c>
      <c r="AF8" s="15">
        <v>11</v>
      </c>
      <c r="AG8" s="15">
        <v>275</v>
      </c>
      <c r="AH8" s="15">
        <v>275</v>
      </c>
      <c r="AI8" s="15">
        <v>18</v>
      </c>
      <c r="AJ8" s="15">
        <v>18</v>
      </c>
      <c r="AK8" s="15">
        <v>18</v>
      </c>
      <c r="AL8" s="20">
        <v>18</v>
      </c>
      <c r="AM8" s="15">
        <v>0.6</v>
      </c>
      <c r="AN8" s="15">
        <v>0.6</v>
      </c>
      <c r="AO8" s="15">
        <v>0.6</v>
      </c>
      <c r="AP8" s="20">
        <v>0.6</v>
      </c>
      <c r="AQ8" s="15">
        <v>5</v>
      </c>
      <c r="AR8" s="15">
        <v>5</v>
      </c>
      <c r="AS8" s="15">
        <v>5</v>
      </c>
      <c r="AT8" s="15">
        <v>5</v>
      </c>
      <c r="AU8" s="15">
        <v>5</v>
      </c>
      <c r="AV8" s="15">
        <v>5</v>
      </c>
      <c r="AW8" s="15">
        <v>5</v>
      </c>
      <c r="AX8" s="15">
        <v>5</v>
      </c>
      <c r="AY8" s="15">
        <v>5</v>
      </c>
      <c r="AZ8" s="15">
        <v>5</v>
      </c>
      <c r="BA8" s="15">
        <v>5</v>
      </c>
      <c r="BB8" s="15">
        <v>5</v>
      </c>
      <c r="BC8" s="15">
        <v>5</v>
      </c>
      <c r="BD8" s="15">
        <v>5</v>
      </c>
      <c r="BE8" s="20">
        <v>5</v>
      </c>
      <c r="BF8" s="15">
        <v>84</v>
      </c>
      <c r="BG8" s="15">
        <v>84</v>
      </c>
      <c r="BH8" s="15">
        <v>84</v>
      </c>
      <c r="BI8" s="15">
        <v>84</v>
      </c>
      <c r="BJ8" s="15">
        <v>84</v>
      </c>
      <c r="BK8" s="15">
        <v>84</v>
      </c>
      <c r="BL8" s="15">
        <v>84</v>
      </c>
      <c r="BM8" s="15">
        <v>24</v>
      </c>
      <c r="BN8" s="15">
        <v>98</v>
      </c>
      <c r="BO8" s="20">
        <v>40</v>
      </c>
      <c r="BP8" s="15">
        <v>8.4</v>
      </c>
      <c r="BQ8" s="15">
        <v>8.4</v>
      </c>
      <c r="BR8" s="15">
        <v>7.5</v>
      </c>
      <c r="BS8" s="15">
        <v>7.5</v>
      </c>
      <c r="BT8" s="27">
        <v>0.6</v>
      </c>
      <c r="BU8" s="26">
        <v>0.6</v>
      </c>
      <c r="BV8" s="26">
        <v>0.6</v>
      </c>
      <c r="BW8" s="26">
        <v>0.6</v>
      </c>
      <c r="BX8" s="26">
        <v>0.6</v>
      </c>
      <c r="BY8" s="26">
        <v>0.6</v>
      </c>
      <c r="BZ8" s="26">
        <v>0.6</v>
      </c>
      <c r="CA8" s="15">
        <v>0.6</v>
      </c>
      <c r="CB8" s="15">
        <v>0.6</v>
      </c>
      <c r="CC8" s="15">
        <v>0.6</v>
      </c>
      <c r="CD8" s="15">
        <v>0.6</v>
      </c>
      <c r="CE8" s="15">
        <v>0.6</v>
      </c>
      <c r="CF8" s="15">
        <v>0.6</v>
      </c>
      <c r="CG8" s="15">
        <v>0.6</v>
      </c>
      <c r="CH8" s="19">
        <v>0.6</v>
      </c>
    </row>
    <row r="9" spans="1:86" s="31" customFormat="1">
      <c r="A9" s="35" t="s">
        <v>81</v>
      </c>
      <c r="B9" s="34">
        <v>38</v>
      </c>
      <c r="C9" s="33">
        <v>38</v>
      </c>
      <c r="D9" s="33">
        <v>38</v>
      </c>
      <c r="E9" s="33">
        <v>35</v>
      </c>
      <c r="F9" s="33">
        <v>35</v>
      </c>
      <c r="G9" s="33">
        <v>38</v>
      </c>
      <c r="H9" s="33">
        <v>35</v>
      </c>
      <c r="I9" s="33">
        <v>38</v>
      </c>
      <c r="J9" s="33">
        <v>38</v>
      </c>
      <c r="K9" s="33">
        <v>38</v>
      </c>
      <c r="L9" s="33">
        <v>35</v>
      </c>
      <c r="M9" s="33">
        <v>35</v>
      </c>
      <c r="N9" s="33">
        <v>38</v>
      </c>
      <c r="O9" s="33">
        <v>38</v>
      </c>
      <c r="P9" s="33">
        <v>35</v>
      </c>
      <c r="Q9" s="33">
        <v>38</v>
      </c>
      <c r="R9" s="33">
        <v>35</v>
      </c>
      <c r="S9" s="33">
        <v>38</v>
      </c>
      <c r="T9" s="33">
        <v>38</v>
      </c>
      <c r="U9" s="33">
        <v>38</v>
      </c>
      <c r="V9" s="33">
        <v>35</v>
      </c>
      <c r="W9" s="33">
        <v>35</v>
      </c>
      <c r="X9" s="33">
        <v>35</v>
      </c>
      <c r="Y9" s="33">
        <v>38</v>
      </c>
      <c r="Z9" s="33">
        <v>38</v>
      </c>
      <c r="AA9" s="33">
        <v>35</v>
      </c>
      <c r="AB9" s="33">
        <v>35</v>
      </c>
      <c r="AC9" s="33">
        <v>31</v>
      </c>
      <c r="AD9" s="33">
        <v>31</v>
      </c>
      <c r="AE9" s="33">
        <v>31</v>
      </c>
      <c r="AF9" s="33">
        <v>31</v>
      </c>
      <c r="AG9" s="33">
        <v>31</v>
      </c>
      <c r="AH9" s="33">
        <v>31</v>
      </c>
      <c r="AI9" s="15">
        <v>39.6</v>
      </c>
      <c r="AJ9" s="15">
        <v>39.6</v>
      </c>
      <c r="AK9" s="15">
        <v>39.6</v>
      </c>
      <c r="AL9" s="20">
        <v>39.6</v>
      </c>
      <c r="AM9" s="15">
        <v>39</v>
      </c>
      <c r="AN9" s="15">
        <v>2.9</v>
      </c>
      <c r="AO9" s="15">
        <v>39</v>
      </c>
      <c r="AP9" s="20">
        <v>39</v>
      </c>
      <c r="AQ9" s="15">
        <v>157</v>
      </c>
      <c r="AR9" s="15">
        <v>157</v>
      </c>
      <c r="AS9" s="15">
        <v>157</v>
      </c>
      <c r="AT9" s="15">
        <v>157</v>
      </c>
      <c r="AU9" s="15">
        <v>157</v>
      </c>
      <c r="AV9" s="15">
        <v>157</v>
      </c>
      <c r="AW9" s="15">
        <v>150</v>
      </c>
      <c r="AX9" s="15">
        <v>150</v>
      </c>
      <c r="AY9" s="15">
        <v>142</v>
      </c>
      <c r="AZ9" s="15">
        <v>142</v>
      </c>
      <c r="BA9" s="15">
        <v>157</v>
      </c>
      <c r="BB9" s="15">
        <v>157</v>
      </c>
      <c r="BC9" s="15">
        <v>150</v>
      </c>
      <c r="BD9" s="15">
        <v>142</v>
      </c>
      <c r="BE9" s="20">
        <v>142</v>
      </c>
      <c r="BF9" s="15">
        <v>0.6</v>
      </c>
      <c r="BG9" s="15">
        <v>0.6</v>
      </c>
      <c r="BH9" s="15">
        <v>0.6</v>
      </c>
      <c r="BI9" s="15">
        <v>0.6</v>
      </c>
      <c r="BJ9" s="15">
        <v>0.6</v>
      </c>
      <c r="BK9" s="15">
        <v>0.6</v>
      </c>
      <c r="BL9" s="15">
        <v>0.6</v>
      </c>
      <c r="BM9" s="15">
        <v>0.6</v>
      </c>
      <c r="BN9" s="15">
        <v>0.6</v>
      </c>
      <c r="BO9" s="20">
        <v>0.6</v>
      </c>
      <c r="BP9" s="33">
        <v>0.09</v>
      </c>
      <c r="BQ9" s="33">
        <v>0.09</v>
      </c>
      <c r="BR9" s="32">
        <v>0.1</v>
      </c>
      <c r="BS9" s="32">
        <v>0.1</v>
      </c>
      <c r="BT9" s="23">
        <v>2.5000000000000001E-2</v>
      </c>
      <c r="BU9" s="15">
        <v>2.5000000000000001E-2</v>
      </c>
      <c r="BV9" s="15">
        <v>2.5000000000000001E-2</v>
      </c>
      <c r="BW9" s="15">
        <v>2.5000000000000001E-2</v>
      </c>
      <c r="BX9" s="15">
        <v>2.5000000000000001E-2</v>
      </c>
      <c r="BY9" s="15">
        <v>0.25</v>
      </c>
      <c r="BZ9" s="15">
        <v>2.5000000000000001E-2</v>
      </c>
      <c r="CA9" s="15">
        <v>2.5000000000000001E-2</v>
      </c>
      <c r="CB9" s="15">
        <v>2.5000000000000001E-2</v>
      </c>
      <c r="CC9" s="15">
        <v>2.5000000000000001E-2</v>
      </c>
      <c r="CD9" s="15">
        <v>2.5000000000000001E-2</v>
      </c>
      <c r="CE9" s="15">
        <v>2.5000000000000001E-2</v>
      </c>
      <c r="CF9" s="15">
        <v>2.5000000000000001E-2</v>
      </c>
      <c r="CG9" s="15">
        <v>2.5000000000000001E-2</v>
      </c>
      <c r="CH9" s="19">
        <v>2.5000000000000001E-2</v>
      </c>
    </row>
    <row r="10" spans="1:86">
      <c r="A10" s="13" t="s">
        <v>82</v>
      </c>
      <c r="B10" s="23">
        <v>0.06</v>
      </c>
      <c r="C10" s="15">
        <v>0.06</v>
      </c>
      <c r="D10" s="15">
        <v>0.06</v>
      </c>
      <c r="E10" s="15">
        <v>0.06</v>
      </c>
      <c r="F10" s="15">
        <v>0.06</v>
      </c>
      <c r="G10" s="15">
        <v>0.06</v>
      </c>
      <c r="H10" s="15">
        <v>0.06</v>
      </c>
      <c r="I10" s="15">
        <v>0.06</v>
      </c>
      <c r="J10" s="15">
        <v>0.06</v>
      </c>
      <c r="K10" s="15">
        <v>0.06</v>
      </c>
      <c r="L10" s="15">
        <v>0.06</v>
      </c>
      <c r="M10" s="15">
        <v>0.06</v>
      </c>
      <c r="N10" s="15">
        <v>0.04</v>
      </c>
      <c r="O10" s="15">
        <v>0.04</v>
      </c>
      <c r="P10" s="15">
        <v>0.04</v>
      </c>
      <c r="Q10" s="15">
        <v>0.11</v>
      </c>
      <c r="R10" s="15">
        <v>0.11</v>
      </c>
      <c r="S10" s="15">
        <v>0.05</v>
      </c>
      <c r="T10" s="15">
        <v>0.05</v>
      </c>
      <c r="U10" s="15">
        <v>0.05</v>
      </c>
      <c r="V10" s="15">
        <v>0.05</v>
      </c>
      <c r="W10" s="15">
        <v>0.05</v>
      </c>
      <c r="X10" s="15">
        <v>0.05</v>
      </c>
      <c r="Y10" s="15">
        <v>0.05</v>
      </c>
      <c r="Z10" s="15">
        <v>0.05</v>
      </c>
      <c r="AA10" s="15">
        <v>0.05</v>
      </c>
      <c r="AB10" s="15">
        <v>0.05</v>
      </c>
      <c r="AC10" s="15">
        <v>1.3</v>
      </c>
      <c r="AD10" s="15">
        <v>1.3</v>
      </c>
      <c r="AE10" s="15">
        <v>1.3</v>
      </c>
      <c r="AF10" s="15">
        <v>1.3</v>
      </c>
      <c r="AG10" s="15">
        <v>10</v>
      </c>
      <c r="AH10" s="15">
        <v>10</v>
      </c>
      <c r="AI10" s="15">
        <v>0.05</v>
      </c>
      <c r="AJ10" s="15">
        <v>0.05</v>
      </c>
      <c r="AK10" s="15">
        <v>0.05</v>
      </c>
      <c r="AL10" s="20">
        <v>0.05</v>
      </c>
      <c r="AM10" s="15">
        <v>0.3</v>
      </c>
      <c r="AN10" s="15">
        <v>0.3</v>
      </c>
      <c r="AO10" s="15">
        <v>0.3</v>
      </c>
      <c r="AP10" s="20">
        <v>0.3</v>
      </c>
      <c r="AQ10" s="15">
        <v>0.76</v>
      </c>
      <c r="AR10" s="15">
        <v>0.76</v>
      </c>
      <c r="AS10" s="15">
        <v>0.76</v>
      </c>
      <c r="AT10" s="15">
        <v>0.76</v>
      </c>
      <c r="AU10" s="15">
        <v>0.76</v>
      </c>
      <c r="AV10" s="15">
        <v>0.76</v>
      </c>
      <c r="AW10" s="15">
        <v>0.76</v>
      </c>
      <c r="AX10" s="15">
        <v>0.76</v>
      </c>
      <c r="AY10" s="15">
        <v>0.2</v>
      </c>
      <c r="AZ10" s="15">
        <v>0.2</v>
      </c>
      <c r="BA10" s="15">
        <v>1.1299999999999999</v>
      </c>
      <c r="BB10" s="15">
        <v>1.1299999999999999</v>
      </c>
      <c r="BC10" s="15">
        <v>0.34</v>
      </c>
      <c r="BD10" s="15">
        <v>0.2</v>
      </c>
      <c r="BE10" s="20">
        <v>0.71299999999999997</v>
      </c>
      <c r="BF10" s="15">
        <v>5.5</v>
      </c>
      <c r="BG10" s="15">
        <v>5.5</v>
      </c>
      <c r="BH10" s="15">
        <v>5.5</v>
      </c>
      <c r="BI10" s="15">
        <v>5.5</v>
      </c>
      <c r="BJ10" s="15">
        <v>5.5</v>
      </c>
      <c r="BK10" s="15">
        <v>5.5</v>
      </c>
      <c r="BL10" s="15">
        <v>5.5</v>
      </c>
      <c r="BM10" s="15">
        <v>5.5</v>
      </c>
      <c r="BN10" s="15">
        <v>5.5</v>
      </c>
      <c r="BO10" s="20">
        <v>5.5</v>
      </c>
      <c r="BP10" s="15">
        <v>1.1000000000000001</v>
      </c>
      <c r="BQ10" s="15">
        <v>1.1000000000000001</v>
      </c>
      <c r="BR10" s="29">
        <v>1</v>
      </c>
      <c r="BS10" s="29">
        <v>1</v>
      </c>
      <c r="BT10" s="23">
        <v>1.7000000000000001E-2</v>
      </c>
      <c r="BU10" s="15">
        <v>1.7000000000000001E-2</v>
      </c>
      <c r="BV10" s="15">
        <v>1.7000000000000001E-2</v>
      </c>
      <c r="BW10" s="15">
        <v>1.7000000000000001E-2</v>
      </c>
      <c r="BX10" s="15">
        <v>1.7000000000000001E-2</v>
      </c>
      <c r="BY10" s="15">
        <v>1.7000000000000001E-2</v>
      </c>
      <c r="BZ10" s="15">
        <v>1.7000000000000001E-2</v>
      </c>
      <c r="CA10" s="15">
        <v>1.7000000000000001E-2</v>
      </c>
      <c r="CB10" s="15">
        <v>1.7000000000000001E-2</v>
      </c>
      <c r="CC10" s="15">
        <v>1.7000000000000001E-2</v>
      </c>
      <c r="CD10" s="15">
        <v>1.7000000000000001E-2</v>
      </c>
      <c r="CE10" s="15">
        <v>1.7000000000000001E-2</v>
      </c>
      <c r="CF10" s="15">
        <v>1.7000000000000001E-2</v>
      </c>
      <c r="CG10" s="15">
        <v>1.7000000000000001E-2</v>
      </c>
      <c r="CH10" s="19">
        <v>1.7000000000000001E-2</v>
      </c>
    </row>
    <row r="11" spans="1:86">
      <c r="A11" s="13" t="s">
        <v>83</v>
      </c>
      <c r="B11" s="11">
        <v>4.2000000000000002E-4</v>
      </c>
      <c r="C11" s="10">
        <v>4.2000000000000002E-4</v>
      </c>
      <c r="D11" s="10">
        <v>4.2000000000000002E-4</v>
      </c>
      <c r="E11" s="10">
        <v>4.2000000000000002E-4</v>
      </c>
      <c r="F11" s="10">
        <v>4.2000000000000002E-4</v>
      </c>
      <c r="G11" s="10">
        <v>4.2000000000000002E-4</v>
      </c>
      <c r="H11" s="10">
        <v>4.2000000000000002E-4</v>
      </c>
      <c r="I11" s="10">
        <v>4.2000000000000002E-4</v>
      </c>
      <c r="J11" s="10">
        <v>4.2000000000000002E-4</v>
      </c>
      <c r="K11" s="10">
        <v>4.2000000000000002E-4</v>
      </c>
      <c r="L11" s="10">
        <v>4.2000000000000002E-4</v>
      </c>
      <c r="M11" s="10">
        <v>4.2000000000000002E-4</v>
      </c>
      <c r="N11" s="10">
        <v>4.2000000000000002E-4</v>
      </c>
      <c r="O11" s="10">
        <v>4.2000000000000002E-4</v>
      </c>
      <c r="P11" s="10">
        <v>4.2000000000000002E-4</v>
      </c>
      <c r="Q11" s="10">
        <v>4.2000000000000002E-4</v>
      </c>
      <c r="R11" s="10">
        <v>4.2000000000000002E-4</v>
      </c>
      <c r="S11" s="10">
        <v>4.2000000000000002E-4</v>
      </c>
      <c r="T11" s="10">
        <v>4.2000000000000002E-4</v>
      </c>
      <c r="U11" s="10">
        <v>4.2000000000000002E-4</v>
      </c>
      <c r="V11" s="10">
        <v>4.2000000000000002E-4</v>
      </c>
      <c r="W11" s="10">
        <v>4.2000000000000002E-4</v>
      </c>
      <c r="X11" s="10">
        <v>4.2000000000000002E-4</v>
      </c>
      <c r="Y11" s="10">
        <v>4.2000000000000002E-4</v>
      </c>
      <c r="Z11" s="10">
        <v>4.2000000000000002E-4</v>
      </c>
      <c r="AA11" s="10">
        <v>4.2000000000000002E-4</v>
      </c>
      <c r="AB11" s="10">
        <v>4.2000000000000002E-4</v>
      </c>
      <c r="AC11" s="10">
        <v>4.2000000000000002E-4</v>
      </c>
      <c r="AD11" s="10">
        <v>4.2000000000000002E-4</v>
      </c>
      <c r="AE11" s="10">
        <v>4.2000000000000002E-4</v>
      </c>
      <c r="AF11" s="10">
        <v>4.2000000000000002E-4</v>
      </c>
      <c r="AG11" s="10">
        <v>4.2000000000000002E-4</v>
      </c>
      <c r="AH11" s="10">
        <v>4.2000000000000002E-4</v>
      </c>
      <c r="AI11" s="10">
        <v>4.2000000000000002E-4</v>
      </c>
      <c r="AJ11" s="10">
        <v>4.2000000000000002E-4</v>
      </c>
      <c r="AK11" s="10">
        <v>4.2000000000000002E-4</v>
      </c>
      <c r="AL11" s="12">
        <v>4.2000000000000002E-4</v>
      </c>
      <c r="AM11" s="15">
        <v>8.8999999999999999E-3</v>
      </c>
      <c r="AN11" s="15">
        <v>8.8999999999999999E-3</v>
      </c>
      <c r="AO11" s="15">
        <v>8.8999999999999999E-3</v>
      </c>
      <c r="AP11" s="20">
        <v>8.8999999999999999E-3</v>
      </c>
      <c r="AQ11" s="10">
        <v>1.5100000000000001E-3</v>
      </c>
      <c r="AR11" s="10">
        <v>1.5100000000000001E-3</v>
      </c>
      <c r="AS11" s="10">
        <v>1.5100000000000001E-3</v>
      </c>
      <c r="AT11" s="10">
        <v>1.5100000000000001E-3</v>
      </c>
      <c r="AU11" s="10">
        <v>8.9999999999999995E-9</v>
      </c>
      <c r="AV11" s="10">
        <v>8.9999999999999995E-9</v>
      </c>
      <c r="AW11" s="10">
        <v>8.9999999999999995E-9</v>
      </c>
      <c r="AX11" s="10">
        <v>8.9999999999999995E-9</v>
      </c>
      <c r="AY11" s="10">
        <v>8.9999999999999995E-9</v>
      </c>
      <c r="AZ11" s="10">
        <v>8.9999999999999995E-9</v>
      </c>
      <c r="BA11" s="10">
        <v>1.5100000000000001E-3</v>
      </c>
      <c r="BB11" s="10">
        <v>8.9999999999999995E-9</v>
      </c>
      <c r="BC11" s="10">
        <v>8.9999999999999995E-9</v>
      </c>
      <c r="BD11" s="10">
        <v>8.9999999999999995E-9</v>
      </c>
      <c r="BE11" s="12">
        <v>8.9999999999999995E-9</v>
      </c>
      <c r="BF11" s="15">
        <v>5.0000000000000001E-4</v>
      </c>
      <c r="BG11" s="15">
        <v>5.0000000000000001E-4</v>
      </c>
      <c r="BH11" s="15">
        <v>5.0000000000000001E-4</v>
      </c>
      <c r="BI11" s="15">
        <v>5.0000000000000001E-4</v>
      </c>
      <c r="BJ11" s="15">
        <v>5.0000000000000001E-4</v>
      </c>
      <c r="BK11" s="15">
        <v>5.0000000000000001E-4</v>
      </c>
      <c r="BL11" s="15">
        <v>5.0000000000000001E-4</v>
      </c>
      <c r="BM11" s="15">
        <v>5.0000000000000001E-4</v>
      </c>
      <c r="BN11" s="15">
        <v>5.0000000000000001E-4</v>
      </c>
      <c r="BO11" s="20">
        <v>5.0000000000000001E-4</v>
      </c>
      <c r="BP11" s="15">
        <v>5.0000000000000001E-3</v>
      </c>
      <c r="BQ11" s="15">
        <v>5.0000000000000001E-3</v>
      </c>
      <c r="BR11" s="15">
        <v>5.0000000000000001E-3</v>
      </c>
      <c r="BS11" s="15">
        <v>5.0000000000000001E-3</v>
      </c>
      <c r="BT11" s="11">
        <v>4.8000000000000001E-5</v>
      </c>
      <c r="BU11" s="10">
        <v>4.8000000000000001E-5</v>
      </c>
      <c r="BV11" s="10">
        <v>4.8000000000000001E-5</v>
      </c>
      <c r="BW11" s="10">
        <v>4.8000000000000001E-5</v>
      </c>
      <c r="BX11" s="10">
        <v>4.8000000000000001E-5</v>
      </c>
      <c r="BY11" s="10">
        <v>4.8000000000000001E-5</v>
      </c>
      <c r="BZ11" s="10">
        <v>4.8000000000000001E-5</v>
      </c>
      <c r="CA11" s="10">
        <v>4.8000000000000001E-5</v>
      </c>
      <c r="CB11" s="10">
        <v>4.8000000000000001E-5</v>
      </c>
      <c r="CC11" s="10">
        <v>4.8000000000000001E-5</v>
      </c>
      <c r="CD11" s="10">
        <v>4.8000000000000001E-5</v>
      </c>
      <c r="CE11" s="10">
        <v>4.8000000000000001E-5</v>
      </c>
      <c r="CF11" s="10">
        <v>4.8000000000000001E-5</v>
      </c>
      <c r="CG11" s="10">
        <v>4.8000000000000001E-5</v>
      </c>
      <c r="CH11" s="9">
        <v>4.8000000000000001E-5</v>
      </c>
    </row>
    <row r="12" spans="1:86">
      <c r="A12" s="30" t="s">
        <v>540</v>
      </c>
      <c r="B12" s="23" t="s">
        <v>544</v>
      </c>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20"/>
      <c r="AM12" s="15" t="s">
        <v>544</v>
      </c>
      <c r="AN12" s="15"/>
      <c r="AO12" s="15"/>
      <c r="AP12" s="20"/>
      <c r="AQ12" s="15" t="s">
        <v>544</v>
      </c>
      <c r="AR12" s="15"/>
      <c r="AS12" s="15"/>
      <c r="AT12" s="15"/>
      <c r="AU12" s="15"/>
      <c r="AV12" s="15"/>
      <c r="AW12" s="15"/>
      <c r="AX12" s="15"/>
      <c r="AY12" s="15"/>
      <c r="AZ12" s="15"/>
      <c r="BA12" s="15"/>
      <c r="BB12" s="15"/>
      <c r="BC12" s="15"/>
      <c r="BD12" s="15"/>
      <c r="BE12" s="20"/>
      <c r="BF12" s="15" t="s">
        <v>544</v>
      </c>
      <c r="BG12" s="15"/>
      <c r="BH12" s="15"/>
      <c r="BI12" s="15"/>
      <c r="BJ12" s="15"/>
      <c r="BK12" s="15"/>
      <c r="BL12" s="15"/>
      <c r="BM12" s="15"/>
      <c r="BN12" s="15"/>
      <c r="BO12" s="20"/>
      <c r="BP12" s="15" t="s">
        <v>544</v>
      </c>
      <c r="BQ12" s="15"/>
      <c r="BR12" s="29"/>
      <c r="BS12" s="29"/>
      <c r="BT12" s="23" t="s">
        <v>544</v>
      </c>
      <c r="BU12" s="15"/>
      <c r="BV12" s="15"/>
      <c r="BW12" s="15"/>
      <c r="BX12" s="15"/>
      <c r="BY12" s="15"/>
      <c r="BZ12" s="15"/>
      <c r="CA12" s="15"/>
      <c r="CB12" s="15"/>
      <c r="CC12" s="15"/>
      <c r="CD12" s="15"/>
      <c r="CE12" s="15"/>
      <c r="CF12" s="15"/>
      <c r="CG12" s="15"/>
      <c r="CH12" s="19"/>
    </row>
    <row r="13" spans="1:86">
      <c r="A13" s="13" t="s">
        <v>85</v>
      </c>
      <c r="B13" s="23">
        <v>93.28</v>
      </c>
      <c r="C13" s="15">
        <v>93.28</v>
      </c>
      <c r="D13" s="15">
        <v>93.28</v>
      </c>
      <c r="E13" s="15">
        <v>97.17</v>
      </c>
      <c r="F13" s="15">
        <v>97.17</v>
      </c>
      <c r="G13" s="15">
        <v>93.28</v>
      </c>
      <c r="H13" s="15">
        <v>97.17</v>
      </c>
      <c r="I13" s="15">
        <v>93.28</v>
      </c>
      <c r="J13" s="15">
        <v>93.28</v>
      </c>
      <c r="K13" s="15">
        <v>93.28</v>
      </c>
      <c r="L13" s="15">
        <v>97.17</v>
      </c>
      <c r="M13" s="15">
        <v>97.17</v>
      </c>
      <c r="N13" s="15">
        <v>93.28</v>
      </c>
      <c r="O13" s="15">
        <v>93.28</v>
      </c>
      <c r="P13" s="15">
        <v>97.17</v>
      </c>
      <c r="Q13" s="15">
        <v>93.28</v>
      </c>
      <c r="R13" s="15">
        <v>97.17</v>
      </c>
      <c r="S13" s="15">
        <v>93.28</v>
      </c>
      <c r="T13" s="15">
        <v>93.28</v>
      </c>
      <c r="U13" s="15">
        <v>93.28</v>
      </c>
      <c r="V13" s="15">
        <v>97.17</v>
      </c>
      <c r="W13" s="15">
        <v>97.17</v>
      </c>
      <c r="X13" s="15">
        <v>97.17</v>
      </c>
      <c r="Y13" s="15">
        <v>93.28</v>
      </c>
      <c r="Z13" s="15">
        <v>93.28</v>
      </c>
      <c r="AA13" s="15">
        <v>97.17</v>
      </c>
      <c r="AB13" s="15">
        <v>97.17</v>
      </c>
      <c r="AC13" s="15">
        <v>93.28</v>
      </c>
      <c r="AD13" s="15">
        <v>93.28</v>
      </c>
      <c r="AE13" s="15">
        <v>97.17</v>
      </c>
      <c r="AF13" s="15">
        <v>97.17</v>
      </c>
      <c r="AG13" s="15">
        <v>93.28</v>
      </c>
      <c r="AH13" s="15">
        <v>97.17</v>
      </c>
      <c r="AI13" s="15">
        <v>93.28</v>
      </c>
      <c r="AJ13" s="15">
        <v>97.17</v>
      </c>
      <c r="AK13" s="15">
        <v>93.28</v>
      </c>
      <c r="AL13" s="20">
        <v>97.17</v>
      </c>
      <c r="AM13" s="15">
        <v>103.69</v>
      </c>
      <c r="AN13" s="15">
        <v>103.69</v>
      </c>
      <c r="AO13" s="15">
        <v>103.69</v>
      </c>
      <c r="AP13" s="20">
        <v>103.69</v>
      </c>
      <c r="AQ13" s="26">
        <v>75.099999999999994</v>
      </c>
      <c r="AR13" s="26">
        <v>75.099999999999994</v>
      </c>
      <c r="AS13" s="26">
        <v>75.099999999999994</v>
      </c>
      <c r="AT13" s="26">
        <v>75.099999999999994</v>
      </c>
      <c r="AU13" s="26">
        <v>72.930000000000007</v>
      </c>
      <c r="AV13" s="26">
        <v>72.930000000000007</v>
      </c>
      <c r="AW13" s="26">
        <v>75.040000000000006</v>
      </c>
      <c r="AX13" s="26">
        <v>75.040000000000006</v>
      </c>
      <c r="AY13" s="26">
        <v>73.959999999999994</v>
      </c>
      <c r="AZ13" s="26">
        <v>73.959999999999994</v>
      </c>
      <c r="BA13" s="26">
        <v>75.099999999999994</v>
      </c>
      <c r="BB13" s="26">
        <v>72.930000000000007</v>
      </c>
      <c r="BC13" s="26">
        <v>75.040000000000006</v>
      </c>
      <c r="BD13" s="26">
        <v>73.959999999999994</v>
      </c>
      <c r="BE13" s="28">
        <v>73.959999999999994</v>
      </c>
      <c r="BF13" s="15">
        <v>53.06</v>
      </c>
      <c r="BG13" s="15">
        <v>53.06</v>
      </c>
      <c r="BH13" s="15">
        <v>53.06</v>
      </c>
      <c r="BI13" s="15">
        <v>53.06</v>
      </c>
      <c r="BJ13" s="15">
        <v>53.06</v>
      </c>
      <c r="BK13" s="15">
        <v>53.06</v>
      </c>
      <c r="BL13" s="15">
        <v>53.06</v>
      </c>
      <c r="BM13" s="15">
        <v>53.06</v>
      </c>
      <c r="BN13" s="15">
        <v>53.06</v>
      </c>
      <c r="BO13" s="20">
        <v>53.06</v>
      </c>
      <c r="BP13" s="15">
        <v>64.77</v>
      </c>
      <c r="BQ13" s="15">
        <v>64.77</v>
      </c>
      <c r="BR13" s="15">
        <v>62.87</v>
      </c>
      <c r="BS13" s="15">
        <v>62.87</v>
      </c>
      <c r="BT13" s="27">
        <v>93.8</v>
      </c>
      <c r="BU13" s="26">
        <v>93.8</v>
      </c>
      <c r="BV13" s="26">
        <v>93.8</v>
      </c>
      <c r="BW13" s="26">
        <v>93.8</v>
      </c>
      <c r="BX13" s="26">
        <v>93.8</v>
      </c>
      <c r="BY13" s="26">
        <v>93.8</v>
      </c>
      <c r="BZ13" s="26">
        <v>93.8</v>
      </c>
      <c r="CA13" s="26">
        <v>93.8</v>
      </c>
      <c r="CB13" s="26">
        <v>93.8</v>
      </c>
      <c r="CC13" s="26">
        <v>93.8</v>
      </c>
      <c r="CD13" s="26">
        <v>93.8</v>
      </c>
      <c r="CE13" s="26">
        <v>93.8</v>
      </c>
      <c r="CF13" s="26">
        <v>93.8</v>
      </c>
      <c r="CG13" s="26">
        <v>93.8</v>
      </c>
      <c r="CH13" s="25">
        <v>93.8</v>
      </c>
    </row>
    <row r="14" spans="1:86">
      <c r="A14" s="13" t="s">
        <v>86</v>
      </c>
      <c r="B14" s="23">
        <v>1.0999999999999999E-2</v>
      </c>
      <c r="C14" s="15">
        <v>1.0999999999999999E-2</v>
      </c>
      <c r="D14" s="15">
        <v>1.0999999999999999E-2</v>
      </c>
      <c r="E14" s="15">
        <v>1.0999999999999999E-2</v>
      </c>
      <c r="F14" s="15">
        <v>1.0999999999999999E-2</v>
      </c>
      <c r="G14" s="15">
        <v>1.0999999999999999E-2</v>
      </c>
      <c r="H14" s="15">
        <v>1.0999999999999999E-2</v>
      </c>
      <c r="I14" s="15">
        <v>1.0999999999999999E-2</v>
      </c>
      <c r="J14" s="15">
        <v>1.0999999999999999E-2</v>
      </c>
      <c r="K14" s="15">
        <v>1.0999999999999999E-2</v>
      </c>
      <c r="L14" s="15">
        <v>1.0999999999999999E-2</v>
      </c>
      <c r="M14" s="15">
        <v>1.0999999999999999E-2</v>
      </c>
      <c r="N14" s="15">
        <v>1.0999999999999999E-2</v>
      </c>
      <c r="O14" s="15">
        <v>1.0999999999999999E-2</v>
      </c>
      <c r="P14" s="15">
        <v>1.0999999999999999E-2</v>
      </c>
      <c r="Q14" s="15">
        <v>1.0999999999999999E-2</v>
      </c>
      <c r="R14" s="15">
        <v>1.0999999999999999E-2</v>
      </c>
      <c r="S14" s="15">
        <v>1.0999999999999999E-2</v>
      </c>
      <c r="T14" s="15">
        <v>1.0999999999999999E-2</v>
      </c>
      <c r="U14" s="15">
        <v>1.0999999999999999E-2</v>
      </c>
      <c r="V14" s="15">
        <v>1.0999999999999999E-2</v>
      </c>
      <c r="W14" s="15">
        <v>1.0999999999999999E-2</v>
      </c>
      <c r="X14" s="15">
        <v>1.0999999999999999E-2</v>
      </c>
      <c r="Y14" s="15">
        <v>1.0999999999999999E-2</v>
      </c>
      <c r="Z14" s="15">
        <v>1.0999999999999999E-2</v>
      </c>
      <c r="AA14" s="15">
        <v>1.0999999999999999E-2</v>
      </c>
      <c r="AB14" s="15">
        <v>1.0999999999999999E-2</v>
      </c>
      <c r="AC14" s="15">
        <v>1.0999999999999999E-2</v>
      </c>
      <c r="AD14" s="15">
        <v>1.0999999999999999E-2</v>
      </c>
      <c r="AE14" s="15">
        <v>1.0999999999999999E-2</v>
      </c>
      <c r="AF14" s="15">
        <v>1.0999999999999999E-2</v>
      </c>
      <c r="AG14" s="15">
        <v>1.0999999999999999E-2</v>
      </c>
      <c r="AH14" s="15">
        <v>1.0999999999999999E-2</v>
      </c>
      <c r="AI14" s="15">
        <v>1.0999999999999999E-2</v>
      </c>
      <c r="AJ14" s="15">
        <v>1.0999999999999999E-2</v>
      </c>
      <c r="AK14" s="15">
        <v>1.0999999999999999E-2</v>
      </c>
      <c r="AL14" s="20">
        <v>1.0999999999999999E-2</v>
      </c>
      <c r="AM14" s="15">
        <v>1.0999999999999999E-2</v>
      </c>
      <c r="AN14" s="15">
        <v>1.0999999999999999E-2</v>
      </c>
      <c r="AO14" s="15">
        <v>1.0999999999999999E-2</v>
      </c>
      <c r="AP14" s="20">
        <v>1.0999999999999999E-2</v>
      </c>
      <c r="AQ14" s="15">
        <v>3.0000000000000001E-3</v>
      </c>
      <c r="AR14" s="15">
        <v>3.0000000000000001E-3</v>
      </c>
      <c r="AS14" s="15">
        <v>3.0000000000000001E-3</v>
      </c>
      <c r="AT14" s="15">
        <v>3.0000000000000001E-3</v>
      </c>
      <c r="AU14" s="15">
        <v>3.0000000000000001E-3</v>
      </c>
      <c r="AV14" s="15">
        <v>3.0000000000000001E-3</v>
      </c>
      <c r="AW14" s="15">
        <v>3.0000000000000001E-3</v>
      </c>
      <c r="AX14" s="15">
        <v>3.0000000000000001E-3</v>
      </c>
      <c r="AY14" s="15">
        <v>3.0000000000000001E-3</v>
      </c>
      <c r="AZ14" s="15">
        <v>3.0000000000000001E-3</v>
      </c>
      <c r="BA14" s="15">
        <v>3.0000000000000001E-3</v>
      </c>
      <c r="BB14" s="15">
        <v>3.0000000000000001E-3</v>
      </c>
      <c r="BC14" s="15">
        <v>3.0000000000000001E-3</v>
      </c>
      <c r="BD14" s="15">
        <v>3.0000000000000001E-3</v>
      </c>
      <c r="BE14" s="20">
        <v>3.0000000000000001E-3</v>
      </c>
      <c r="BF14" s="15">
        <v>1E-3</v>
      </c>
      <c r="BG14" s="15">
        <v>1E-3</v>
      </c>
      <c r="BH14" s="15">
        <v>1E-3</v>
      </c>
      <c r="BI14" s="15">
        <v>1E-3</v>
      </c>
      <c r="BJ14" s="15">
        <v>1E-3</v>
      </c>
      <c r="BK14" s="15">
        <v>1E-3</v>
      </c>
      <c r="BL14" s="15">
        <v>1E-3</v>
      </c>
      <c r="BM14" s="15">
        <v>1E-3</v>
      </c>
      <c r="BN14" s="15">
        <v>1E-3</v>
      </c>
      <c r="BO14" s="20">
        <v>1E-3</v>
      </c>
      <c r="BP14" s="15">
        <v>3.0000000000000001E-3</v>
      </c>
      <c r="BQ14" s="15">
        <v>3.0000000000000001E-3</v>
      </c>
      <c r="BR14" s="15">
        <v>3.0000000000000001E-3</v>
      </c>
      <c r="BS14" s="15">
        <v>3.0000000000000001E-3</v>
      </c>
      <c r="BT14" s="23">
        <v>7.1999999999999998E-3</v>
      </c>
      <c r="BU14" s="15">
        <v>7.1999999999999998E-3</v>
      </c>
      <c r="BV14" s="15">
        <v>7.1999999999999998E-3</v>
      </c>
      <c r="BW14" s="15">
        <v>7.1999999999999998E-3</v>
      </c>
      <c r="BX14" s="15">
        <v>7.1999999999999998E-3</v>
      </c>
      <c r="BY14" s="15">
        <v>7.1999999999999998E-3</v>
      </c>
      <c r="BZ14" s="15">
        <v>7.1999999999999998E-3</v>
      </c>
      <c r="CA14" s="15">
        <v>7.1999999999999998E-3</v>
      </c>
      <c r="CB14" s="15">
        <v>7.1999999999999998E-3</v>
      </c>
      <c r="CC14" s="15">
        <v>7.1999999999999998E-3</v>
      </c>
      <c r="CD14" s="15">
        <v>7.1999999999999998E-3</v>
      </c>
      <c r="CE14" s="15">
        <v>7.1999999999999998E-3</v>
      </c>
      <c r="CF14" s="15">
        <v>7.1999999999999998E-3</v>
      </c>
      <c r="CG14" s="15">
        <v>7.1999999999999998E-3</v>
      </c>
      <c r="CH14" s="19">
        <v>7.1999999999999998E-3</v>
      </c>
    </row>
    <row r="15" spans="1:86">
      <c r="A15" s="13" t="s">
        <v>87</v>
      </c>
      <c r="B15" s="15">
        <v>1.6000000000000001E-3</v>
      </c>
      <c r="C15" s="15">
        <v>1.6000000000000001E-3</v>
      </c>
      <c r="D15" s="15">
        <v>1.6000000000000001E-3</v>
      </c>
      <c r="E15" s="15">
        <v>1.6000000000000001E-3</v>
      </c>
      <c r="F15" s="15">
        <v>1.6000000000000001E-3</v>
      </c>
      <c r="G15" s="15">
        <v>1.6000000000000001E-3</v>
      </c>
      <c r="H15" s="15">
        <v>1.6000000000000001E-3</v>
      </c>
      <c r="I15" s="15">
        <v>1.6000000000000001E-3</v>
      </c>
      <c r="J15" s="15">
        <v>1.6000000000000001E-3</v>
      </c>
      <c r="K15" s="15">
        <v>1.6000000000000001E-3</v>
      </c>
      <c r="L15" s="15">
        <v>1.6000000000000001E-3</v>
      </c>
      <c r="M15" s="15">
        <v>1.6000000000000001E-3</v>
      </c>
      <c r="N15" s="15">
        <v>1.6000000000000001E-3</v>
      </c>
      <c r="O15" s="15">
        <v>1.6000000000000001E-3</v>
      </c>
      <c r="P15" s="15">
        <v>1.6000000000000001E-3</v>
      </c>
      <c r="Q15" s="15">
        <v>1.6000000000000001E-3</v>
      </c>
      <c r="R15" s="15">
        <v>1.6000000000000001E-3</v>
      </c>
      <c r="S15" s="15">
        <v>1.6000000000000001E-3</v>
      </c>
      <c r="T15" s="15">
        <v>1.6000000000000001E-3</v>
      </c>
      <c r="U15" s="15">
        <v>1.6000000000000001E-3</v>
      </c>
      <c r="V15" s="15">
        <v>1.6000000000000001E-3</v>
      </c>
      <c r="W15" s="15">
        <v>1.6000000000000001E-3</v>
      </c>
      <c r="X15" s="15">
        <v>1.6000000000000001E-3</v>
      </c>
      <c r="Y15" s="15">
        <v>1.6000000000000001E-3</v>
      </c>
      <c r="Z15" s="15">
        <v>1.6000000000000001E-3</v>
      </c>
      <c r="AA15" s="15">
        <v>1.6000000000000001E-3</v>
      </c>
      <c r="AB15" s="15">
        <v>1.6000000000000001E-3</v>
      </c>
      <c r="AC15" s="15">
        <v>1.6000000000000001E-3</v>
      </c>
      <c r="AD15" s="15">
        <v>1.6000000000000001E-3</v>
      </c>
      <c r="AE15" s="15">
        <v>1.6000000000000001E-3</v>
      </c>
      <c r="AF15" s="15">
        <v>1.6000000000000001E-3</v>
      </c>
      <c r="AG15" s="15">
        <v>1.6000000000000001E-3</v>
      </c>
      <c r="AH15" s="15">
        <v>1.6000000000000001E-3</v>
      </c>
      <c r="AI15" s="15">
        <v>1.6000000000000001E-3</v>
      </c>
      <c r="AJ15" s="15">
        <v>1.6000000000000001E-3</v>
      </c>
      <c r="AK15" s="15">
        <v>1.6000000000000001E-3</v>
      </c>
      <c r="AL15" s="20">
        <v>1.6000000000000001E-3</v>
      </c>
      <c r="AM15" s="15">
        <v>1.6000000000000001E-3</v>
      </c>
      <c r="AN15" s="15">
        <v>1.6000000000000001E-3</v>
      </c>
      <c r="AO15" s="15">
        <v>1.6000000000000001E-3</v>
      </c>
      <c r="AP15" s="20">
        <v>1.6000000000000001E-3</v>
      </c>
      <c r="AQ15" s="15">
        <v>5.9999999999999995E-4</v>
      </c>
      <c r="AR15" s="15">
        <v>5.9999999999999995E-4</v>
      </c>
      <c r="AS15" s="15">
        <v>5.9999999999999995E-4</v>
      </c>
      <c r="AT15" s="15">
        <v>5.9999999999999995E-4</v>
      </c>
      <c r="AU15" s="15">
        <v>5.9999999999999995E-4</v>
      </c>
      <c r="AV15" s="15">
        <v>5.9999999999999995E-4</v>
      </c>
      <c r="AW15" s="15">
        <v>5.9999999999999995E-4</v>
      </c>
      <c r="AX15" s="15">
        <v>5.9999999999999995E-4</v>
      </c>
      <c r="AY15" s="15">
        <v>5.9999999999999995E-4</v>
      </c>
      <c r="AZ15" s="15">
        <v>5.9999999999999995E-4</v>
      </c>
      <c r="BA15" s="15">
        <v>5.9999999999999995E-4</v>
      </c>
      <c r="BB15" s="15">
        <v>5.9999999999999995E-4</v>
      </c>
      <c r="BC15" s="15">
        <v>5.9999999999999995E-4</v>
      </c>
      <c r="BD15" s="15">
        <v>5.9999999999999995E-4</v>
      </c>
      <c r="BE15" s="20">
        <v>5.9999999999999995E-4</v>
      </c>
      <c r="BF15" s="15">
        <v>1E-4</v>
      </c>
      <c r="BG15" s="15">
        <v>1E-4</v>
      </c>
      <c r="BH15" s="15">
        <v>1E-4</v>
      </c>
      <c r="BI15" s="15">
        <v>1E-4</v>
      </c>
      <c r="BJ15" s="15">
        <v>1E-4</v>
      </c>
      <c r="BK15" s="15">
        <v>1E-4</v>
      </c>
      <c r="BL15" s="15">
        <v>1E-4</v>
      </c>
      <c r="BM15" s="15">
        <v>1E-4</v>
      </c>
      <c r="BN15" s="15">
        <v>1E-4</v>
      </c>
      <c r="BO15" s="20">
        <v>1E-4</v>
      </c>
      <c r="BP15" s="15">
        <v>5.9999999999999995E-4</v>
      </c>
      <c r="BQ15" s="15">
        <v>5.9999999999999995E-4</v>
      </c>
      <c r="BR15" s="15">
        <v>5.9999999999999995E-4</v>
      </c>
      <c r="BS15" s="15">
        <v>5.9999999999999995E-4</v>
      </c>
      <c r="BT15" s="23">
        <v>3.5999999999999999E-3</v>
      </c>
      <c r="BU15" s="15">
        <v>3.5999999999999999E-3</v>
      </c>
      <c r="BV15" s="15">
        <v>3.5999999999999999E-3</v>
      </c>
      <c r="BW15" s="15">
        <v>3.5999999999999999E-3</v>
      </c>
      <c r="BX15" s="15">
        <v>3.5999999999999999E-3</v>
      </c>
      <c r="BY15" s="15">
        <v>3.5999999999999999E-3</v>
      </c>
      <c r="BZ15" s="15">
        <v>3.5999999999999999E-3</v>
      </c>
      <c r="CA15" s="15">
        <v>3.5999999999999999E-3</v>
      </c>
      <c r="CB15" s="15">
        <v>3.5999999999999999E-3</v>
      </c>
      <c r="CC15" s="15">
        <v>3.5999999999999999E-3</v>
      </c>
      <c r="CD15" s="15">
        <v>3.5999999999999999E-3</v>
      </c>
      <c r="CE15" s="15">
        <v>3.5999999999999999E-3</v>
      </c>
      <c r="CF15" s="15">
        <v>3.5999999999999999E-3</v>
      </c>
      <c r="CG15" s="15">
        <v>3.5999999999999999E-3</v>
      </c>
      <c r="CH15" s="19">
        <v>3.5999999999999999E-3</v>
      </c>
    </row>
    <row r="16" spans="1:86">
      <c r="A16" s="13" t="s">
        <v>88</v>
      </c>
      <c r="B16" s="23">
        <f t="shared" ref="B16:AG16" si="0">B13+B14*25+B15*298</f>
        <v>94.031800000000004</v>
      </c>
      <c r="C16" s="15">
        <f t="shared" si="0"/>
        <v>94.031800000000004</v>
      </c>
      <c r="D16" s="15">
        <f t="shared" si="0"/>
        <v>94.031800000000004</v>
      </c>
      <c r="E16" s="15">
        <f t="shared" si="0"/>
        <v>97.921800000000005</v>
      </c>
      <c r="F16" s="15">
        <f t="shared" si="0"/>
        <v>97.921800000000005</v>
      </c>
      <c r="G16" s="15">
        <f t="shared" si="0"/>
        <v>94.031800000000004</v>
      </c>
      <c r="H16" s="15">
        <f t="shared" si="0"/>
        <v>97.921800000000005</v>
      </c>
      <c r="I16" s="15">
        <f t="shared" si="0"/>
        <v>94.031800000000004</v>
      </c>
      <c r="J16" s="15">
        <f t="shared" si="0"/>
        <v>94.031800000000004</v>
      </c>
      <c r="K16" s="15">
        <f t="shared" si="0"/>
        <v>94.031800000000004</v>
      </c>
      <c r="L16" s="15">
        <f t="shared" si="0"/>
        <v>97.921800000000005</v>
      </c>
      <c r="M16" s="15">
        <f t="shared" si="0"/>
        <v>97.921800000000005</v>
      </c>
      <c r="N16" s="15">
        <f t="shared" si="0"/>
        <v>94.031800000000004</v>
      </c>
      <c r="O16" s="15">
        <f t="shared" si="0"/>
        <v>94.031800000000004</v>
      </c>
      <c r="P16" s="15">
        <f t="shared" si="0"/>
        <v>97.921800000000005</v>
      </c>
      <c r="Q16" s="15">
        <f t="shared" si="0"/>
        <v>94.031800000000004</v>
      </c>
      <c r="R16" s="15">
        <f t="shared" si="0"/>
        <v>97.921800000000005</v>
      </c>
      <c r="S16" s="15">
        <f t="shared" si="0"/>
        <v>94.031800000000004</v>
      </c>
      <c r="T16" s="15">
        <f t="shared" si="0"/>
        <v>94.031800000000004</v>
      </c>
      <c r="U16" s="15">
        <f t="shared" si="0"/>
        <v>94.031800000000004</v>
      </c>
      <c r="V16" s="15">
        <f t="shared" si="0"/>
        <v>97.921800000000005</v>
      </c>
      <c r="W16" s="15">
        <f t="shared" si="0"/>
        <v>97.921800000000005</v>
      </c>
      <c r="X16" s="15">
        <f t="shared" si="0"/>
        <v>97.921800000000005</v>
      </c>
      <c r="Y16" s="15">
        <f t="shared" si="0"/>
        <v>94.031800000000004</v>
      </c>
      <c r="Z16" s="15">
        <f t="shared" si="0"/>
        <v>94.031800000000004</v>
      </c>
      <c r="AA16" s="15">
        <f t="shared" si="0"/>
        <v>97.921800000000005</v>
      </c>
      <c r="AB16" s="15">
        <f t="shared" si="0"/>
        <v>97.921800000000005</v>
      </c>
      <c r="AC16" s="15">
        <f t="shared" si="0"/>
        <v>94.031800000000004</v>
      </c>
      <c r="AD16" s="15">
        <f t="shared" si="0"/>
        <v>94.031800000000004</v>
      </c>
      <c r="AE16" s="15">
        <f t="shared" si="0"/>
        <v>97.921800000000005</v>
      </c>
      <c r="AF16" s="15">
        <f t="shared" si="0"/>
        <v>97.921800000000005</v>
      </c>
      <c r="AG16" s="15">
        <f t="shared" si="0"/>
        <v>94.031800000000004</v>
      </c>
      <c r="AH16" s="15">
        <f t="shared" ref="AH16:BM16" si="1">AH13+AH14*25+AH15*298</f>
        <v>97.921800000000005</v>
      </c>
      <c r="AI16" s="15">
        <f t="shared" si="1"/>
        <v>94.031800000000004</v>
      </c>
      <c r="AJ16" s="15">
        <f t="shared" si="1"/>
        <v>97.921800000000005</v>
      </c>
      <c r="AK16" s="15">
        <f t="shared" si="1"/>
        <v>94.031800000000004</v>
      </c>
      <c r="AL16" s="20">
        <f t="shared" si="1"/>
        <v>97.921800000000005</v>
      </c>
      <c r="AM16" s="15">
        <f t="shared" si="1"/>
        <v>104.4418</v>
      </c>
      <c r="AN16" s="15">
        <f t="shared" si="1"/>
        <v>104.4418</v>
      </c>
      <c r="AO16" s="15">
        <f t="shared" si="1"/>
        <v>104.4418</v>
      </c>
      <c r="AP16" s="20">
        <f t="shared" si="1"/>
        <v>104.4418</v>
      </c>
      <c r="AQ16" s="15">
        <f t="shared" si="1"/>
        <v>75.353799999999993</v>
      </c>
      <c r="AR16" s="15">
        <f t="shared" si="1"/>
        <v>75.353799999999993</v>
      </c>
      <c r="AS16" s="15">
        <f t="shared" si="1"/>
        <v>75.353799999999993</v>
      </c>
      <c r="AT16" s="15">
        <f t="shared" si="1"/>
        <v>75.353799999999993</v>
      </c>
      <c r="AU16" s="15">
        <f t="shared" si="1"/>
        <v>73.183800000000005</v>
      </c>
      <c r="AV16" s="15">
        <f t="shared" si="1"/>
        <v>73.183800000000005</v>
      </c>
      <c r="AW16" s="15">
        <f t="shared" si="1"/>
        <v>75.293800000000005</v>
      </c>
      <c r="AX16" s="15">
        <f t="shared" si="1"/>
        <v>75.293800000000005</v>
      </c>
      <c r="AY16" s="15">
        <f t="shared" si="1"/>
        <v>74.213799999999992</v>
      </c>
      <c r="AZ16" s="15">
        <f t="shared" si="1"/>
        <v>74.213799999999992</v>
      </c>
      <c r="BA16" s="15">
        <f t="shared" si="1"/>
        <v>75.353799999999993</v>
      </c>
      <c r="BB16" s="15">
        <f t="shared" si="1"/>
        <v>73.183800000000005</v>
      </c>
      <c r="BC16" s="15">
        <f t="shared" si="1"/>
        <v>75.293800000000005</v>
      </c>
      <c r="BD16" s="15">
        <f t="shared" si="1"/>
        <v>74.213799999999992</v>
      </c>
      <c r="BE16" s="20">
        <f t="shared" si="1"/>
        <v>74.213799999999992</v>
      </c>
      <c r="BF16" s="15">
        <f t="shared" si="1"/>
        <v>53.114800000000002</v>
      </c>
      <c r="BG16" s="15">
        <f t="shared" si="1"/>
        <v>53.114800000000002</v>
      </c>
      <c r="BH16" s="15">
        <f t="shared" si="1"/>
        <v>53.114800000000002</v>
      </c>
      <c r="BI16" s="15">
        <f t="shared" si="1"/>
        <v>53.114800000000002</v>
      </c>
      <c r="BJ16" s="15">
        <f t="shared" si="1"/>
        <v>53.114800000000002</v>
      </c>
      <c r="BK16" s="15">
        <f t="shared" si="1"/>
        <v>53.114800000000002</v>
      </c>
      <c r="BL16" s="15">
        <f t="shared" si="1"/>
        <v>53.114800000000002</v>
      </c>
      <c r="BM16" s="15">
        <f t="shared" si="1"/>
        <v>53.114800000000002</v>
      </c>
      <c r="BN16" s="15">
        <f t="shared" ref="BN16:CH16" si="2">BN13+BN14*25+BN15*298</f>
        <v>53.114800000000002</v>
      </c>
      <c r="BO16" s="20">
        <f t="shared" si="2"/>
        <v>53.114800000000002</v>
      </c>
      <c r="BP16" s="15">
        <f t="shared" si="2"/>
        <v>65.023799999999994</v>
      </c>
      <c r="BQ16" s="15">
        <f t="shared" si="2"/>
        <v>65.023799999999994</v>
      </c>
      <c r="BR16" s="15">
        <f t="shared" si="2"/>
        <v>63.123800000000003</v>
      </c>
      <c r="BS16" s="15">
        <f t="shared" si="2"/>
        <v>63.123800000000003</v>
      </c>
      <c r="BT16" s="23">
        <f t="shared" si="2"/>
        <v>95.052800000000005</v>
      </c>
      <c r="BU16" s="15">
        <f t="shared" si="2"/>
        <v>95.052800000000005</v>
      </c>
      <c r="BV16" s="15">
        <f t="shared" si="2"/>
        <v>95.052800000000005</v>
      </c>
      <c r="BW16" s="15">
        <f t="shared" si="2"/>
        <v>95.052800000000005</v>
      </c>
      <c r="BX16" s="15">
        <f t="shared" si="2"/>
        <v>95.052800000000005</v>
      </c>
      <c r="BY16" s="15">
        <f t="shared" si="2"/>
        <v>95.052800000000005</v>
      </c>
      <c r="BZ16" s="15">
        <f t="shared" si="2"/>
        <v>95.052800000000005</v>
      </c>
      <c r="CA16" s="15">
        <f t="shared" si="2"/>
        <v>95.052800000000005</v>
      </c>
      <c r="CB16" s="15">
        <f t="shared" si="2"/>
        <v>95.052800000000005</v>
      </c>
      <c r="CC16" s="15">
        <f t="shared" si="2"/>
        <v>95.052800000000005</v>
      </c>
      <c r="CD16" s="15">
        <f t="shared" si="2"/>
        <v>95.052800000000005</v>
      </c>
      <c r="CE16" s="15">
        <f t="shared" si="2"/>
        <v>95.052800000000005</v>
      </c>
      <c r="CF16" s="15">
        <f t="shared" si="2"/>
        <v>95.052800000000005</v>
      </c>
      <c r="CG16" s="15">
        <f t="shared" si="2"/>
        <v>95.052800000000005</v>
      </c>
      <c r="CH16" s="19">
        <f t="shared" si="2"/>
        <v>95.052800000000005</v>
      </c>
    </row>
    <row r="17" spans="1:86" s="22" customFormat="1">
      <c r="A17" s="24" t="s">
        <v>540</v>
      </c>
      <c r="B17" s="23" t="s">
        <v>258</v>
      </c>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20"/>
      <c r="AM17" s="15" t="s">
        <v>258</v>
      </c>
      <c r="AN17" s="15"/>
      <c r="AO17" s="15"/>
      <c r="AP17" s="20"/>
      <c r="AQ17" s="15" t="s">
        <v>541</v>
      </c>
      <c r="AR17" s="15"/>
      <c r="AS17" s="15"/>
      <c r="AT17" s="15"/>
      <c r="AU17" s="15"/>
      <c r="AV17" s="15"/>
      <c r="AW17" s="15"/>
      <c r="AX17" s="15"/>
      <c r="AY17" s="15"/>
      <c r="AZ17" s="15"/>
      <c r="BA17" s="15"/>
      <c r="BB17" s="15"/>
      <c r="BC17" s="15"/>
      <c r="BD17" s="15"/>
      <c r="BE17" s="20"/>
      <c r="BF17" s="15" t="s">
        <v>542</v>
      </c>
      <c r="BG17" s="15"/>
      <c r="BH17" s="15"/>
      <c r="BI17" s="15"/>
      <c r="BJ17" s="15"/>
      <c r="BK17" s="15"/>
      <c r="BL17" s="15"/>
      <c r="BM17" s="15"/>
      <c r="BN17" s="15"/>
      <c r="BO17" s="20"/>
      <c r="BP17" s="15" t="s">
        <v>543</v>
      </c>
      <c r="BQ17" s="15"/>
      <c r="BR17" s="15"/>
      <c r="BS17" s="15"/>
      <c r="BT17" s="23" t="s">
        <v>406</v>
      </c>
      <c r="BU17" s="15"/>
      <c r="BV17" s="15"/>
      <c r="BW17" s="15"/>
      <c r="BX17" s="15"/>
      <c r="BY17" s="15"/>
      <c r="BZ17" s="15"/>
      <c r="CA17" s="15"/>
      <c r="CB17" s="15"/>
      <c r="CC17" s="15"/>
      <c r="CD17" s="15"/>
      <c r="CE17" s="15"/>
      <c r="CF17" s="15"/>
      <c r="CG17" s="15"/>
      <c r="CH17" s="19"/>
    </row>
    <row r="18" spans="1:86">
      <c r="A18" s="13" t="s">
        <v>84</v>
      </c>
      <c r="B18" s="10">
        <f t="shared" ref="B18:AG18" si="3">SUM(B20:B77)</f>
        <v>2081.5840963799997</v>
      </c>
      <c r="C18" s="10">
        <f t="shared" si="3"/>
        <v>2081.5840963799997</v>
      </c>
      <c r="D18" s="10">
        <f t="shared" si="3"/>
        <v>2081.5840963799997</v>
      </c>
      <c r="E18" s="10">
        <f t="shared" si="3"/>
        <v>2081.5840963799997</v>
      </c>
      <c r="F18" s="10">
        <f t="shared" si="3"/>
        <v>2081.5840963799997</v>
      </c>
      <c r="G18" s="10">
        <f t="shared" si="3"/>
        <v>1.5841171379999999</v>
      </c>
      <c r="H18" s="10">
        <f t="shared" si="3"/>
        <v>1.5841171379999999</v>
      </c>
      <c r="I18" s="10">
        <f t="shared" si="3"/>
        <v>2401.5840963799997</v>
      </c>
      <c r="J18" s="10">
        <f t="shared" si="3"/>
        <v>2401.5840963799997</v>
      </c>
      <c r="K18" s="10">
        <f t="shared" si="3"/>
        <v>2401.5840963799997</v>
      </c>
      <c r="L18" s="10">
        <f t="shared" si="3"/>
        <v>2401.5840963799997</v>
      </c>
      <c r="M18" s="10">
        <f t="shared" si="3"/>
        <v>2401.5840963799997</v>
      </c>
      <c r="N18" s="10">
        <f t="shared" si="3"/>
        <v>1.5841171379999999</v>
      </c>
      <c r="O18" s="10">
        <f t="shared" si="3"/>
        <v>1.5841171379999999</v>
      </c>
      <c r="P18" s="10">
        <f t="shared" si="3"/>
        <v>1.5841171379999999</v>
      </c>
      <c r="Q18" s="10">
        <f t="shared" si="3"/>
        <v>1.5841171379999999</v>
      </c>
      <c r="R18" s="10">
        <f t="shared" si="3"/>
        <v>1.5841171379999999</v>
      </c>
      <c r="S18" s="10">
        <f t="shared" si="3"/>
        <v>1.5841171379999999</v>
      </c>
      <c r="T18" s="10">
        <f t="shared" si="3"/>
        <v>1.5841171379999999</v>
      </c>
      <c r="U18" s="10">
        <f t="shared" si="3"/>
        <v>1.5841171379999999</v>
      </c>
      <c r="V18" s="10">
        <f t="shared" si="3"/>
        <v>1.5841171379999999</v>
      </c>
      <c r="W18" s="10">
        <f t="shared" si="3"/>
        <v>1.5841171379999999</v>
      </c>
      <c r="X18" s="10">
        <f t="shared" si="3"/>
        <v>1.5841171379999999</v>
      </c>
      <c r="Y18" s="10">
        <f t="shared" si="3"/>
        <v>1.5841171379999999</v>
      </c>
      <c r="Z18" s="10">
        <f t="shared" si="3"/>
        <v>1.5841171379999999</v>
      </c>
      <c r="AA18" s="10">
        <f t="shared" si="3"/>
        <v>1.5841171379999999</v>
      </c>
      <c r="AB18" s="10">
        <f t="shared" si="3"/>
        <v>1.5841171379999999</v>
      </c>
      <c r="AC18" s="10">
        <f t="shared" si="3"/>
        <v>1.5841171379999999</v>
      </c>
      <c r="AD18" s="10">
        <f t="shared" si="3"/>
        <v>1.5841171379999999</v>
      </c>
      <c r="AE18" s="10">
        <f t="shared" si="3"/>
        <v>1.5841171379999999</v>
      </c>
      <c r="AF18" s="10">
        <f t="shared" si="3"/>
        <v>1.5841171379999999</v>
      </c>
      <c r="AG18" s="10">
        <f t="shared" si="3"/>
        <v>1.5841171379999999</v>
      </c>
      <c r="AH18" s="10">
        <f t="shared" ref="AH18:BM18" si="4">SUM(AH20:AH77)</f>
        <v>1.5841171379999999</v>
      </c>
      <c r="AI18" s="10">
        <f t="shared" si="4"/>
        <v>1.5841171379999999</v>
      </c>
      <c r="AJ18" s="10">
        <f t="shared" si="4"/>
        <v>1.5841171379999999</v>
      </c>
      <c r="AK18" s="10">
        <f t="shared" si="4"/>
        <v>1.5841171379999999</v>
      </c>
      <c r="AL18" s="12">
        <f t="shared" si="4"/>
        <v>1.5841171379999999</v>
      </c>
      <c r="AM18" s="10">
        <f t="shared" si="4"/>
        <v>1.5949507380000001</v>
      </c>
      <c r="AN18" s="10">
        <f t="shared" si="4"/>
        <v>1.6159127379999998</v>
      </c>
      <c r="AO18" s="10">
        <f t="shared" si="4"/>
        <v>1.6159127379999998</v>
      </c>
      <c r="AP18" s="12">
        <f t="shared" si="4"/>
        <v>1.5852073019999999</v>
      </c>
      <c r="AQ18" s="10">
        <f t="shared" si="4"/>
        <v>0.49973940000000006</v>
      </c>
      <c r="AR18" s="10">
        <f t="shared" si="4"/>
        <v>0.49973940000000006</v>
      </c>
      <c r="AS18" s="10">
        <f t="shared" si="4"/>
        <v>0.49973940000000006</v>
      </c>
      <c r="AT18" s="10">
        <f t="shared" si="4"/>
        <v>0.49973940000000006</v>
      </c>
      <c r="AU18" s="10">
        <f t="shared" si="4"/>
        <v>4.101322109999999E-2</v>
      </c>
      <c r="AV18" s="10">
        <f t="shared" si="4"/>
        <v>4.101322109999999E-2</v>
      </c>
      <c r="AW18" s="10">
        <f t="shared" si="4"/>
        <v>4.101322109999999E-2</v>
      </c>
      <c r="AX18" s="10">
        <f t="shared" si="4"/>
        <v>4.101322109999999E-2</v>
      </c>
      <c r="AY18" s="10">
        <f t="shared" si="4"/>
        <v>4.3122644999999987E-2</v>
      </c>
      <c r="AZ18" s="10">
        <f t="shared" si="4"/>
        <v>4.3122644999999987E-2</v>
      </c>
      <c r="BA18" s="10">
        <f t="shared" si="4"/>
        <v>0.1527394</v>
      </c>
      <c r="BB18" s="10">
        <f t="shared" si="4"/>
        <v>4.101322109999999E-2</v>
      </c>
      <c r="BC18" s="10">
        <f t="shared" si="4"/>
        <v>4.101322109999999E-2</v>
      </c>
      <c r="BD18" s="10">
        <f t="shared" si="4"/>
        <v>4.3122644999999987E-2</v>
      </c>
      <c r="BE18" s="12">
        <f t="shared" si="4"/>
        <v>4.101322109999999E-2</v>
      </c>
      <c r="BF18" s="10">
        <f t="shared" si="4"/>
        <v>1.8879582000000001</v>
      </c>
      <c r="BG18" s="10">
        <f t="shared" si="4"/>
        <v>1.8879582000000001</v>
      </c>
      <c r="BH18" s="10">
        <f t="shared" si="4"/>
        <v>1.8879582000000001</v>
      </c>
      <c r="BI18" s="10">
        <f t="shared" si="4"/>
        <v>1.8879582000000001</v>
      </c>
      <c r="BJ18" s="10">
        <f t="shared" si="4"/>
        <v>1.8879582000000001</v>
      </c>
      <c r="BK18" s="10">
        <f t="shared" si="4"/>
        <v>1.8879582000000001</v>
      </c>
      <c r="BL18" s="10">
        <f t="shared" si="4"/>
        <v>1.8879582000000001</v>
      </c>
      <c r="BM18" s="10">
        <f t="shared" si="4"/>
        <v>1.8879582000000001</v>
      </c>
      <c r="BN18" s="10">
        <f t="shared" ref="BN18:CH18" si="5">SUM(BN20:BN77)</f>
        <v>1.8879582000000001</v>
      </c>
      <c r="BO18" s="12">
        <f t="shared" si="5"/>
        <v>1.8879582000000001</v>
      </c>
      <c r="BP18" s="10">
        <f t="shared" si="5"/>
        <v>1.8879582000000001</v>
      </c>
      <c r="BQ18" s="10">
        <f t="shared" si="5"/>
        <v>1.8879582000000001</v>
      </c>
      <c r="BR18" s="10">
        <f t="shared" si="5"/>
        <v>1.8879582000000001</v>
      </c>
      <c r="BS18" s="12">
        <f t="shared" si="5"/>
        <v>1.8879582000000001</v>
      </c>
      <c r="BT18" s="10">
        <f t="shared" si="5"/>
        <v>3.8634843892599982E-2</v>
      </c>
      <c r="BU18" s="10">
        <f t="shared" si="5"/>
        <v>3.8634843892599982E-2</v>
      </c>
      <c r="BV18" s="10">
        <f t="shared" si="5"/>
        <v>3.8634843892599982E-2</v>
      </c>
      <c r="BW18" s="10">
        <f t="shared" si="5"/>
        <v>3.8634843892599982E-2</v>
      </c>
      <c r="BX18" s="10">
        <f t="shared" si="5"/>
        <v>3.8634843892599982E-2</v>
      </c>
      <c r="BY18" s="10">
        <f t="shared" si="5"/>
        <v>3.8634843892599982E-2</v>
      </c>
      <c r="BZ18" s="10">
        <f t="shared" si="5"/>
        <v>3.8634843892599982E-2</v>
      </c>
      <c r="CA18" s="10">
        <f t="shared" si="5"/>
        <v>3.8634843892599982E-2</v>
      </c>
      <c r="CB18" s="10">
        <f t="shared" si="5"/>
        <v>3.8634843892599982E-2</v>
      </c>
      <c r="CC18" s="10">
        <f t="shared" si="5"/>
        <v>3.8634843892599982E-2</v>
      </c>
      <c r="CD18" s="10">
        <f t="shared" si="5"/>
        <v>3.8634843892599982E-2</v>
      </c>
      <c r="CE18" s="10">
        <f t="shared" si="5"/>
        <v>3.8634843892599982E-2</v>
      </c>
      <c r="CF18" s="10">
        <f t="shared" si="5"/>
        <v>3.8634843892599982E-2</v>
      </c>
      <c r="CG18" s="10">
        <f t="shared" si="5"/>
        <v>3.8634843892599982E-2</v>
      </c>
      <c r="CH18" s="9">
        <f t="shared" si="5"/>
        <v>3.8634843892599982E-2</v>
      </c>
    </row>
    <row r="19" spans="1:86">
      <c r="A19" s="21" t="s">
        <v>545</v>
      </c>
      <c r="B19" s="15"/>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2"/>
      <c r="AM19" s="10"/>
      <c r="AN19" s="10"/>
      <c r="AO19" s="10"/>
      <c r="AP19" s="12"/>
      <c r="AQ19" s="10"/>
      <c r="AR19" s="10"/>
      <c r="AS19" s="10"/>
      <c r="AT19" s="10"/>
      <c r="AU19" s="10"/>
      <c r="AV19" s="10"/>
      <c r="AW19" s="10"/>
      <c r="AX19" s="10"/>
      <c r="AY19" s="10"/>
      <c r="AZ19" s="10"/>
      <c r="BA19" s="10"/>
      <c r="BB19" s="10"/>
      <c r="BC19" s="10"/>
      <c r="BD19" s="10"/>
      <c r="BE19" s="12"/>
      <c r="BF19" s="15"/>
      <c r="BG19" s="15"/>
      <c r="BH19" s="15"/>
      <c r="BI19" s="15"/>
      <c r="BJ19" s="15"/>
      <c r="BK19" s="15"/>
      <c r="BL19" s="15"/>
      <c r="BM19" s="15"/>
      <c r="BN19" s="15"/>
      <c r="BO19" s="20"/>
      <c r="BP19" s="15" t="s">
        <v>405</v>
      </c>
      <c r="BQ19" s="15"/>
      <c r="BR19" s="15"/>
      <c r="BS19" s="20"/>
      <c r="BT19" s="11"/>
      <c r="BU19" s="10"/>
      <c r="BV19" s="10"/>
      <c r="BW19" s="10"/>
      <c r="BX19" s="10"/>
      <c r="BY19" s="10"/>
      <c r="BZ19" s="10"/>
      <c r="CA19" s="15"/>
      <c r="CB19" s="15"/>
      <c r="CC19" s="15"/>
      <c r="CD19" s="15"/>
      <c r="CE19" s="15"/>
      <c r="CF19" s="15"/>
      <c r="CG19" s="15"/>
      <c r="CH19" s="19"/>
    </row>
    <row r="20" spans="1:86">
      <c r="A20" s="13" t="s">
        <v>546</v>
      </c>
      <c r="B20" s="10">
        <v>2.0000000000000002E-5</v>
      </c>
      <c r="C20" s="10">
        <v>2.0000000000000002E-5</v>
      </c>
      <c r="D20" s="10">
        <v>2.0000000000000002E-5</v>
      </c>
      <c r="E20" s="10">
        <v>2.0000000000000002E-5</v>
      </c>
      <c r="F20" s="10">
        <v>2.0000000000000002E-5</v>
      </c>
      <c r="G20" s="10">
        <v>2.0000000000000002E-5</v>
      </c>
      <c r="H20" s="10">
        <v>2.0000000000000002E-5</v>
      </c>
      <c r="I20" s="10">
        <v>2.0000000000000002E-5</v>
      </c>
      <c r="J20" s="10">
        <v>2.0000000000000002E-5</v>
      </c>
      <c r="K20" s="10">
        <v>2.0000000000000002E-5</v>
      </c>
      <c r="L20" s="10">
        <v>2.0000000000000002E-5</v>
      </c>
      <c r="M20" s="10">
        <v>2.0000000000000002E-5</v>
      </c>
      <c r="N20" s="10">
        <v>2.0000000000000002E-5</v>
      </c>
      <c r="O20" s="10">
        <v>2.0000000000000002E-5</v>
      </c>
      <c r="P20" s="10">
        <v>2.0000000000000002E-5</v>
      </c>
      <c r="Q20" s="10">
        <v>2.0000000000000002E-5</v>
      </c>
      <c r="R20" s="10">
        <v>2.0000000000000002E-5</v>
      </c>
      <c r="S20" s="10">
        <v>2.0000000000000002E-5</v>
      </c>
      <c r="T20" s="10">
        <v>2.0000000000000002E-5</v>
      </c>
      <c r="U20" s="10">
        <v>2.0000000000000002E-5</v>
      </c>
      <c r="V20" s="10">
        <v>2.0000000000000002E-5</v>
      </c>
      <c r="W20" s="10">
        <v>2.0000000000000002E-5</v>
      </c>
      <c r="X20" s="10">
        <v>2.0000000000000002E-5</v>
      </c>
      <c r="Y20" s="10">
        <v>2.0000000000000002E-5</v>
      </c>
      <c r="Z20" s="10">
        <v>2.0000000000000002E-5</v>
      </c>
      <c r="AA20" s="10">
        <v>2.0000000000000002E-5</v>
      </c>
      <c r="AB20" s="10">
        <v>2.0000000000000002E-5</v>
      </c>
      <c r="AC20" s="10">
        <v>2.0000000000000002E-5</v>
      </c>
      <c r="AD20" s="10">
        <v>2.0000000000000002E-5</v>
      </c>
      <c r="AE20" s="10">
        <v>2.0000000000000002E-5</v>
      </c>
      <c r="AF20" s="10">
        <v>2.0000000000000002E-5</v>
      </c>
      <c r="AG20" s="10">
        <v>2.0000000000000002E-5</v>
      </c>
      <c r="AH20" s="10">
        <v>2.0000000000000002E-5</v>
      </c>
      <c r="AI20" s="10">
        <v>2.0000000000000002E-5</v>
      </c>
      <c r="AJ20" s="10">
        <v>2.0000000000000002E-5</v>
      </c>
      <c r="AK20" s="10">
        <v>2.0000000000000002E-5</v>
      </c>
      <c r="AL20" s="12">
        <v>2.0000000000000002E-5</v>
      </c>
      <c r="AM20" s="10">
        <v>2.0000000000000002E-5</v>
      </c>
      <c r="AN20" s="10">
        <v>2.0000000000000002E-5</v>
      </c>
      <c r="AO20" s="10">
        <v>2.0000000000000002E-5</v>
      </c>
      <c r="AP20" s="12">
        <v>2.0000000000000002E-5</v>
      </c>
      <c r="AQ20" s="10">
        <v>2.3599999999999999E-4</v>
      </c>
      <c r="AR20" s="10">
        <v>2.3599999999999999E-4</v>
      </c>
      <c r="AS20" s="10">
        <v>2.3599999999999999E-4</v>
      </c>
      <c r="AT20" s="10">
        <v>2.3599999999999999E-4</v>
      </c>
      <c r="AU20" s="10">
        <v>2.3599999999999999E-4</v>
      </c>
      <c r="AV20" s="10">
        <v>2.3599999999999999E-4</v>
      </c>
      <c r="AW20" s="10">
        <v>2.3599999999999999E-4</v>
      </c>
      <c r="AX20" s="10">
        <v>2.3599999999999999E-4</v>
      </c>
      <c r="AY20" s="10">
        <v>2.3599999999999999E-4</v>
      </c>
      <c r="AZ20" s="10">
        <v>2.3599999999999999E-4</v>
      </c>
      <c r="BA20" s="10">
        <v>2.3599999999999999E-4</v>
      </c>
      <c r="BB20" s="10">
        <v>2.3599999999999999E-4</v>
      </c>
      <c r="BC20" s="10">
        <v>2.3599999999999999E-4</v>
      </c>
      <c r="BD20" s="10">
        <v>2.3599999999999999E-4</v>
      </c>
      <c r="BE20" s="12">
        <v>2.3599999999999999E-4</v>
      </c>
      <c r="BF20" s="15"/>
      <c r="BG20" s="15"/>
      <c r="BH20" s="15"/>
      <c r="BI20" s="15"/>
      <c r="BJ20" s="15"/>
      <c r="BK20" s="15"/>
      <c r="BL20" s="15"/>
      <c r="BM20" s="15"/>
      <c r="BN20" s="15"/>
      <c r="BO20" s="20"/>
      <c r="BP20" s="15"/>
      <c r="BQ20" s="15"/>
      <c r="BR20" s="15"/>
      <c r="BS20" s="15"/>
      <c r="BT20" s="11">
        <v>3.1000000000000001E-5</v>
      </c>
      <c r="BU20" s="10">
        <v>3.1000000000000001E-5</v>
      </c>
      <c r="BV20" s="10">
        <v>3.1000000000000001E-5</v>
      </c>
      <c r="BW20" s="10">
        <v>3.1000000000000001E-5</v>
      </c>
      <c r="BX20" s="10">
        <v>3.1000000000000001E-5</v>
      </c>
      <c r="BY20" s="10">
        <v>3.1000000000000001E-5</v>
      </c>
      <c r="BZ20" s="10">
        <v>3.1000000000000001E-5</v>
      </c>
      <c r="CA20" s="10">
        <v>3.1000000000000001E-5</v>
      </c>
      <c r="CB20" s="10">
        <v>3.1000000000000001E-5</v>
      </c>
      <c r="CC20" s="10">
        <v>3.1000000000000001E-5</v>
      </c>
      <c r="CD20" s="10">
        <v>3.1000000000000001E-5</v>
      </c>
      <c r="CE20" s="10">
        <v>3.1000000000000001E-5</v>
      </c>
      <c r="CF20" s="10">
        <v>3.1000000000000001E-5</v>
      </c>
      <c r="CG20" s="10">
        <v>3.1000000000000001E-5</v>
      </c>
      <c r="CH20" s="9">
        <v>3.1000000000000001E-5</v>
      </c>
    </row>
    <row r="21" spans="1:86">
      <c r="A21" s="13" t="s">
        <v>547</v>
      </c>
      <c r="B21" s="10">
        <v>1.1999999999999999E-6</v>
      </c>
      <c r="C21" s="10">
        <v>1.1999999999999999E-6</v>
      </c>
      <c r="D21" s="10">
        <v>1.1999999999999999E-6</v>
      </c>
      <c r="E21" s="10">
        <v>1.1999999999999999E-6</v>
      </c>
      <c r="F21" s="10">
        <v>1.1999999999999999E-6</v>
      </c>
      <c r="G21" s="10">
        <v>1.1999999999999999E-6</v>
      </c>
      <c r="H21" s="10">
        <v>1.1999999999999999E-6</v>
      </c>
      <c r="I21" s="10">
        <v>1.1999999999999999E-6</v>
      </c>
      <c r="J21" s="10">
        <v>1.1999999999999999E-6</v>
      </c>
      <c r="K21" s="10">
        <v>1.1999999999999999E-6</v>
      </c>
      <c r="L21" s="10">
        <v>1.1999999999999999E-6</v>
      </c>
      <c r="M21" s="10">
        <v>1.1999999999999999E-6</v>
      </c>
      <c r="N21" s="10">
        <v>1.1999999999999999E-6</v>
      </c>
      <c r="O21" s="10">
        <v>1.1999999999999999E-6</v>
      </c>
      <c r="P21" s="10">
        <v>1.1999999999999999E-6</v>
      </c>
      <c r="Q21" s="10">
        <v>1.1999999999999999E-6</v>
      </c>
      <c r="R21" s="10">
        <v>1.1999999999999999E-6</v>
      </c>
      <c r="S21" s="10">
        <v>1.1999999999999999E-6</v>
      </c>
      <c r="T21" s="10">
        <v>1.1999999999999999E-6</v>
      </c>
      <c r="U21" s="10">
        <v>1.1999999999999999E-6</v>
      </c>
      <c r="V21" s="10">
        <v>1.1999999999999999E-6</v>
      </c>
      <c r="W21" s="10">
        <v>1.1999999999999999E-6</v>
      </c>
      <c r="X21" s="10">
        <v>1.1999999999999999E-6</v>
      </c>
      <c r="Y21" s="10">
        <v>1.1999999999999999E-6</v>
      </c>
      <c r="Z21" s="10">
        <v>1.1999999999999999E-6</v>
      </c>
      <c r="AA21" s="10">
        <v>1.1999999999999999E-6</v>
      </c>
      <c r="AB21" s="10">
        <v>1.1999999999999999E-6</v>
      </c>
      <c r="AC21" s="10">
        <v>1.1999999999999999E-6</v>
      </c>
      <c r="AD21" s="10">
        <v>1.1999999999999999E-6</v>
      </c>
      <c r="AE21" s="10">
        <v>1.1999999999999999E-6</v>
      </c>
      <c r="AF21" s="10">
        <v>1.1999999999999999E-6</v>
      </c>
      <c r="AG21" s="10">
        <v>1.1999999999999999E-6</v>
      </c>
      <c r="AH21" s="10">
        <v>1.1999999999999999E-6</v>
      </c>
      <c r="AI21" s="10">
        <v>1.1999999999999999E-6</v>
      </c>
      <c r="AJ21" s="10">
        <v>1.1999999999999999E-6</v>
      </c>
      <c r="AK21" s="10">
        <v>1.1999999999999999E-6</v>
      </c>
      <c r="AL21" s="12">
        <v>1.1999999999999999E-6</v>
      </c>
      <c r="AM21" s="10">
        <v>1.1999999999999999E-6</v>
      </c>
      <c r="AN21" s="10">
        <v>1.1999999999999999E-6</v>
      </c>
      <c r="AO21" s="10">
        <v>1.1999999999999999E-6</v>
      </c>
      <c r="AP21" s="12">
        <v>1.1999999999999999E-6</v>
      </c>
      <c r="AQ21" s="10"/>
      <c r="AR21" s="10"/>
      <c r="AS21" s="10"/>
      <c r="AT21" s="10"/>
      <c r="AU21" s="10"/>
      <c r="AV21" s="10"/>
      <c r="AW21" s="10"/>
      <c r="AX21" s="10"/>
      <c r="AY21" s="10"/>
      <c r="AZ21" s="10"/>
      <c r="BA21" s="10"/>
      <c r="BB21" s="10"/>
      <c r="BC21" s="10"/>
      <c r="BD21" s="10"/>
      <c r="BE21" s="12"/>
      <c r="BF21" s="15"/>
      <c r="BG21" s="15"/>
      <c r="BH21" s="15"/>
      <c r="BI21" s="15"/>
      <c r="BJ21" s="15"/>
      <c r="BK21" s="15"/>
      <c r="BL21" s="15"/>
      <c r="BM21" s="15"/>
      <c r="BN21" s="15"/>
      <c r="BO21" s="20"/>
      <c r="BP21" s="15"/>
      <c r="BQ21" s="15"/>
      <c r="BR21" s="15"/>
      <c r="BS21" s="15"/>
      <c r="BT21" s="11">
        <v>5.5000000000000002E-5</v>
      </c>
      <c r="BU21" s="10">
        <v>5.5000000000000002E-5</v>
      </c>
      <c r="BV21" s="10">
        <v>5.5000000000000002E-5</v>
      </c>
      <c r="BW21" s="10">
        <v>5.5000000000000002E-5</v>
      </c>
      <c r="BX21" s="10">
        <v>5.5000000000000002E-5</v>
      </c>
      <c r="BY21" s="10">
        <v>5.5000000000000002E-5</v>
      </c>
      <c r="BZ21" s="10">
        <v>5.5000000000000002E-5</v>
      </c>
      <c r="CA21" s="10">
        <v>5.5000000000000002E-5</v>
      </c>
      <c r="CB21" s="10">
        <v>5.5000000000000002E-5</v>
      </c>
      <c r="CC21" s="10">
        <v>5.5000000000000002E-5</v>
      </c>
      <c r="CD21" s="10">
        <v>5.5000000000000002E-5</v>
      </c>
      <c r="CE21" s="10">
        <v>5.5000000000000002E-5</v>
      </c>
      <c r="CF21" s="10">
        <v>5.5000000000000002E-5</v>
      </c>
      <c r="CG21" s="10">
        <v>5.5000000000000002E-5</v>
      </c>
      <c r="CH21" s="9">
        <v>5.5000000000000002E-5</v>
      </c>
    </row>
    <row r="22" spans="1:86">
      <c r="A22" s="13" t="s">
        <v>548</v>
      </c>
      <c r="B22" s="10">
        <v>4.0000000000000003E-5</v>
      </c>
      <c r="C22" s="10">
        <v>4.0000000000000003E-5</v>
      </c>
      <c r="D22" s="10">
        <v>4.0000000000000003E-5</v>
      </c>
      <c r="E22" s="10">
        <v>4.0000000000000003E-5</v>
      </c>
      <c r="F22" s="10">
        <v>4.0000000000000003E-5</v>
      </c>
      <c r="G22" s="10">
        <v>4.0000000000000003E-5</v>
      </c>
      <c r="H22" s="10">
        <v>4.0000000000000003E-5</v>
      </c>
      <c r="I22" s="10">
        <v>4.0000000000000003E-5</v>
      </c>
      <c r="J22" s="10">
        <v>4.0000000000000003E-5</v>
      </c>
      <c r="K22" s="10">
        <v>4.0000000000000003E-5</v>
      </c>
      <c r="L22" s="10">
        <v>4.0000000000000003E-5</v>
      </c>
      <c r="M22" s="10">
        <v>4.0000000000000003E-5</v>
      </c>
      <c r="N22" s="10">
        <v>4.0000000000000003E-5</v>
      </c>
      <c r="O22" s="10">
        <v>4.0000000000000003E-5</v>
      </c>
      <c r="P22" s="10">
        <v>4.0000000000000003E-5</v>
      </c>
      <c r="Q22" s="10">
        <v>4.0000000000000003E-5</v>
      </c>
      <c r="R22" s="10">
        <v>4.0000000000000003E-5</v>
      </c>
      <c r="S22" s="10">
        <v>4.0000000000000003E-5</v>
      </c>
      <c r="T22" s="10">
        <v>4.0000000000000003E-5</v>
      </c>
      <c r="U22" s="10">
        <v>4.0000000000000003E-5</v>
      </c>
      <c r="V22" s="10">
        <v>4.0000000000000003E-5</v>
      </c>
      <c r="W22" s="10">
        <v>4.0000000000000003E-5</v>
      </c>
      <c r="X22" s="10">
        <v>4.0000000000000003E-5</v>
      </c>
      <c r="Y22" s="10">
        <v>4.0000000000000003E-5</v>
      </c>
      <c r="Z22" s="10">
        <v>4.0000000000000003E-5</v>
      </c>
      <c r="AA22" s="10">
        <v>4.0000000000000003E-5</v>
      </c>
      <c r="AB22" s="10">
        <v>4.0000000000000003E-5</v>
      </c>
      <c r="AC22" s="10">
        <v>4.0000000000000003E-5</v>
      </c>
      <c r="AD22" s="10">
        <v>4.0000000000000003E-5</v>
      </c>
      <c r="AE22" s="10">
        <v>4.0000000000000003E-5</v>
      </c>
      <c r="AF22" s="10">
        <v>4.0000000000000003E-5</v>
      </c>
      <c r="AG22" s="10">
        <v>4.0000000000000003E-5</v>
      </c>
      <c r="AH22" s="10">
        <v>4.0000000000000003E-5</v>
      </c>
      <c r="AI22" s="10">
        <v>4.0000000000000003E-5</v>
      </c>
      <c r="AJ22" s="10">
        <v>4.0000000000000003E-5</v>
      </c>
      <c r="AK22" s="10">
        <v>4.0000000000000003E-5</v>
      </c>
      <c r="AL22" s="12">
        <v>4.0000000000000003E-5</v>
      </c>
      <c r="AM22" s="10">
        <v>4.0000000000000003E-5</v>
      </c>
      <c r="AN22" s="10">
        <v>4.0000000000000003E-5</v>
      </c>
      <c r="AO22" s="10">
        <v>4.0000000000000003E-5</v>
      </c>
      <c r="AP22" s="12">
        <v>4.0000000000000003E-5</v>
      </c>
      <c r="AQ22" s="10"/>
      <c r="AR22" s="10"/>
      <c r="AS22" s="10"/>
      <c r="AT22" s="10"/>
      <c r="AU22" s="10"/>
      <c r="AV22" s="10"/>
      <c r="AW22" s="10"/>
      <c r="AX22" s="10"/>
      <c r="AY22" s="10"/>
      <c r="AZ22" s="10"/>
      <c r="BA22" s="10"/>
      <c r="BB22" s="10"/>
      <c r="BC22" s="10"/>
      <c r="BD22" s="10"/>
      <c r="BE22" s="12"/>
      <c r="BF22" s="15"/>
      <c r="BG22" s="15"/>
      <c r="BH22" s="15"/>
      <c r="BI22" s="15"/>
      <c r="BJ22" s="15"/>
      <c r="BK22" s="15"/>
      <c r="BL22" s="15"/>
      <c r="BM22" s="15"/>
      <c r="BN22" s="15"/>
      <c r="BO22" s="20"/>
      <c r="BP22" s="15"/>
      <c r="BQ22" s="15"/>
      <c r="BR22" s="15"/>
      <c r="BS22" s="15"/>
      <c r="BT22" s="11">
        <v>2.9E-5</v>
      </c>
      <c r="BU22" s="10">
        <v>2.9E-5</v>
      </c>
      <c r="BV22" s="10">
        <v>2.9E-5</v>
      </c>
      <c r="BW22" s="10">
        <v>2.9E-5</v>
      </c>
      <c r="BX22" s="10">
        <v>2.9E-5</v>
      </c>
      <c r="BY22" s="10">
        <v>2.9E-5</v>
      </c>
      <c r="BZ22" s="10">
        <v>2.9E-5</v>
      </c>
      <c r="CA22" s="10">
        <v>2.9E-5</v>
      </c>
      <c r="CB22" s="10">
        <v>2.9E-5</v>
      </c>
      <c r="CC22" s="10">
        <v>2.9E-5</v>
      </c>
      <c r="CD22" s="10">
        <v>2.9E-5</v>
      </c>
      <c r="CE22" s="10">
        <v>2.9E-5</v>
      </c>
      <c r="CF22" s="10">
        <v>2.9E-5</v>
      </c>
      <c r="CG22" s="10">
        <v>2.9E-5</v>
      </c>
      <c r="CH22" s="9">
        <v>2.9E-5</v>
      </c>
    </row>
    <row r="23" spans="1:86">
      <c r="A23" s="13" t="s">
        <v>89</v>
      </c>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2"/>
      <c r="AM23" s="10"/>
      <c r="AN23" s="10"/>
      <c r="AO23" s="10"/>
      <c r="AP23" s="12"/>
      <c r="AQ23" s="10"/>
      <c r="AR23" s="10"/>
      <c r="AS23" s="10"/>
      <c r="AT23" s="10"/>
      <c r="AU23" s="10"/>
      <c r="AV23" s="10"/>
      <c r="AW23" s="10"/>
      <c r="AX23" s="10"/>
      <c r="AY23" s="10"/>
      <c r="AZ23" s="10"/>
      <c r="BA23" s="10"/>
      <c r="BB23" s="10"/>
      <c r="BC23" s="10"/>
      <c r="BD23" s="10"/>
      <c r="BE23" s="12"/>
      <c r="BF23" s="10">
        <v>1.1999999999999999E-3</v>
      </c>
      <c r="BG23" s="10">
        <v>1.1999999999999999E-3</v>
      </c>
      <c r="BH23" s="10">
        <v>1.1999999999999999E-3</v>
      </c>
      <c r="BI23" s="10">
        <v>1.1999999999999999E-3</v>
      </c>
      <c r="BJ23" s="10">
        <v>1.1999999999999999E-3</v>
      </c>
      <c r="BK23" s="10">
        <v>1.1999999999999999E-3</v>
      </c>
      <c r="BL23" s="10">
        <v>1.1999999999999999E-3</v>
      </c>
      <c r="BM23" s="10">
        <v>1.1999999999999999E-3</v>
      </c>
      <c r="BN23" s="10">
        <v>1.1999999999999999E-3</v>
      </c>
      <c r="BO23" s="12">
        <v>1.1999999999999999E-3</v>
      </c>
      <c r="BP23" s="10">
        <v>1.1999999999999999E-3</v>
      </c>
      <c r="BQ23" s="10">
        <v>1.1999999999999999E-3</v>
      </c>
      <c r="BR23" s="10">
        <v>1.1999999999999999E-3</v>
      </c>
      <c r="BS23" s="10">
        <v>1.1999999999999999E-3</v>
      </c>
      <c r="BT23" s="11"/>
      <c r="BU23" s="10"/>
      <c r="BV23" s="10"/>
      <c r="BW23" s="10"/>
      <c r="BX23" s="10"/>
      <c r="BY23" s="10"/>
      <c r="BZ23" s="10"/>
      <c r="CA23" s="10"/>
      <c r="CB23" s="10"/>
      <c r="CC23" s="10"/>
      <c r="CD23" s="10"/>
      <c r="CE23" s="10"/>
      <c r="CF23" s="10"/>
      <c r="CG23" s="10"/>
      <c r="CH23" s="9"/>
    </row>
    <row r="24" spans="1:86">
      <c r="A24" s="13" t="s">
        <v>549</v>
      </c>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2"/>
      <c r="AM24" s="10"/>
      <c r="AN24" s="10"/>
      <c r="AO24" s="10"/>
      <c r="AP24" s="12"/>
      <c r="AQ24" s="10"/>
      <c r="AR24" s="10"/>
      <c r="AS24" s="10"/>
      <c r="AT24" s="10"/>
      <c r="AU24" s="10"/>
      <c r="AV24" s="10"/>
      <c r="AW24" s="10"/>
      <c r="AX24" s="10"/>
      <c r="AY24" s="10"/>
      <c r="AZ24" s="10"/>
      <c r="BA24" s="10"/>
      <c r="BB24" s="10"/>
      <c r="BC24" s="10"/>
      <c r="BD24" s="10"/>
      <c r="BE24" s="12"/>
      <c r="BF24" s="15"/>
      <c r="BG24" s="15"/>
      <c r="BH24" s="15"/>
      <c r="BI24" s="15"/>
      <c r="BJ24" s="15"/>
      <c r="BK24" s="15"/>
      <c r="BL24" s="15"/>
      <c r="BM24" s="15"/>
      <c r="BN24" s="15"/>
      <c r="BO24" s="20"/>
      <c r="BP24" s="15"/>
      <c r="BQ24" s="15"/>
      <c r="BR24" s="15"/>
      <c r="BS24" s="15"/>
      <c r="BT24" s="11">
        <v>3.3000000000000003E-5</v>
      </c>
      <c r="BU24" s="10">
        <v>3.3000000000000003E-5</v>
      </c>
      <c r="BV24" s="10">
        <v>3.3000000000000003E-5</v>
      </c>
      <c r="BW24" s="10">
        <v>3.3000000000000003E-5</v>
      </c>
      <c r="BX24" s="10">
        <v>3.3000000000000003E-5</v>
      </c>
      <c r="BY24" s="10">
        <v>3.3000000000000003E-5</v>
      </c>
      <c r="BZ24" s="10">
        <v>3.3000000000000003E-5</v>
      </c>
      <c r="CA24" s="10">
        <v>3.3000000000000003E-5</v>
      </c>
      <c r="CB24" s="10">
        <v>3.3000000000000003E-5</v>
      </c>
      <c r="CC24" s="10">
        <v>3.3000000000000003E-5</v>
      </c>
      <c r="CD24" s="10">
        <v>3.3000000000000003E-5</v>
      </c>
      <c r="CE24" s="10">
        <v>3.3000000000000003E-5</v>
      </c>
      <c r="CF24" s="10">
        <v>3.3000000000000003E-5</v>
      </c>
      <c r="CG24" s="10">
        <v>3.3000000000000003E-5</v>
      </c>
      <c r="CH24" s="9">
        <v>3.3000000000000003E-5</v>
      </c>
    </row>
    <row r="25" spans="1:86">
      <c r="A25" s="13" t="s">
        <v>550</v>
      </c>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2"/>
      <c r="AM25" s="10"/>
      <c r="AN25" s="10"/>
      <c r="AO25" s="10"/>
      <c r="AP25" s="12"/>
      <c r="AQ25" s="10"/>
      <c r="AR25" s="10"/>
      <c r="AS25" s="10"/>
      <c r="AT25" s="10"/>
      <c r="AU25" s="10"/>
      <c r="AV25" s="10"/>
      <c r="AW25" s="10"/>
      <c r="AX25" s="10"/>
      <c r="AY25" s="10"/>
      <c r="AZ25" s="10"/>
      <c r="BA25" s="10"/>
      <c r="BB25" s="10"/>
      <c r="BC25" s="10"/>
      <c r="BD25" s="10"/>
      <c r="BE25" s="12"/>
      <c r="BF25" s="15"/>
      <c r="BG25" s="15"/>
      <c r="BH25" s="15"/>
      <c r="BI25" s="15"/>
      <c r="BJ25" s="15"/>
      <c r="BK25" s="15"/>
      <c r="BL25" s="15"/>
      <c r="BM25" s="15"/>
      <c r="BN25" s="15"/>
      <c r="BO25" s="20"/>
      <c r="BP25" s="15"/>
      <c r="BQ25" s="15"/>
      <c r="BR25" s="15"/>
      <c r="BS25" s="15"/>
      <c r="BT25" s="11">
        <v>2.1999999999999998E-8</v>
      </c>
      <c r="BU25" s="10">
        <v>2.1999999999999998E-8</v>
      </c>
      <c r="BV25" s="10">
        <v>2.1999999999999998E-8</v>
      </c>
      <c r="BW25" s="10">
        <v>2.1999999999999998E-8</v>
      </c>
      <c r="BX25" s="10">
        <v>2.1999999999999998E-8</v>
      </c>
      <c r="BY25" s="10">
        <v>2.1999999999999998E-8</v>
      </c>
      <c r="BZ25" s="10">
        <v>2.1999999999999998E-8</v>
      </c>
      <c r="CA25" s="10">
        <v>2.1999999999999998E-8</v>
      </c>
      <c r="CB25" s="10">
        <v>2.1999999999999998E-8</v>
      </c>
      <c r="CC25" s="10">
        <v>2.1999999999999998E-8</v>
      </c>
      <c r="CD25" s="10">
        <v>2.1999999999999998E-8</v>
      </c>
      <c r="CE25" s="10">
        <v>2.1999999999999998E-8</v>
      </c>
      <c r="CF25" s="10">
        <v>2.1999999999999998E-8</v>
      </c>
      <c r="CG25" s="10">
        <v>2.1999999999999998E-8</v>
      </c>
      <c r="CH25" s="9">
        <v>2.1999999999999998E-8</v>
      </c>
    </row>
    <row r="26" spans="1:86">
      <c r="A26" s="13" t="s">
        <v>551</v>
      </c>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2"/>
      <c r="AM26" s="10"/>
      <c r="AN26" s="10"/>
      <c r="AO26" s="10"/>
      <c r="AP26" s="12"/>
      <c r="AQ26" s="10"/>
      <c r="AR26" s="10"/>
      <c r="AS26" s="10"/>
      <c r="AT26" s="10"/>
      <c r="AU26" s="10"/>
      <c r="AV26" s="10"/>
      <c r="AW26" s="10"/>
      <c r="AX26" s="10"/>
      <c r="AY26" s="10"/>
      <c r="AZ26" s="10"/>
      <c r="BA26" s="10"/>
      <c r="BB26" s="10"/>
      <c r="BC26" s="10"/>
      <c r="BD26" s="10"/>
      <c r="BE26" s="12"/>
      <c r="BF26" s="15"/>
      <c r="BG26" s="15"/>
      <c r="BH26" s="15"/>
      <c r="BI26" s="15"/>
      <c r="BJ26" s="15"/>
      <c r="BK26" s="15"/>
      <c r="BL26" s="15"/>
      <c r="BM26" s="15"/>
      <c r="BN26" s="15"/>
      <c r="BO26" s="20"/>
      <c r="BP26" s="15"/>
      <c r="BQ26" s="15"/>
      <c r="BR26" s="15"/>
      <c r="BS26" s="15"/>
      <c r="BT26" s="11">
        <v>1.8E-7</v>
      </c>
      <c r="BU26" s="10">
        <v>1.8E-7</v>
      </c>
      <c r="BV26" s="10">
        <v>1.8E-7</v>
      </c>
      <c r="BW26" s="10">
        <v>1.8E-7</v>
      </c>
      <c r="BX26" s="10">
        <v>1.8E-7</v>
      </c>
      <c r="BY26" s="10">
        <v>1.8E-7</v>
      </c>
      <c r="BZ26" s="10">
        <v>1.8E-7</v>
      </c>
      <c r="CA26" s="10">
        <v>1.8E-7</v>
      </c>
      <c r="CB26" s="10">
        <v>1.8E-7</v>
      </c>
      <c r="CC26" s="10">
        <v>1.8E-7</v>
      </c>
      <c r="CD26" s="10">
        <v>1.8E-7</v>
      </c>
      <c r="CE26" s="10">
        <v>1.8E-7</v>
      </c>
      <c r="CF26" s="10">
        <v>1.8E-7</v>
      </c>
      <c r="CG26" s="10">
        <v>1.8E-7</v>
      </c>
      <c r="CH26" s="9">
        <v>1.8E-7</v>
      </c>
    </row>
    <row r="27" spans="1:86">
      <c r="A27" s="13" t="s">
        <v>552</v>
      </c>
      <c r="B27" s="10">
        <v>2.8000000000000002E-7</v>
      </c>
      <c r="C27" s="10">
        <v>2.8000000000000002E-7</v>
      </c>
      <c r="D27" s="10">
        <v>2.8000000000000002E-7</v>
      </c>
      <c r="E27" s="10">
        <v>2.8000000000000002E-7</v>
      </c>
      <c r="F27" s="10">
        <v>2.8000000000000002E-7</v>
      </c>
      <c r="G27" s="10">
        <v>2.8000000000000002E-7</v>
      </c>
      <c r="H27" s="10">
        <v>2.8000000000000002E-7</v>
      </c>
      <c r="I27" s="10">
        <v>2.8000000000000002E-7</v>
      </c>
      <c r="J27" s="10">
        <v>2.8000000000000002E-7</v>
      </c>
      <c r="K27" s="10">
        <v>2.8000000000000002E-7</v>
      </c>
      <c r="L27" s="10">
        <v>2.8000000000000002E-7</v>
      </c>
      <c r="M27" s="10">
        <v>2.8000000000000002E-7</v>
      </c>
      <c r="N27" s="10">
        <v>2.8000000000000002E-7</v>
      </c>
      <c r="O27" s="10">
        <v>2.8000000000000002E-7</v>
      </c>
      <c r="P27" s="10">
        <v>2.8000000000000002E-7</v>
      </c>
      <c r="Q27" s="10">
        <v>2.8000000000000002E-7</v>
      </c>
      <c r="R27" s="10">
        <v>2.8000000000000002E-7</v>
      </c>
      <c r="S27" s="10">
        <v>2.8000000000000002E-7</v>
      </c>
      <c r="T27" s="10">
        <v>2.8000000000000002E-7</v>
      </c>
      <c r="U27" s="10">
        <v>2.8000000000000002E-7</v>
      </c>
      <c r="V27" s="10">
        <v>2.8000000000000002E-7</v>
      </c>
      <c r="W27" s="10">
        <v>2.8000000000000002E-7</v>
      </c>
      <c r="X27" s="10">
        <v>2.8000000000000002E-7</v>
      </c>
      <c r="Y27" s="10">
        <v>2.8000000000000002E-7</v>
      </c>
      <c r="Z27" s="10">
        <v>2.8000000000000002E-7</v>
      </c>
      <c r="AA27" s="10">
        <v>2.8000000000000002E-7</v>
      </c>
      <c r="AB27" s="10">
        <v>2.8000000000000002E-7</v>
      </c>
      <c r="AC27" s="10">
        <v>2.8000000000000002E-7</v>
      </c>
      <c r="AD27" s="10">
        <v>2.8000000000000002E-7</v>
      </c>
      <c r="AE27" s="10">
        <v>2.8000000000000002E-7</v>
      </c>
      <c r="AF27" s="10">
        <v>2.8000000000000002E-7</v>
      </c>
      <c r="AG27" s="10">
        <v>2.8000000000000002E-7</v>
      </c>
      <c r="AH27" s="10">
        <v>2.8000000000000002E-7</v>
      </c>
      <c r="AI27" s="10">
        <v>2.8000000000000002E-7</v>
      </c>
      <c r="AJ27" s="10">
        <v>2.8000000000000002E-7</v>
      </c>
      <c r="AK27" s="10">
        <v>2.8000000000000002E-7</v>
      </c>
      <c r="AL27" s="12">
        <v>2.8000000000000002E-7</v>
      </c>
      <c r="AM27" s="10">
        <v>2.8000000000000002E-7</v>
      </c>
      <c r="AN27" s="10">
        <v>2.8000000000000002E-7</v>
      </c>
      <c r="AO27" s="10">
        <v>2.8000000000000002E-7</v>
      </c>
      <c r="AP27" s="12">
        <v>2.8000000000000002E-7</v>
      </c>
      <c r="AQ27" s="10"/>
      <c r="AR27" s="10"/>
      <c r="AS27" s="10"/>
      <c r="AT27" s="10"/>
      <c r="AU27" s="10"/>
      <c r="AV27" s="10"/>
      <c r="AW27" s="10"/>
      <c r="AX27" s="10"/>
      <c r="AY27" s="10"/>
      <c r="AZ27" s="10"/>
      <c r="BA27" s="10"/>
      <c r="BB27" s="10"/>
      <c r="BC27" s="10"/>
      <c r="BD27" s="10"/>
      <c r="BE27" s="12"/>
      <c r="BF27" s="15"/>
      <c r="BG27" s="15"/>
      <c r="BH27" s="15"/>
      <c r="BI27" s="15"/>
      <c r="BJ27" s="15"/>
      <c r="BK27" s="15"/>
      <c r="BL27" s="15"/>
      <c r="BM27" s="15"/>
      <c r="BN27" s="15"/>
      <c r="BO27" s="20"/>
      <c r="BP27" s="15"/>
      <c r="BQ27" s="15"/>
      <c r="BR27" s="15"/>
      <c r="BS27" s="15"/>
      <c r="BT27" s="11"/>
      <c r="BU27" s="10"/>
      <c r="BV27" s="10"/>
      <c r="BW27" s="10"/>
      <c r="BX27" s="10"/>
      <c r="BY27" s="10"/>
      <c r="BZ27" s="10"/>
      <c r="CA27" s="10"/>
      <c r="CB27" s="10"/>
      <c r="CC27" s="10"/>
      <c r="CD27" s="10"/>
      <c r="CE27" s="10"/>
      <c r="CF27" s="10"/>
      <c r="CG27" s="10"/>
      <c r="CH27" s="9"/>
    </row>
    <row r="28" spans="1:86">
      <c r="A28" s="13" t="s">
        <v>553</v>
      </c>
      <c r="B28" s="10">
        <v>6.9999999999999999E-6</v>
      </c>
      <c r="C28" s="10">
        <v>6.9999999999999999E-6</v>
      </c>
      <c r="D28" s="10">
        <v>6.9999999999999999E-6</v>
      </c>
      <c r="E28" s="10">
        <v>6.9999999999999999E-6</v>
      </c>
      <c r="F28" s="10">
        <v>6.9999999999999999E-6</v>
      </c>
      <c r="G28" s="10">
        <v>6.9999999999999999E-6</v>
      </c>
      <c r="H28" s="10">
        <v>6.9999999999999999E-6</v>
      </c>
      <c r="I28" s="10">
        <v>6.9999999999999999E-6</v>
      </c>
      <c r="J28" s="10">
        <v>6.9999999999999999E-6</v>
      </c>
      <c r="K28" s="10">
        <v>6.9999999999999999E-6</v>
      </c>
      <c r="L28" s="10">
        <v>6.9999999999999999E-6</v>
      </c>
      <c r="M28" s="10">
        <v>6.9999999999999999E-6</v>
      </c>
      <c r="N28" s="10">
        <v>6.9999999999999999E-6</v>
      </c>
      <c r="O28" s="10">
        <v>6.9999999999999999E-6</v>
      </c>
      <c r="P28" s="10">
        <v>6.9999999999999999E-6</v>
      </c>
      <c r="Q28" s="10">
        <v>6.9999999999999999E-6</v>
      </c>
      <c r="R28" s="10">
        <v>6.9999999999999999E-6</v>
      </c>
      <c r="S28" s="10">
        <v>6.9999999999999999E-6</v>
      </c>
      <c r="T28" s="10">
        <v>6.9999999999999999E-6</v>
      </c>
      <c r="U28" s="10">
        <v>6.9999999999999999E-6</v>
      </c>
      <c r="V28" s="10">
        <v>6.9999999999999999E-6</v>
      </c>
      <c r="W28" s="10">
        <v>6.9999999999999999E-6</v>
      </c>
      <c r="X28" s="10">
        <v>6.9999999999999999E-6</v>
      </c>
      <c r="Y28" s="10">
        <v>6.9999999999999999E-6</v>
      </c>
      <c r="Z28" s="10">
        <v>6.9999999999999999E-6</v>
      </c>
      <c r="AA28" s="10">
        <v>6.9999999999999999E-6</v>
      </c>
      <c r="AB28" s="10">
        <v>6.9999999999999999E-6</v>
      </c>
      <c r="AC28" s="10">
        <v>6.9999999999999999E-6</v>
      </c>
      <c r="AD28" s="10">
        <v>6.9999999999999999E-6</v>
      </c>
      <c r="AE28" s="10">
        <v>6.9999999999999999E-6</v>
      </c>
      <c r="AF28" s="10">
        <v>6.9999999999999999E-6</v>
      </c>
      <c r="AG28" s="10">
        <v>6.9999999999999999E-6</v>
      </c>
      <c r="AH28" s="10">
        <v>6.9999999999999999E-6</v>
      </c>
      <c r="AI28" s="10">
        <v>6.9999999999999999E-6</v>
      </c>
      <c r="AJ28" s="10">
        <v>6.9999999999999999E-6</v>
      </c>
      <c r="AK28" s="10">
        <v>6.9999999999999999E-6</v>
      </c>
      <c r="AL28" s="12">
        <v>6.9999999999999999E-6</v>
      </c>
      <c r="AM28" s="10">
        <v>6.9999999999999999E-6</v>
      </c>
      <c r="AN28" s="10">
        <v>6.9999999999999999E-6</v>
      </c>
      <c r="AO28" s="10">
        <v>6.9999999999999999E-6</v>
      </c>
      <c r="AP28" s="12">
        <v>6.9999999999999999E-6</v>
      </c>
      <c r="AQ28" s="10"/>
      <c r="AR28" s="10"/>
      <c r="AS28" s="10"/>
      <c r="AT28" s="10"/>
      <c r="AU28" s="10"/>
      <c r="AV28" s="10"/>
      <c r="AW28" s="10"/>
      <c r="AX28" s="10"/>
      <c r="AY28" s="10"/>
      <c r="AZ28" s="10"/>
      <c r="BA28" s="10"/>
      <c r="BB28" s="10"/>
      <c r="BC28" s="10"/>
      <c r="BD28" s="10"/>
      <c r="BE28" s="12"/>
      <c r="BF28" s="15"/>
      <c r="BG28" s="15"/>
      <c r="BH28" s="15"/>
      <c r="BI28" s="15"/>
      <c r="BJ28" s="15"/>
      <c r="BK28" s="15"/>
      <c r="BL28" s="15"/>
      <c r="BM28" s="15"/>
      <c r="BN28" s="15"/>
      <c r="BO28" s="20"/>
      <c r="BP28" s="15"/>
      <c r="BQ28" s="15"/>
      <c r="BR28" s="15"/>
      <c r="BS28" s="15"/>
      <c r="BT28" s="11"/>
      <c r="BU28" s="10"/>
      <c r="BV28" s="10"/>
      <c r="BW28" s="10"/>
      <c r="BX28" s="10"/>
      <c r="BY28" s="10"/>
      <c r="BZ28" s="10"/>
      <c r="CA28" s="10"/>
      <c r="CB28" s="10"/>
      <c r="CC28" s="10"/>
      <c r="CD28" s="10"/>
      <c r="CE28" s="10"/>
      <c r="CF28" s="10"/>
      <c r="CG28" s="10"/>
      <c r="CH28" s="9"/>
    </row>
    <row r="29" spans="1:86">
      <c r="A29" s="13" t="s">
        <v>554</v>
      </c>
      <c r="B29" s="10">
        <v>5.6999999999999998E-4</v>
      </c>
      <c r="C29" s="10">
        <v>5.6999999999999998E-4</v>
      </c>
      <c r="D29" s="10">
        <v>5.6999999999999998E-4</v>
      </c>
      <c r="E29" s="10">
        <v>5.6999999999999998E-4</v>
      </c>
      <c r="F29" s="10">
        <v>5.6999999999999998E-4</v>
      </c>
      <c r="G29" s="10">
        <v>5.6999999999999998E-4</v>
      </c>
      <c r="H29" s="10">
        <v>5.6999999999999998E-4</v>
      </c>
      <c r="I29" s="10">
        <v>5.6999999999999998E-4</v>
      </c>
      <c r="J29" s="10">
        <v>5.6999999999999998E-4</v>
      </c>
      <c r="K29" s="10">
        <v>5.6999999999999998E-4</v>
      </c>
      <c r="L29" s="10">
        <v>5.6999999999999998E-4</v>
      </c>
      <c r="M29" s="10">
        <v>5.6999999999999998E-4</v>
      </c>
      <c r="N29" s="10">
        <v>5.6999999999999998E-4</v>
      </c>
      <c r="O29" s="10">
        <v>5.6999999999999998E-4</v>
      </c>
      <c r="P29" s="10">
        <v>5.6999999999999998E-4</v>
      </c>
      <c r="Q29" s="10">
        <v>5.6999999999999998E-4</v>
      </c>
      <c r="R29" s="10">
        <v>5.6999999999999998E-4</v>
      </c>
      <c r="S29" s="10">
        <v>5.6999999999999998E-4</v>
      </c>
      <c r="T29" s="10">
        <v>5.6999999999999998E-4</v>
      </c>
      <c r="U29" s="10">
        <v>5.6999999999999998E-4</v>
      </c>
      <c r="V29" s="10">
        <v>5.6999999999999998E-4</v>
      </c>
      <c r="W29" s="10">
        <v>5.6999999999999998E-4</v>
      </c>
      <c r="X29" s="10">
        <v>5.6999999999999998E-4</v>
      </c>
      <c r="Y29" s="10">
        <v>5.6999999999999998E-4</v>
      </c>
      <c r="Z29" s="10">
        <v>5.6999999999999998E-4</v>
      </c>
      <c r="AA29" s="10">
        <v>5.6999999999999998E-4</v>
      </c>
      <c r="AB29" s="10">
        <v>5.6999999999999998E-4</v>
      </c>
      <c r="AC29" s="10">
        <v>5.6999999999999998E-4</v>
      </c>
      <c r="AD29" s="10">
        <v>5.6999999999999998E-4</v>
      </c>
      <c r="AE29" s="10">
        <v>5.6999999999999998E-4</v>
      </c>
      <c r="AF29" s="10">
        <v>5.6999999999999998E-4</v>
      </c>
      <c r="AG29" s="10">
        <v>5.6999999999999998E-4</v>
      </c>
      <c r="AH29" s="10">
        <v>5.6999999999999998E-4</v>
      </c>
      <c r="AI29" s="10">
        <v>5.6999999999999998E-4</v>
      </c>
      <c r="AJ29" s="10">
        <v>5.6999999999999998E-4</v>
      </c>
      <c r="AK29" s="10">
        <v>5.6999999999999998E-4</v>
      </c>
      <c r="AL29" s="12">
        <v>5.6999999999999998E-4</v>
      </c>
      <c r="AM29" s="10">
        <v>5.6999999999999998E-4</v>
      </c>
      <c r="AN29" s="10">
        <v>5.6999999999999998E-4</v>
      </c>
      <c r="AO29" s="10">
        <v>5.6999999999999998E-4</v>
      </c>
      <c r="AP29" s="12">
        <v>5.6999999999999998E-4</v>
      </c>
      <c r="AQ29" s="10"/>
      <c r="AR29" s="10"/>
      <c r="AS29" s="10"/>
      <c r="AT29" s="10"/>
      <c r="AU29" s="10"/>
      <c r="AV29" s="10"/>
      <c r="AW29" s="10"/>
      <c r="AX29" s="10"/>
      <c r="AY29" s="10"/>
      <c r="AZ29" s="10"/>
      <c r="BA29" s="10"/>
      <c r="BB29" s="10"/>
      <c r="BC29" s="10"/>
      <c r="BD29" s="10"/>
      <c r="BE29" s="12"/>
      <c r="BF29" s="15"/>
      <c r="BG29" s="15"/>
      <c r="BH29" s="15"/>
      <c r="BI29" s="15"/>
      <c r="BJ29" s="15"/>
      <c r="BK29" s="15"/>
      <c r="BL29" s="15"/>
      <c r="BM29" s="15"/>
      <c r="BN29" s="15"/>
      <c r="BO29" s="20"/>
      <c r="BP29" s="15"/>
      <c r="BQ29" s="15"/>
      <c r="BR29" s="15"/>
      <c r="BS29" s="15"/>
      <c r="BT29" s="11">
        <v>8.3000000000000001E-4</v>
      </c>
      <c r="BU29" s="10">
        <v>8.3000000000000001E-4</v>
      </c>
      <c r="BV29" s="10">
        <v>8.3000000000000001E-4</v>
      </c>
      <c r="BW29" s="10">
        <v>8.3000000000000001E-4</v>
      </c>
      <c r="BX29" s="10">
        <v>8.3000000000000001E-4</v>
      </c>
      <c r="BY29" s="10">
        <v>8.3000000000000001E-4</v>
      </c>
      <c r="BZ29" s="10">
        <v>8.3000000000000001E-4</v>
      </c>
      <c r="CA29" s="10">
        <v>8.3000000000000001E-4</v>
      </c>
      <c r="CB29" s="10">
        <v>8.3000000000000001E-4</v>
      </c>
      <c r="CC29" s="10">
        <v>8.3000000000000001E-4</v>
      </c>
      <c r="CD29" s="10">
        <v>8.3000000000000001E-4</v>
      </c>
      <c r="CE29" s="10">
        <v>8.3000000000000001E-4</v>
      </c>
      <c r="CF29" s="10">
        <v>8.3000000000000001E-4</v>
      </c>
      <c r="CG29" s="10">
        <v>8.3000000000000001E-4</v>
      </c>
      <c r="CH29" s="9">
        <v>8.3000000000000001E-4</v>
      </c>
    </row>
    <row r="30" spans="1:86">
      <c r="A30" s="13" t="s">
        <v>555</v>
      </c>
      <c r="B30" s="10">
        <v>1.5E-5</v>
      </c>
      <c r="C30" s="10">
        <v>1.5E-5</v>
      </c>
      <c r="D30" s="10">
        <v>1.5E-5</v>
      </c>
      <c r="E30" s="10">
        <v>1.5E-5</v>
      </c>
      <c r="F30" s="10">
        <v>1.5E-5</v>
      </c>
      <c r="G30" s="10">
        <v>1.5E-5</v>
      </c>
      <c r="H30" s="10">
        <v>1.5E-5</v>
      </c>
      <c r="I30" s="10">
        <v>1.5E-5</v>
      </c>
      <c r="J30" s="10">
        <v>1.5E-5</v>
      </c>
      <c r="K30" s="10">
        <v>1.5E-5</v>
      </c>
      <c r="L30" s="10">
        <v>1.5E-5</v>
      </c>
      <c r="M30" s="10">
        <v>1.5E-5</v>
      </c>
      <c r="N30" s="10">
        <v>1.5E-5</v>
      </c>
      <c r="O30" s="10">
        <v>1.5E-5</v>
      </c>
      <c r="P30" s="10">
        <v>1.5E-5</v>
      </c>
      <c r="Q30" s="10">
        <v>1.5E-5</v>
      </c>
      <c r="R30" s="10">
        <v>1.5E-5</v>
      </c>
      <c r="S30" s="10">
        <v>1.5E-5</v>
      </c>
      <c r="T30" s="10">
        <v>1.5E-5</v>
      </c>
      <c r="U30" s="10">
        <v>1.5E-5</v>
      </c>
      <c r="V30" s="10">
        <v>1.5E-5</v>
      </c>
      <c r="W30" s="10">
        <v>1.5E-5</v>
      </c>
      <c r="X30" s="10">
        <v>1.5E-5</v>
      </c>
      <c r="Y30" s="10">
        <v>1.5E-5</v>
      </c>
      <c r="Z30" s="10">
        <v>1.5E-5</v>
      </c>
      <c r="AA30" s="10">
        <v>1.5E-5</v>
      </c>
      <c r="AB30" s="10">
        <v>1.5E-5</v>
      </c>
      <c r="AC30" s="10">
        <v>1.5E-5</v>
      </c>
      <c r="AD30" s="10">
        <v>1.5E-5</v>
      </c>
      <c r="AE30" s="10">
        <v>1.5E-5</v>
      </c>
      <c r="AF30" s="10">
        <v>1.5E-5</v>
      </c>
      <c r="AG30" s="10">
        <v>1.5E-5</v>
      </c>
      <c r="AH30" s="10">
        <v>1.5E-5</v>
      </c>
      <c r="AI30" s="10">
        <v>1.5E-5</v>
      </c>
      <c r="AJ30" s="10">
        <v>1.5E-5</v>
      </c>
      <c r="AK30" s="10">
        <v>1.5E-5</v>
      </c>
      <c r="AL30" s="12">
        <v>1.5E-5</v>
      </c>
      <c r="AM30" s="10">
        <v>1.5E-5</v>
      </c>
      <c r="AN30" s="10">
        <v>1.5E-5</v>
      </c>
      <c r="AO30" s="10">
        <v>1.5E-5</v>
      </c>
      <c r="AP30" s="12">
        <v>1.5E-5</v>
      </c>
      <c r="AQ30" s="10"/>
      <c r="AR30" s="10"/>
      <c r="AS30" s="10"/>
      <c r="AT30" s="10"/>
      <c r="AU30" s="10"/>
      <c r="AV30" s="10"/>
      <c r="AW30" s="10"/>
      <c r="AX30" s="10"/>
      <c r="AY30" s="10"/>
      <c r="AZ30" s="10"/>
      <c r="BA30" s="10"/>
      <c r="BB30" s="10"/>
      <c r="BC30" s="10"/>
      <c r="BD30" s="10"/>
      <c r="BE30" s="12"/>
      <c r="BF30" s="15"/>
      <c r="BG30" s="15"/>
      <c r="BH30" s="15"/>
      <c r="BI30" s="15"/>
      <c r="BJ30" s="15"/>
      <c r="BK30" s="15"/>
      <c r="BL30" s="15"/>
      <c r="BM30" s="15"/>
      <c r="BN30" s="15"/>
      <c r="BO30" s="20"/>
      <c r="BP30" s="15"/>
      <c r="BQ30" s="15"/>
      <c r="BR30" s="15"/>
      <c r="BS30" s="15"/>
      <c r="BT30" s="11">
        <v>3.2000000000000001E-9</v>
      </c>
      <c r="BU30" s="10">
        <v>3.2000000000000001E-9</v>
      </c>
      <c r="BV30" s="10">
        <v>3.2000000000000001E-9</v>
      </c>
      <c r="BW30" s="10">
        <v>3.2000000000000001E-9</v>
      </c>
      <c r="BX30" s="10">
        <v>3.2000000000000001E-9</v>
      </c>
      <c r="BY30" s="10">
        <v>3.2000000000000001E-9</v>
      </c>
      <c r="BZ30" s="10">
        <v>3.2000000000000001E-9</v>
      </c>
      <c r="CA30" s="10">
        <v>3.2000000000000001E-9</v>
      </c>
      <c r="CB30" s="10">
        <v>3.2000000000000001E-9</v>
      </c>
      <c r="CC30" s="10">
        <v>3.2000000000000001E-9</v>
      </c>
      <c r="CD30" s="10">
        <v>3.2000000000000001E-9</v>
      </c>
      <c r="CE30" s="10">
        <v>3.2000000000000001E-9</v>
      </c>
      <c r="CF30" s="10">
        <v>3.2000000000000001E-9</v>
      </c>
      <c r="CG30" s="10">
        <v>3.2000000000000001E-9</v>
      </c>
      <c r="CH30" s="9">
        <v>3.2000000000000001E-9</v>
      </c>
    </row>
    <row r="31" spans="1:86">
      <c r="A31" s="13" t="s">
        <v>556</v>
      </c>
      <c r="B31" s="10">
        <v>2.9E-4</v>
      </c>
      <c r="C31" s="10">
        <v>2.9E-4</v>
      </c>
      <c r="D31" s="10">
        <v>2.9E-4</v>
      </c>
      <c r="E31" s="10">
        <v>2.9E-4</v>
      </c>
      <c r="F31" s="10">
        <v>2.9E-4</v>
      </c>
      <c r="G31" s="10">
        <v>2.9E-4</v>
      </c>
      <c r="H31" s="10">
        <v>2.9E-4</v>
      </c>
      <c r="I31" s="10">
        <v>2.9E-4</v>
      </c>
      <c r="J31" s="10">
        <v>2.9E-4</v>
      </c>
      <c r="K31" s="10">
        <v>2.9E-4</v>
      </c>
      <c r="L31" s="10">
        <v>2.9E-4</v>
      </c>
      <c r="M31" s="10">
        <v>2.9E-4</v>
      </c>
      <c r="N31" s="10">
        <v>2.9E-4</v>
      </c>
      <c r="O31" s="10">
        <v>2.9E-4</v>
      </c>
      <c r="P31" s="10">
        <v>2.9E-4</v>
      </c>
      <c r="Q31" s="10">
        <v>2.9E-4</v>
      </c>
      <c r="R31" s="10">
        <v>2.9E-4</v>
      </c>
      <c r="S31" s="10">
        <v>2.9E-4</v>
      </c>
      <c r="T31" s="10">
        <v>2.9E-4</v>
      </c>
      <c r="U31" s="10">
        <v>2.9E-4</v>
      </c>
      <c r="V31" s="10">
        <v>2.9E-4</v>
      </c>
      <c r="W31" s="10">
        <v>2.9E-4</v>
      </c>
      <c r="X31" s="10">
        <v>2.9E-4</v>
      </c>
      <c r="Y31" s="10">
        <v>2.9E-4</v>
      </c>
      <c r="Z31" s="10">
        <v>2.9E-4</v>
      </c>
      <c r="AA31" s="10">
        <v>2.9E-4</v>
      </c>
      <c r="AB31" s="10">
        <v>2.9E-4</v>
      </c>
      <c r="AC31" s="10">
        <v>2.9E-4</v>
      </c>
      <c r="AD31" s="10">
        <v>2.9E-4</v>
      </c>
      <c r="AE31" s="10">
        <v>2.9E-4</v>
      </c>
      <c r="AF31" s="10">
        <v>2.9E-4</v>
      </c>
      <c r="AG31" s="10">
        <v>2.9E-4</v>
      </c>
      <c r="AH31" s="10">
        <v>2.9E-4</v>
      </c>
      <c r="AI31" s="10">
        <v>2.9E-4</v>
      </c>
      <c r="AJ31" s="10">
        <v>2.9E-4</v>
      </c>
      <c r="AK31" s="10">
        <v>2.9E-4</v>
      </c>
      <c r="AL31" s="12">
        <v>2.9E-4</v>
      </c>
      <c r="AM31" s="10">
        <v>2.9E-4</v>
      </c>
      <c r="AN31" s="10">
        <v>2.9E-4</v>
      </c>
      <c r="AO31" s="10">
        <v>2.9E-4</v>
      </c>
      <c r="AP31" s="12">
        <v>2.9E-4</v>
      </c>
      <c r="AQ31" s="10"/>
      <c r="AR31" s="10"/>
      <c r="AS31" s="10"/>
      <c r="AT31" s="10"/>
      <c r="AU31" s="10"/>
      <c r="AV31" s="10"/>
      <c r="AW31" s="10"/>
      <c r="AX31" s="10"/>
      <c r="AY31" s="10"/>
      <c r="AZ31" s="10"/>
      <c r="BA31" s="10"/>
      <c r="BB31" s="10"/>
      <c r="BC31" s="10"/>
      <c r="BD31" s="10"/>
      <c r="BE31" s="12"/>
      <c r="BF31" s="15"/>
      <c r="BG31" s="15"/>
      <c r="BH31" s="15"/>
      <c r="BI31" s="15"/>
      <c r="BJ31" s="15"/>
      <c r="BK31" s="15"/>
      <c r="BL31" s="15"/>
      <c r="BM31" s="15"/>
      <c r="BN31" s="15"/>
      <c r="BO31" s="20"/>
      <c r="BP31" s="15"/>
      <c r="BQ31" s="15"/>
      <c r="BR31" s="15"/>
      <c r="BS31" s="15"/>
      <c r="BT31" s="11">
        <v>4.0000000000000001E-3</v>
      </c>
      <c r="BU31" s="10">
        <v>4.0000000000000001E-3</v>
      </c>
      <c r="BV31" s="10">
        <v>4.0000000000000001E-3</v>
      </c>
      <c r="BW31" s="10">
        <v>4.0000000000000001E-3</v>
      </c>
      <c r="BX31" s="10">
        <v>4.0000000000000001E-3</v>
      </c>
      <c r="BY31" s="10">
        <v>4.0000000000000001E-3</v>
      </c>
      <c r="BZ31" s="10">
        <v>4.0000000000000001E-3</v>
      </c>
      <c r="CA31" s="10">
        <v>4.0000000000000001E-3</v>
      </c>
      <c r="CB31" s="10">
        <v>4.0000000000000001E-3</v>
      </c>
      <c r="CC31" s="10">
        <v>4.0000000000000001E-3</v>
      </c>
      <c r="CD31" s="10">
        <v>4.0000000000000001E-3</v>
      </c>
      <c r="CE31" s="10">
        <v>4.0000000000000001E-3</v>
      </c>
      <c r="CF31" s="10">
        <v>4.0000000000000001E-3</v>
      </c>
      <c r="CG31" s="10">
        <v>4.0000000000000001E-3</v>
      </c>
      <c r="CH31" s="9">
        <v>4.0000000000000001E-3</v>
      </c>
    </row>
    <row r="32" spans="1:86">
      <c r="A32" s="13" t="s">
        <v>557</v>
      </c>
      <c r="B32" s="10">
        <f t="shared" ref="B32:AP32" si="6">0.000018/(1-99.2%)</f>
        <v>2.2499999999999981E-3</v>
      </c>
      <c r="C32" s="10">
        <f t="shared" si="6"/>
        <v>2.2499999999999981E-3</v>
      </c>
      <c r="D32" s="10">
        <f t="shared" si="6"/>
        <v>2.2499999999999981E-3</v>
      </c>
      <c r="E32" s="10">
        <f t="shared" si="6"/>
        <v>2.2499999999999981E-3</v>
      </c>
      <c r="F32" s="10">
        <f t="shared" si="6"/>
        <v>2.2499999999999981E-3</v>
      </c>
      <c r="G32" s="10">
        <f t="shared" si="6"/>
        <v>2.2499999999999981E-3</v>
      </c>
      <c r="H32" s="10">
        <f t="shared" si="6"/>
        <v>2.2499999999999981E-3</v>
      </c>
      <c r="I32" s="10">
        <f t="shared" si="6"/>
        <v>2.2499999999999981E-3</v>
      </c>
      <c r="J32" s="10">
        <f t="shared" si="6"/>
        <v>2.2499999999999981E-3</v>
      </c>
      <c r="K32" s="10">
        <f t="shared" si="6"/>
        <v>2.2499999999999981E-3</v>
      </c>
      <c r="L32" s="10">
        <f t="shared" si="6"/>
        <v>2.2499999999999981E-3</v>
      </c>
      <c r="M32" s="10">
        <f t="shared" si="6"/>
        <v>2.2499999999999981E-3</v>
      </c>
      <c r="N32" s="10">
        <f t="shared" si="6"/>
        <v>2.2499999999999981E-3</v>
      </c>
      <c r="O32" s="10">
        <f t="shared" si="6"/>
        <v>2.2499999999999981E-3</v>
      </c>
      <c r="P32" s="10">
        <f t="shared" si="6"/>
        <v>2.2499999999999981E-3</v>
      </c>
      <c r="Q32" s="10">
        <f t="shared" si="6"/>
        <v>2.2499999999999981E-3</v>
      </c>
      <c r="R32" s="10">
        <f t="shared" si="6"/>
        <v>2.2499999999999981E-3</v>
      </c>
      <c r="S32" s="10">
        <f t="shared" si="6"/>
        <v>2.2499999999999981E-3</v>
      </c>
      <c r="T32" s="10">
        <f t="shared" si="6"/>
        <v>2.2499999999999981E-3</v>
      </c>
      <c r="U32" s="10">
        <f t="shared" si="6"/>
        <v>2.2499999999999981E-3</v>
      </c>
      <c r="V32" s="10">
        <f t="shared" si="6"/>
        <v>2.2499999999999981E-3</v>
      </c>
      <c r="W32" s="10">
        <f t="shared" si="6"/>
        <v>2.2499999999999981E-3</v>
      </c>
      <c r="X32" s="10">
        <f t="shared" si="6"/>
        <v>2.2499999999999981E-3</v>
      </c>
      <c r="Y32" s="10">
        <f t="shared" si="6"/>
        <v>2.2499999999999981E-3</v>
      </c>
      <c r="Z32" s="10">
        <f t="shared" si="6"/>
        <v>2.2499999999999981E-3</v>
      </c>
      <c r="AA32" s="10">
        <f t="shared" si="6"/>
        <v>2.2499999999999981E-3</v>
      </c>
      <c r="AB32" s="10">
        <f t="shared" si="6"/>
        <v>2.2499999999999981E-3</v>
      </c>
      <c r="AC32" s="10">
        <f t="shared" si="6"/>
        <v>2.2499999999999981E-3</v>
      </c>
      <c r="AD32" s="10">
        <f t="shared" si="6"/>
        <v>2.2499999999999981E-3</v>
      </c>
      <c r="AE32" s="10">
        <f t="shared" si="6"/>
        <v>2.2499999999999981E-3</v>
      </c>
      <c r="AF32" s="10">
        <f t="shared" si="6"/>
        <v>2.2499999999999981E-3</v>
      </c>
      <c r="AG32" s="10">
        <f t="shared" si="6"/>
        <v>2.2499999999999981E-3</v>
      </c>
      <c r="AH32" s="10">
        <f t="shared" si="6"/>
        <v>2.2499999999999981E-3</v>
      </c>
      <c r="AI32" s="10">
        <f t="shared" si="6"/>
        <v>2.2499999999999981E-3</v>
      </c>
      <c r="AJ32" s="10">
        <f t="shared" si="6"/>
        <v>2.2499999999999981E-3</v>
      </c>
      <c r="AK32" s="10">
        <f t="shared" si="6"/>
        <v>2.2499999999999981E-3</v>
      </c>
      <c r="AL32" s="12">
        <f t="shared" si="6"/>
        <v>2.2499999999999981E-3</v>
      </c>
      <c r="AM32" s="10">
        <f t="shared" si="6"/>
        <v>2.2499999999999981E-3</v>
      </c>
      <c r="AN32" s="10">
        <f t="shared" si="6"/>
        <v>2.2499999999999981E-3</v>
      </c>
      <c r="AO32" s="10">
        <f t="shared" si="6"/>
        <v>2.2499999999999981E-3</v>
      </c>
      <c r="AP32" s="12">
        <f t="shared" si="6"/>
        <v>2.2499999999999981E-3</v>
      </c>
      <c r="AQ32" s="10">
        <v>5.2500000000000003E-3</v>
      </c>
      <c r="AR32" s="10">
        <v>5.2500000000000003E-3</v>
      </c>
      <c r="AS32" s="10">
        <v>5.2500000000000003E-3</v>
      </c>
      <c r="AT32" s="10">
        <v>5.2500000000000003E-3</v>
      </c>
      <c r="AU32" s="10"/>
      <c r="AV32" s="10"/>
      <c r="AW32" s="10"/>
      <c r="AX32" s="10"/>
      <c r="AY32" s="10"/>
      <c r="AZ32" s="10"/>
      <c r="BA32" s="10">
        <v>5.2500000000000003E-3</v>
      </c>
      <c r="BB32" s="10"/>
      <c r="BC32" s="10"/>
      <c r="BD32" s="10"/>
      <c r="BE32" s="12"/>
      <c r="BF32" s="15"/>
      <c r="BG32" s="15"/>
      <c r="BH32" s="15"/>
      <c r="BI32" s="15"/>
      <c r="BJ32" s="15"/>
      <c r="BK32" s="15"/>
      <c r="BL32" s="15"/>
      <c r="BM32" s="15"/>
      <c r="BN32" s="15"/>
      <c r="BO32" s="20"/>
      <c r="BP32" s="15"/>
      <c r="BQ32" s="15"/>
      <c r="BR32" s="15"/>
      <c r="BS32" s="15"/>
      <c r="BT32" s="11">
        <v>7.9000000000000006E-6</v>
      </c>
      <c r="BU32" s="10">
        <v>7.9000000000000006E-6</v>
      </c>
      <c r="BV32" s="10">
        <v>7.9000000000000006E-6</v>
      </c>
      <c r="BW32" s="10">
        <v>7.9000000000000006E-6</v>
      </c>
      <c r="BX32" s="10">
        <v>7.9000000000000006E-6</v>
      </c>
      <c r="BY32" s="10">
        <v>7.9000000000000006E-6</v>
      </c>
      <c r="BZ32" s="10">
        <v>7.9000000000000006E-6</v>
      </c>
      <c r="CA32" s="10">
        <v>7.9000000000000006E-6</v>
      </c>
      <c r="CB32" s="10">
        <v>7.9000000000000006E-6</v>
      </c>
      <c r="CC32" s="10">
        <v>7.9000000000000006E-6</v>
      </c>
      <c r="CD32" s="10">
        <v>7.9000000000000006E-6</v>
      </c>
      <c r="CE32" s="10">
        <v>7.9000000000000006E-6</v>
      </c>
      <c r="CF32" s="10">
        <v>7.9000000000000006E-6</v>
      </c>
      <c r="CG32" s="10">
        <v>7.9000000000000006E-6</v>
      </c>
      <c r="CH32" s="9">
        <v>7.9000000000000006E-6</v>
      </c>
    </row>
    <row r="33" spans="1:86">
      <c r="A33" s="13" t="s">
        <v>90</v>
      </c>
      <c r="B33" s="10">
        <f t="shared" ref="B33:AL33" si="7">0.00041/(1-99.2%)</f>
        <v>5.1249999999999955E-2</v>
      </c>
      <c r="C33" s="10">
        <f t="shared" si="7"/>
        <v>5.1249999999999955E-2</v>
      </c>
      <c r="D33" s="10">
        <f t="shared" si="7"/>
        <v>5.1249999999999955E-2</v>
      </c>
      <c r="E33" s="10">
        <f t="shared" si="7"/>
        <v>5.1249999999999955E-2</v>
      </c>
      <c r="F33" s="10">
        <f t="shared" si="7"/>
        <v>5.1249999999999955E-2</v>
      </c>
      <c r="G33" s="10">
        <f t="shared" si="7"/>
        <v>5.1249999999999955E-2</v>
      </c>
      <c r="H33" s="10">
        <f t="shared" si="7"/>
        <v>5.1249999999999955E-2</v>
      </c>
      <c r="I33" s="10">
        <f t="shared" si="7"/>
        <v>5.1249999999999955E-2</v>
      </c>
      <c r="J33" s="10">
        <f t="shared" si="7"/>
        <v>5.1249999999999955E-2</v>
      </c>
      <c r="K33" s="10">
        <f t="shared" si="7"/>
        <v>5.1249999999999955E-2</v>
      </c>
      <c r="L33" s="10">
        <f t="shared" si="7"/>
        <v>5.1249999999999955E-2</v>
      </c>
      <c r="M33" s="10">
        <f t="shared" si="7"/>
        <v>5.1249999999999955E-2</v>
      </c>
      <c r="N33" s="10">
        <f t="shared" si="7"/>
        <v>5.1249999999999955E-2</v>
      </c>
      <c r="O33" s="10">
        <f t="shared" si="7"/>
        <v>5.1249999999999955E-2</v>
      </c>
      <c r="P33" s="10">
        <f t="shared" si="7"/>
        <v>5.1249999999999955E-2</v>
      </c>
      <c r="Q33" s="10">
        <f t="shared" si="7"/>
        <v>5.1249999999999955E-2</v>
      </c>
      <c r="R33" s="10">
        <f t="shared" si="7"/>
        <v>5.1249999999999955E-2</v>
      </c>
      <c r="S33" s="10">
        <f t="shared" si="7"/>
        <v>5.1249999999999955E-2</v>
      </c>
      <c r="T33" s="10">
        <f t="shared" si="7"/>
        <v>5.1249999999999955E-2</v>
      </c>
      <c r="U33" s="10">
        <f t="shared" si="7"/>
        <v>5.1249999999999955E-2</v>
      </c>
      <c r="V33" s="10">
        <f t="shared" si="7"/>
        <v>5.1249999999999955E-2</v>
      </c>
      <c r="W33" s="10">
        <f t="shared" si="7"/>
        <v>5.1249999999999955E-2</v>
      </c>
      <c r="X33" s="10">
        <f t="shared" si="7"/>
        <v>5.1249999999999955E-2</v>
      </c>
      <c r="Y33" s="10">
        <f t="shared" si="7"/>
        <v>5.1249999999999955E-2</v>
      </c>
      <c r="Z33" s="10">
        <f t="shared" si="7"/>
        <v>5.1249999999999955E-2</v>
      </c>
      <c r="AA33" s="10">
        <f t="shared" si="7"/>
        <v>5.1249999999999955E-2</v>
      </c>
      <c r="AB33" s="10">
        <f t="shared" si="7"/>
        <v>5.1249999999999955E-2</v>
      </c>
      <c r="AC33" s="10">
        <f t="shared" si="7"/>
        <v>5.1249999999999955E-2</v>
      </c>
      <c r="AD33" s="10">
        <f t="shared" si="7"/>
        <v>5.1249999999999955E-2</v>
      </c>
      <c r="AE33" s="10">
        <f t="shared" si="7"/>
        <v>5.1249999999999955E-2</v>
      </c>
      <c r="AF33" s="10">
        <f t="shared" si="7"/>
        <v>5.1249999999999955E-2</v>
      </c>
      <c r="AG33" s="10">
        <f t="shared" si="7"/>
        <v>5.1249999999999955E-2</v>
      </c>
      <c r="AH33" s="10">
        <f t="shared" si="7"/>
        <v>5.1249999999999955E-2</v>
      </c>
      <c r="AI33" s="10">
        <f t="shared" si="7"/>
        <v>5.1249999999999955E-2</v>
      </c>
      <c r="AJ33" s="10">
        <f t="shared" si="7"/>
        <v>5.1249999999999955E-2</v>
      </c>
      <c r="AK33" s="10">
        <f t="shared" si="7"/>
        <v>5.1249999999999955E-2</v>
      </c>
      <c r="AL33" s="12">
        <f t="shared" si="7"/>
        <v>5.1249999999999955E-2</v>
      </c>
      <c r="AM33" s="10">
        <v>1.9000000000000001E-4</v>
      </c>
      <c r="AN33" s="10">
        <f>0.00041/(1-99.2%)</f>
        <v>5.1249999999999955E-2</v>
      </c>
      <c r="AO33" s="10">
        <f>0.00041/(1-99.2%)</f>
        <v>5.1249999999999955E-2</v>
      </c>
      <c r="AP33" s="12">
        <f>0.00041/(1-99.2%)</f>
        <v>5.1249999999999955E-2</v>
      </c>
      <c r="AQ33" s="10">
        <v>1.32E-3</v>
      </c>
      <c r="AR33" s="10">
        <v>1.32E-3</v>
      </c>
      <c r="AS33" s="10">
        <v>1.32E-3</v>
      </c>
      <c r="AT33" s="10">
        <v>1.32E-3</v>
      </c>
      <c r="AU33" s="10">
        <v>4.0000000000000002E-9</v>
      </c>
      <c r="AV33" s="10">
        <v>4.0000000000000002E-9</v>
      </c>
      <c r="AW33" s="10">
        <v>4.0000000000000002E-9</v>
      </c>
      <c r="AX33" s="10">
        <v>4.0000000000000002E-9</v>
      </c>
      <c r="AY33" s="10">
        <v>4.0000000000000002E-9</v>
      </c>
      <c r="AZ33" s="10">
        <v>4.0000000000000002E-9</v>
      </c>
      <c r="BA33" s="10">
        <v>1.32E-3</v>
      </c>
      <c r="BB33" s="10">
        <v>4.0000000000000002E-9</v>
      </c>
      <c r="BC33" s="10">
        <v>4.0000000000000002E-9</v>
      </c>
      <c r="BD33" s="10">
        <v>4.0000000000000002E-9</v>
      </c>
      <c r="BE33" s="12">
        <v>4.0000000000000002E-9</v>
      </c>
      <c r="BF33" s="10">
        <v>2.0000000000000001E-4</v>
      </c>
      <c r="BG33" s="10">
        <v>2.0000000000000001E-4</v>
      </c>
      <c r="BH33" s="10">
        <v>2.0000000000000001E-4</v>
      </c>
      <c r="BI33" s="10">
        <v>2.0000000000000001E-4</v>
      </c>
      <c r="BJ33" s="10">
        <v>2.0000000000000001E-4</v>
      </c>
      <c r="BK33" s="10">
        <v>2.0000000000000001E-4</v>
      </c>
      <c r="BL33" s="10">
        <v>2.0000000000000001E-4</v>
      </c>
      <c r="BM33" s="10">
        <v>2.0000000000000001E-4</v>
      </c>
      <c r="BN33" s="10">
        <v>2.0000000000000001E-4</v>
      </c>
      <c r="BO33" s="12">
        <v>2.0000000000000001E-4</v>
      </c>
      <c r="BP33" s="10">
        <v>2.0000000000000001E-4</v>
      </c>
      <c r="BQ33" s="10">
        <v>2.0000000000000001E-4</v>
      </c>
      <c r="BR33" s="10">
        <v>2.0000000000000001E-4</v>
      </c>
      <c r="BS33" s="10">
        <v>2.0000000000000001E-4</v>
      </c>
      <c r="BT33" s="11">
        <v>2.1999999999999999E-5</v>
      </c>
      <c r="BU33" s="10">
        <v>2.1999999999999999E-5</v>
      </c>
      <c r="BV33" s="10">
        <v>2.1999999999999999E-5</v>
      </c>
      <c r="BW33" s="10">
        <v>2.1999999999999999E-5</v>
      </c>
      <c r="BX33" s="10">
        <v>2.1999999999999999E-5</v>
      </c>
      <c r="BY33" s="10">
        <v>2.1999999999999999E-5</v>
      </c>
      <c r="BZ33" s="10">
        <v>2.1999999999999999E-5</v>
      </c>
      <c r="CA33" s="10">
        <v>2.1999999999999999E-5</v>
      </c>
      <c r="CB33" s="10">
        <v>2.1999999999999999E-5</v>
      </c>
      <c r="CC33" s="10">
        <v>2.1999999999999999E-5</v>
      </c>
      <c r="CD33" s="10">
        <v>2.1999999999999999E-5</v>
      </c>
      <c r="CE33" s="10">
        <v>2.1999999999999999E-5</v>
      </c>
      <c r="CF33" s="10">
        <v>2.1999999999999999E-5</v>
      </c>
      <c r="CG33" s="10">
        <v>2.1999999999999999E-5</v>
      </c>
      <c r="CH33" s="9">
        <v>2.1999999999999999E-5</v>
      </c>
    </row>
    <row r="34" spans="1:86">
      <c r="A34" s="13" t="s">
        <v>91</v>
      </c>
      <c r="B34" s="10">
        <v>1.2999999999999999E-3</v>
      </c>
      <c r="C34" s="10">
        <v>1.2999999999999999E-3</v>
      </c>
      <c r="D34" s="10">
        <v>1.2999999999999999E-3</v>
      </c>
      <c r="E34" s="10">
        <v>1.2999999999999999E-3</v>
      </c>
      <c r="F34" s="10">
        <v>1.2999999999999999E-3</v>
      </c>
      <c r="G34" s="10">
        <v>1.2999999999999999E-3</v>
      </c>
      <c r="H34" s="10">
        <v>1.2999999999999999E-3</v>
      </c>
      <c r="I34" s="10">
        <v>1.2999999999999999E-3</v>
      </c>
      <c r="J34" s="10">
        <v>1.2999999999999999E-3</v>
      </c>
      <c r="K34" s="10">
        <v>1.2999999999999999E-3</v>
      </c>
      <c r="L34" s="10">
        <v>1.2999999999999999E-3</v>
      </c>
      <c r="M34" s="10">
        <v>1.2999999999999999E-3</v>
      </c>
      <c r="N34" s="10">
        <v>1.2999999999999999E-3</v>
      </c>
      <c r="O34" s="10">
        <v>1.2999999999999999E-3</v>
      </c>
      <c r="P34" s="10">
        <v>1.2999999999999999E-3</v>
      </c>
      <c r="Q34" s="10">
        <v>1.2999999999999999E-3</v>
      </c>
      <c r="R34" s="10">
        <v>1.2999999999999999E-3</v>
      </c>
      <c r="S34" s="10">
        <v>1.2999999999999999E-3</v>
      </c>
      <c r="T34" s="10">
        <v>1.2999999999999999E-3</v>
      </c>
      <c r="U34" s="10">
        <v>1.2999999999999999E-3</v>
      </c>
      <c r="V34" s="10">
        <v>1.2999999999999999E-3</v>
      </c>
      <c r="W34" s="10">
        <v>1.2999999999999999E-3</v>
      </c>
      <c r="X34" s="10">
        <v>1.2999999999999999E-3</v>
      </c>
      <c r="Y34" s="10">
        <v>1.2999999999999999E-3</v>
      </c>
      <c r="Z34" s="10">
        <v>1.2999999999999999E-3</v>
      </c>
      <c r="AA34" s="10">
        <v>1.2999999999999999E-3</v>
      </c>
      <c r="AB34" s="10">
        <v>1.2999999999999999E-3</v>
      </c>
      <c r="AC34" s="10">
        <v>1.2999999999999999E-3</v>
      </c>
      <c r="AD34" s="10">
        <v>1.2999999999999999E-3</v>
      </c>
      <c r="AE34" s="10">
        <v>1.2999999999999999E-3</v>
      </c>
      <c r="AF34" s="10">
        <v>1.2999999999999999E-3</v>
      </c>
      <c r="AG34" s="10">
        <v>1.2999999999999999E-3</v>
      </c>
      <c r="AH34" s="10">
        <v>1.2999999999999999E-3</v>
      </c>
      <c r="AI34" s="10">
        <v>1.2999999999999999E-3</v>
      </c>
      <c r="AJ34" s="10">
        <v>1.2999999999999999E-3</v>
      </c>
      <c r="AK34" s="10">
        <v>1.2999999999999999E-3</v>
      </c>
      <c r="AL34" s="12">
        <v>1.2999999999999999E-3</v>
      </c>
      <c r="AM34" s="10">
        <v>1.2999999999999999E-3</v>
      </c>
      <c r="AN34" s="10">
        <v>1.2999999999999999E-3</v>
      </c>
      <c r="AO34" s="10">
        <v>1.2999999999999999E-3</v>
      </c>
      <c r="AP34" s="12">
        <v>1.2999999999999999E-3</v>
      </c>
      <c r="AQ34" s="10">
        <v>2.14E-4</v>
      </c>
      <c r="AR34" s="10">
        <v>2.14E-4</v>
      </c>
      <c r="AS34" s="10">
        <v>2.14E-4</v>
      </c>
      <c r="AT34" s="10">
        <v>2.14E-4</v>
      </c>
      <c r="AU34" s="10">
        <v>2.14E-4</v>
      </c>
      <c r="AV34" s="10">
        <v>2.14E-4</v>
      </c>
      <c r="AW34" s="10">
        <v>2.14E-4</v>
      </c>
      <c r="AX34" s="10">
        <v>2.14E-4</v>
      </c>
      <c r="AY34" s="10">
        <v>2.14E-4</v>
      </c>
      <c r="AZ34" s="10">
        <v>2.14E-4</v>
      </c>
      <c r="BA34" s="10">
        <v>2.14E-4</v>
      </c>
      <c r="BB34" s="10">
        <v>2.14E-4</v>
      </c>
      <c r="BC34" s="10">
        <v>2.14E-4</v>
      </c>
      <c r="BD34" s="10">
        <v>2.14E-4</v>
      </c>
      <c r="BE34" s="12">
        <v>2.14E-4</v>
      </c>
      <c r="BF34" s="10">
        <v>2.0999999999999999E-3</v>
      </c>
      <c r="BG34" s="10">
        <v>2.0999999999999999E-3</v>
      </c>
      <c r="BH34" s="10">
        <v>2.0999999999999999E-3</v>
      </c>
      <c r="BI34" s="10">
        <v>2.0999999999999999E-3</v>
      </c>
      <c r="BJ34" s="10">
        <v>2.0999999999999999E-3</v>
      </c>
      <c r="BK34" s="10">
        <v>2.0999999999999999E-3</v>
      </c>
      <c r="BL34" s="10">
        <v>2.0999999999999999E-3</v>
      </c>
      <c r="BM34" s="10">
        <v>2.0999999999999999E-3</v>
      </c>
      <c r="BN34" s="10">
        <v>2.0999999999999999E-3</v>
      </c>
      <c r="BO34" s="12">
        <v>2.0999999999999999E-3</v>
      </c>
      <c r="BP34" s="10">
        <v>2.0999999999999999E-3</v>
      </c>
      <c r="BQ34" s="10">
        <v>2.0999999999999999E-3</v>
      </c>
      <c r="BR34" s="10">
        <v>2.0999999999999999E-3</v>
      </c>
      <c r="BS34" s="10">
        <v>2.0999999999999999E-3</v>
      </c>
      <c r="BT34" s="11">
        <v>4.1999999999999997E-3</v>
      </c>
      <c r="BU34" s="10">
        <v>4.1999999999999997E-3</v>
      </c>
      <c r="BV34" s="10">
        <v>4.1999999999999997E-3</v>
      </c>
      <c r="BW34" s="10">
        <v>4.1999999999999997E-3</v>
      </c>
      <c r="BX34" s="10">
        <v>4.1999999999999997E-3</v>
      </c>
      <c r="BY34" s="10">
        <v>4.1999999999999997E-3</v>
      </c>
      <c r="BZ34" s="10">
        <v>4.1999999999999997E-3</v>
      </c>
      <c r="CA34" s="10">
        <v>4.1999999999999997E-3</v>
      </c>
      <c r="CB34" s="10">
        <v>4.1999999999999997E-3</v>
      </c>
      <c r="CC34" s="10">
        <v>4.1999999999999997E-3</v>
      </c>
      <c r="CD34" s="10">
        <v>4.1999999999999997E-3</v>
      </c>
      <c r="CE34" s="10">
        <v>4.1999999999999997E-3</v>
      </c>
      <c r="CF34" s="10">
        <v>4.1999999999999997E-3</v>
      </c>
      <c r="CG34" s="10">
        <v>4.1999999999999997E-3</v>
      </c>
      <c r="CH34" s="9">
        <v>4.1999999999999997E-3</v>
      </c>
    </row>
    <row r="35" spans="1:86">
      <c r="A35" s="13" t="s">
        <v>558</v>
      </c>
      <c r="B35" s="10">
        <v>6.9999999999999999E-4</v>
      </c>
      <c r="C35" s="10">
        <v>6.9999999999999999E-4</v>
      </c>
      <c r="D35" s="10">
        <v>6.9999999999999999E-4</v>
      </c>
      <c r="E35" s="10">
        <v>6.9999999999999999E-4</v>
      </c>
      <c r="F35" s="10">
        <v>6.9999999999999999E-4</v>
      </c>
      <c r="G35" s="10">
        <v>6.9999999999999999E-4</v>
      </c>
      <c r="H35" s="10">
        <v>6.9999999999999999E-4</v>
      </c>
      <c r="I35" s="10">
        <v>6.9999999999999999E-4</v>
      </c>
      <c r="J35" s="10">
        <v>6.9999999999999999E-4</v>
      </c>
      <c r="K35" s="10">
        <v>6.9999999999999999E-4</v>
      </c>
      <c r="L35" s="10">
        <v>6.9999999999999999E-4</v>
      </c>
      <c r="M35" s="10">
        <v>6.9999999999999999E-4</v>
      </c>
      <c r="N35" s="10">
        <v>6.9999999999999999E-4</v>
      </c>
      <c r="O35" s="10">
        <v>6.9999999999999999E-4</v>
      </c>
      <c r="P35" s="10">
        <v>6.9999999999999999E-4</v>
      </c>
      <c r="Q35" s="10">
        <v>6.9999999999999999E-4</v>
      </c>
      <c r="R35" s="10">
        <v>6.9999999999999999E-4</v>
      </c>
      <c r="S35" s="10">
        <v>6.9999999999999999E-4</v>
      </c>
      <c r="T35" s="10">
        <v>6.9999999999999999E-4</v>
      </c>
      <c r="U35" s="10">
        <v>6.9999999999999999E-4</v>
      </c>
      <c r="V35" s="10">
        <v>6.9999999999999999E-4</v>
      </c>
      <c r="W35" s="10">
        <v>6.9999999999999999E-4</v>
      </c>
      <c r="X35" s="10">
        <v>6.9999999999999999E-4</v>
      </c>
      <c r="Y35" s="10">
        <v>6.9999999999999999E-4</v>
      </c>
      <c r="Z35" s="10">
        <v>6.9999999999999999E-4</v>
      </c>
      <c r="AA35" s="10">
        <v>6.9999999999999999E-4</v>
      </c>
      <c r="AB35" s="10">
        <v>6.9999999999999999E-4</v>
      </c>
      <c r="AC35" s="10">
        <v>6.9999999999999999E-4</v>
      </c>
      <c r="AD35" s="10">
        <v>6.9999999999999999E-4</v>
      </c>
      <c r="AE35" s="10">
        <v>6.9999999999999999E-4</v>
      </c>
      <c r="AF35" s="10">
        <v>6.9999999999999999E-4</v>
      </c>
      <c r="AG35" s="10">
        <v>6.9999999999999999E-4</v>
      </c>
      <c r="AH35" s="10">
        <v>6.9999999999999999E-4</v>
      </c>
      <c r="AI35" s="10">
        <v>6.9999999999999999E-4</v>
      </c>
      <c r="AJ35" s="10">
        <v>6.9999999999999999E-4</v>
      </c>
      <c r="AK35" s="10">
        <v>6.9999999999999999E-4</v>
      </c>
      <c r="AL35" s="12">
        <v>6.9999999999999999E-4</v>
      </c>
      <c r="AM35" s="10">
        <v>6.9999999999999999E-4</v>
      </c>
      <c r="AN35" s="10">
        <v>6.9999999999999999E-4</v>
      </c>
      <c r="AO35" s="10">
        <v>6.9999999999999999E-4</v>
      </c>
      <c r="AP35" s="12">
        <v>6.9999999999999999E-4</v>
      </c>
      <c r="AQ35" s="10"/>
      <c r="AR35" s="10"/>
      <c r="AS35" s="10"/>
      <c r="AT35" s="10"/>
      <c r="AU35" s="10"/>
      <c r="AV35" s="10"/>
      <c r="AW35" s="10"/>
      <c r="AX35" s="10"/>
      <c r="AY35" s="10"/>
      <c r="AZ35" s="10"/>
      <c r="BA35" s="10"/>
      <c r="BB35" s="10"/>
      <c r="BC35" s="10"/>
      <c r="BD35" s="10"/>
      <c r="BE35" s="12"/>
      <c r="BF35" s="15"/>
      <c r="BG35" s="15"/>
      <c r="BH35" s="15"/>
      <c r="BI35" s="15"/>
      <c r="BJ35" s="15"/>
      <c r="BK35" s="15"/>
      <c r="BL35" s="15"/>
      <c r="BM35" s="15"/>
      <c r="BN35" s="15"/>
      <c r="BO35" s="20"/>
      <c r="BP35" s="15"/>
      <c r="BQ35" s="15"/>
      <c r="BR35" s="15"/>
      <c r="BS35" s="15"/>
      <c r="BT35" s="11"/>
      <c r="BU35" s="10"/>
      <c r="BV35" s="10"/>
      <c r="BW35" s="10"/>
      <c r="BX35" s="10"/>
      <c r="BY35" s="10"/>
      <c r="BZ35" s="10"/>
      <c r="CA35" s="10"/>
      <c r="CB35" s="10"/>
      <c r="CC35" s="10"/>
      <c r="CD35" s="10"/>
      <c r="CE35" s="10"/>
      <c r="CF35" s="10"/>
      <c r="CG35" s="10"/>
      <c r="CH35" s="9"/>
    </row>
    <row r="36" spans="1:86">
      <c r="A36" s="13" t="s">
        <v>559</v>
      </c>
      <c r="B36" s="10">
        <f t="shared" ref="B36:AL36" si="8">0.000021/(1-99.2%)</f>
        <v>2.6249999999999976E-3</v>
      </c>
      <c r="C36" s="10">
        <f t="shared" si="8"/>
        <v>2.6249999999999976E-3</v>
      </c>
      <c r="D36" s="10">
        <f t="shared" si="8"/>
        <v>2.6249999999999976E-3</v>
      </c>
      <c r="E36" s="10">
        <f t="shared" si="8"/>
        <v>2.6249999999999976E-3</v>
      </c>
      <c r="F36" s="10">
        <f t="shared" si="8"/>
        <v>2.6249999999999976E-3</v>
      </c>
      <c r="G36" s="10">
        <f t="shared" si="8"/>
        <v>2.6249999999999976E-3</v>
      </c>
      <c r="H36" s="10">
        <f t="shared" si="8"/>
        <v>2.6249999999999976E-3</v>
      </c>
      <c r="I36" s="10">
        <f t="shared" si="8"/>
        <v>2.6249999999999976E-3</v>
      </c>
      <c r="J36" s="10">
        <f t="shared" si="8"/>
        <v>2.6249999999999976E-3</v>
      </c>
      <c r="K36" s="10">
        <f t="shared" si="8"/>
        <v>2.6249999999999976E-3</v>
      </c>
      <c r="L36" s="10">
        <f t="shared" si="8"/>
        <v>2.6249999999999976E-3</v>
      </c>
      <c r="M36" s="10">
        <f t="shared" si="8"/>
        <v>2.6249999999999976E-3</v>
      </c>
      <c r="N36" s="10">
        <f t="shared" si="8"/>
        <v>2.6249999999999976E-3</v>
      </c>
      <c r="O36" s="10">
        <f t="shared" si="8"/>
        <v>2.6249999999999976E-3</v>
      </c>
      <c r="P36" s="10">
        <f t="shared" si="8"/>
        <v>2.6249999999999976E-3</v>
      </c>
      <c r="Q36" s="10">
        <f t="shared" si="8"/>
        <v>2.6249999999999976E-3</v>
      </c>
      <c r="R36" s="10">
        <f t="shared" si="8"/>
        <v>2.6249999999999976E-3</v>
      </c>
      <c r="S36" s="10">
        <f t="shared" si="8"/>
        <v>2.6249999999999976E-3</v>
      </c>
      <c r="T36" s="10">
        <f t="shared" si="8"/>
        <v>2.6249999999999976E-3</v>
      </c>
      <c r="U36" s="10">
        <f t="shared" si="8"/>
        <v>2.6249999999999976E-3</v>
      </c>
      <c r="V36" s="10">
        <f t="shared" si="8"/>
        <v>2.6249999999999976E-3</v>
      </c>
      <c r="W36" s="10">
        <f t="shared" si="8"/>
        <v>2.6249999999999976E-3</v>
      </c>
      <c r="X36" s="10">
        <f t="shared" si="8"/>
        <v>2.6249999999999976E-3</v>
      </c>
      <c r="Y36" s="10">
        <f t="shared" si="8"/>
        <v>2.6249999999999976E-3</v>
      </c>
      <c r="Z36" s="10">
        <f t="shared" si="8"/>
        <v>2.6249999999999976E-3</v>
      </c>
      <c r="AA36" s="10">
        <f t="shared" si="8"/>
        <v>2.6249999999999976E-3</v>
      </c>
      <c r="AB36" s="10">
        <f t="shared" si="8"/>
        <v>2.6249999999999976E-3</v>
      </c>
      <c r="AC36" s="10">
        <f t="shared" si="8"/>
        <v>2.6249999999999976E-3</v>
      </c>
      <c r="AD36" s="10">
        <f t="shared" si="8"/>
        <v>2.6249999999999976E-3</v>
      </c>
      <c r="AE36" s="10">
        <f t="shared" si="8"/>
        <v>2.6249999999999976E-3</v>
      </c>
      <c r="AF36" s="10">
        <f t="shared" si="8"/>
        <v>2.6249999999999976E-3</v>
      </c>
      <c r="AG36" s="10">
        <f t="shared" si="8"/>
        <v>2.6249999999999976E-3</v>
      </c>
      <c r="AH36" s="10">
        <f t="shared" si="8"/>
        <v>2.6249999999999976E-3</v>
      </c>
      <c r="AI36" s="10">
        <f t="shared" si="8"/>
        <v>2.6249999999999976E-3</v>
      </c>
      <c r="AJ36" s="10">
        <f t="shared" si="8"/>
        <v>2.6249999999999976E-3</v>
      </c>
      <c r="AK36" s="10">
        <f t="shared" si="8"/>
        <v>2.6249999999999976E-3</v>
      </c>
      <c r="AL36" s="12">
        <f t="shared" si="8"/>
        <v>2.6249999999999976E-3</v>
      </c>
      <c r="AM36" s="10">
        <v>3.1E-4</v>
      </c>
      <c r="AN36" s="10">
        <f>0.000021/(1-99.2%)</f>
        <v>2.6249999999999976E-3</v>
      </c>
      <c r="AO36" s="10">
        <f>0.000021/(1-99.2%)</f>
        <v>2.6249999999999976E-3</v>
      </c>
      <c r="AP36" s="12">
        <f>0.000021/(1-99.2%)</f>
        <v>2.6249999999999976E-3</v>
      </c>
      <c r="AQ36" s="10">
        <v>2.7800000000000001E-5</v>
      </c>
      <c r="AR36" s="10">
        <v>2.7800000000000001E-5</v>
      </c>
      <c r="AS36" s="10">
        <v>2.7800000000000001E-5</v>
      </c>
      <c r="AT36" s="10">
        <v>2.7800000000000001E-5</v>
      </c>
      <c r="AU36" s="10">
        <v>8.0000000000000005E-9</v>
      </c>
      <c r="AV36" s="10">
        <v>8.0000000000000005E-9</v>
      </c>
      <c r="AW36" s="10">
        <v>8.0000000000000005E-9</v>
      </c>
      <c r="AX36" s="10">
        <v>8.0000000000000005E-9</v>
      </c>
      <c r="AY36" s="10">
        <v>8.0000000000000005E-9</v>
      </c>
      <c r="AZ36" s="10">
        <v>8.0000000000000005E-9</v>
      </c>
      <c r="BA36" s="10">
        <v>2.7800000000000001E-5</v>
      </c>
      <c r="BB36" s="10">
        <v>8.0000000000000005E-9</v>
      </c>
      <c r="BC36" s="10">
        <v>8.0000000000000005E-9</v>
      </c>
      <c r="BD36" s="10">
        <v>8.0000000000000005E-9</v>
      </c>
      <c r="BE36" s="12">
        <v>8.0000000000000005E-9</v>
      </c>
      <c r="BF36" s="10">
        <v>1.2E-5</v>
      </c>
      <c r="BG36" s="10">
        <v>1.2E-5</v>
      </c>
      <c r="BH36" s="10">
        <v>1.2E-5</v>
      </c>
      <c r="BI36" s="10">
        <v>1.2E-5</v>
      </c>
      <c r="BJ36" s="10">
        <v>1.2E-5</v>
      </c>
      <c r="BK36" s="10">
        <v>1.2E-5</v>
      </c>
      <c r="BL36" s="10">
        <v>1.2E-5</v>
      </c>
      <c r="BM36" s="10">
        <v>1.2E-5</v>
      </c>
      <c r="BN36" s="10">
        <v>1.2E-5</v>
      </c>
      <c r="BO36" s="12">
        <v>1.2E-5</v>
      </c>
      <c r="BP36" s="10">
        <v>1.2E-5</v>
      </c>
      <c r="BQ36" s="10">
        <v>1.2E-5</v>
      </c>
      <c r="BR36" s="10">
        <v>1.2E-5</v>
      </c>
      <c r="BS36" s="10">
        <v>1.2E-5</v>
      </c>
      <c r="BT36" s="11">
        <v>1.1000000000000001E-6</v>
      </c>
      <c r="BU36" s="10">
        <v>1.1000000000000001E-6</v>
      </c>
      <c r="BV36" s="10">
        <v>1.1000000000000001E-6</v>
      </c>
      <c r="BW36" s="10">
        <v>1.1000000000000001E-6</v>
      </c>
      <c r="BX36" s="10">
        <v>1.1000000000000001E-6</v>
      </c>
      <c r="BY36" s="10">
        <v>1.1000000000000001E-6</v>
      </c>
      <c r="BZ36" s="10">
        <v>1.1000000000000001E-6</v>
      </c>
      <c r="CA36" s="10">
        <v>1.1000000000000001E-6</v>
      </c>
      <c r="CB36" s="10">
        <v>1.1000000000000001E-6</v>
      </c>
      <c r="CC36" s="10">
        <v>1.1000000000000001E-6</v>
      </c>
      <c r="CD36" s="10">
        <v>1.1000000000000001E-6</v>
      </c>
      <c r="CE36" s="10">
        <v>1.1000000000000001E-6</v>
      </c>
      <c r="CF36" s="10">
        <v>1.1000000000000001E-6</v>
      </c>
      <c r="CG36" s="10">
        <v>1.1000000000000001E-6</v>
      </c>
      <c r="CH36" s="9">
        <v>1.1000000000000001E-6</v>
      </c>
    </row>
    <row r="37" spans="1:86">
      <c r="A37" s="13" t="s">
        <v>560</v>
      </c>
      <c r="B37" s="10">
        <v>7.2999999999999999E-5</v>
      </c>
      <c r="C37" s="10">
        <v>7.2999999999999999E-5</v>
      </c>
      <c r="D37" s="10">
        <v>7.2999999999999999E-5</v>
      </c>
      <c r="E37" s="10">
        <v>7.2999999999999999E-5</v>
      </c>
      <c r="F37" s="10">
        <v>7.2999999999999999E-5</v>
      </c>
      <c r="G37" s="10">
        <v>7.2999999999999999E-5</v>
      </c>
      <c r="H37" s="10">
        <v>7.2999999999999999E-5</v>
      </c>
      <c r="I37" s="10">
        <v>7.2999999999999999E-5</v>
      </c>
      <c r="J37" s="10">
        <v>7.2999999999999999E-5</v>
      </c>
      <c r="K37" s="10">
        <v>7.2999999999999999E-5</v>
      </c>
      <c r="L37" s="10">
        <v>7.2999999999999999E-5</v>
      </c>
      <c r="M37" s="10">
        <v>7.2999999999999999E-5</v>
      </c>
      <c r="N37" s="10">
        <v>7.2999999999999999E-5</v>
      </c>
      <c r="O37" s="10">
        <v>7.2999999999999999E-5</v>
      </c>
      <c r="P37" s="10">
        <v>7.2999999999999999E-5</v>
      </c>
      <c r="Q37" s="10">
        <v>7.2999999999999999E-5</v>
      </c>
      <c r="R37" s="10">
        <v>7.2999999999999999E-5</v>
      </c>
      <c r="S37" s="10">
        <v>7.2999999999999999E-5</v>
      </c>
      <c r="T37" s="10">
        <v>7.2999999999999999E-5</v>
      </c>
      <c r="U37" s="10">
        <v>7.2999999999999999E-5</v>
      </c>
      <c r="V37" s="10">
        <v>7.2999999999999999E-5</v>
      </c>
      <c r="W37" s="10">
        <v>7.2999999999999999E-5</v>
      </c>
      <c r="X37" s="10">
        <v>7.2999999999999999E-5</v>
      </c>
      <c r="Y37" s="10">
        <v>7.2999999999999999E-5</v>
      </c>
      <c r="Z37" s="10">
        <v>7.2999999999999999E-5</v>
      </c>
      <c r="AA37" s="10">
        <v>7.2999999999999999E-5</v>
      </c>
      <c r="AB37" s="10">
        <v>7.2999999999999999E-5</v>
      </c>
      <c r="AC37" s="10">
        <v>7.2999999999999999E-5</v>
      </c>
      <c r="AD37" s="10">
        <v>7.2999999999999999E-5</v>
      </c>
      <c r="AE37" s="10">
        <v>7.2999999999999999E-5</v>
      </c>
      <c r="AF37" s="10">
        <v>7.2999999999999999E-5</v>
      </c>
      <c r="AG37" s="10">
        <v>7.2999999999999999E-5</v>
      </c>
      <c r="AH37" s="10">
        <v>7.2999999999999999E-5</v>
      </c>
      <c r="AI37" s="10">
        <v>7.2999999999999999E-5</v>
      </c>
      <c r="AJ37" s="10">
        <v>7.2999999999999999E-5</v>
      </c>
      <c r="AK37" s="10">
        <v>7.2999999999999999E-5</v>
      </c>
      <c r="AL37" s="12">
        <v>7.2999999999999999E-5</v>
      </c>
      <c r="AM37" s="10">
        <v>7.2999999999999999E-5</v>
      </c>
      <c r="AN37" s="10">
        <v>7.2999999999999999E-5</v>
      </c>
      <c r="AO37" s="10">
        <v>7.2999999999999999E-5</v>
      </c>
      <c r="AP37" s="12">
        <v>7.2999999999999999E-5</v>
      </c>
      <c r="AQ37" s="10"/>
      <c r="AR37" s="10"/>
      <c r="AS37" s="10"/>
      <c r="AT37" s="10"/>
      <c r="AU37" s="10"/>
      <c r="AV37" s="10"/>
      <c r="AW37" s="10"/>
      <c r="AX37" s="10"/>
      <c r="AY37" s="10"/>
      <c r="AZ37" s="10"/>
      <c r="BA37" s="10"/>
      <c r="BB37" s="10"/>
      <c r="BC37" s="10"/>
      <c r="BD37" s="10"/>
      <c r="BE37" s="12"/>
      <c r="BF37" s="15"/>
      <c r="BG37" s="15"/>
      <c r="BH37" s="15"/>
      <c r="BI37" s="15"/>
      <c r="BJ37" s="15"/>
      <c r="BK37" s="15"/>
      <c r="BL37" s="15"/>
      <c r="BM37" s="15"/>
      <c r="BN37" s="15"/>
      <c r="BO37" s="20"/>
      <c r="BP37" s="15"/>
      <c r="BQ37" s="15"/>
      <c r="BR37" s="15"/>
      <c r="BS37" s="15"/>
      <c r="BT37" s="11">
        <v>4.6999999999999997E-8</v>
      </c>
      <c r="BU37" s="10">
        <v>4.6999999999999997E-8</v>
      </c>
      <c r="BV37" s="10">
        <v>4.6999999999999997E-8</v>
      </c>
      <c r="BW37" s="10">
        <v>4.6999999999999997E-8</v>
      </c>
      <c r="BX37" s="10">
        <v>4.6999999999999997E-8</v>
      </c>
      <c r="BY37" s="10">
        <v>4.6999999999999997E-8</v>
      </c>
      <c r="BZ37" s="10">
        <v>4.6999999999999997E-8</v>
      </c>
      <c r="CA37" s="10">
        <v>4.6999999999999997E-8</v>
      </c>
      <c r="CB37" s="10">
        <v>4.6999999999999997E-8</v>
      </c>
      <c r="CC37" s="10">
        <v>4.6999999999999997E-8</v>
      </c>
      <c r="CD37" s="10">
        <v>4.6999999999999997E-8</v>
      </c>
      <c r="CE37" s="10">
        <v>4.6999999999999997E-8</v>
      </c>
      <c r="CF37" s="10">
        <v>4.6999999999999997E-8</v>
      </c>
      <c r="CG37" s="10">
        <v>4.6999999999999997E-8</v>
      </c>
      <c r="CH37" s="9">
        <v>4.6999999999999997E-8</v>
      </c>
    </row>
    <row r="38" spans="1:86">
      <c r="A38" s="13" t="s">
        <v>561</v>
      </c>
      <c r="B38" s="10">
        <v>3.8999999999999999E-5</v>
      </c>
      <c r="C38" s="10">
        <v>3.8999999999999999E-5</v>
      </c>
      <c r="D38" s="10">
        <v>3.8999999999999999E-5</v>
      </c>
      <c r="E38" s="10">
        <v>3.8999999999999999E-5</v>
      </c>
      <c r="F38" s="10">
        <v>3.8999999999999999E-5</v>
      </c>
      <c r="G38" s="10">
        <v>3.8999999999999999E-5</v>
      </c>
      <c r="H38" s="10">
        <v>3.8999999999999999E-5</v>
      </c>
      <c r="I38" s="10">
        <v>3.8999999999999999E-5</v>
      </c>
      <c r="J38" s="10">
        <v>3.8999999999999999E-5</v>
      </c>
      <c r="K38" s="10">
        <v>3.8999999999999999E-5</v>
      </c>
      <c r="L38" s="10">
        <v>3.8999999999999999E-5</v>
      </c>
      <c r="M38" s="10">
        <v>3.8999999999999999E-5</v>
      </c>
      <c r="N38" s="10">
        <v>3.8999999999999999E-5</v>
      </c>
      <c r="O38" s="10">
        <v>3.8999999999999999E-5</v>
      </c>
      <c r="P38" s="10">
        <v>3.8999999999999999E-5</v>
      </c>
      <c r="Q38" s="10">
        <v>3.8999999999999999E-5</v>
      </c>
      <c r="R38" s="10">
        <v>3.8999999999999999E-5</v>
      </c>
      <c r="S38" s="10">
        <v>3.8999999999999999E-5</v>
      </c>
      <c r="T38" s="10">
        <v>3.8999999999999999E-5</v>
      </c>
      <c r="U38" s="10">
        <v>3.8999999999999999E-5</v>
      </c>
      <c r="V38" s="10">
        <v>3.8999999999999999E-5</v>
      </c>
      <c r="W38" s="10">
        <v>3.8999999999999999E-5</v>
      </c>
      <c r="X38" s="10">
        <v>3.8999999999999999E-5</v>
      </c>
      <c r="Y38" s="10">
        <v>3.8999999999999999E-5</v>
      </c>
      <c r="Z38" s="10">
        <v>3.8999999999999999E-5</v>
      </c>
      <c r="AA38" s="10">
        <v>3.8999999999999999E-5</v>
      </c>
      <c r="AB38" s="10">
        <v>3.8999999999999999E-5</v>
      </c>
      <c r="AC38" s="10">
        <v>3.8999999999999999E-5</v>
      </c>
      <c r="AD38" s="10">
        <v>3.8999999999999999E-5</v>
      </c>
      <c r="AE38" s="10">
        <v>3.8999999999999999E-5</v>
      </c>
      <c r="AF38" s="10">
        <v>3.8999999999999999E-5</v>
      </c>
      <c r="AG38" s="10">
        <v>3.8999999999999999E-5</v>
      </c>
      <c r="AH38" s="10">
        <v>3.8999999999999999E-5</v>
      </c>
      <c r="AI38" s="10">
        <v>3.8999999999999999E-5</v>
      </c>
      <c r="AJ38" s="10">
        <v>3.8999999999999999E-5</v>
      </c>
      <c r="AK38" s="10">
        <v>3.8999999999999999E-5</v>
      </c>
      <c r="AL38" s="12">
        <v>3.8999999999999999E-5</v>
      </c>
      <c r="AM38" s="10">
        <v>3.8999999999999999E-5</v>
      </c>
      <c r="AN38" s="10">
        <v>3.8999999999999999E-5</v>
      </c>
      <c r="AO38" s="10">
        <v>3.8999999999999999E-5</v>
      </c>
      <c r="AP38" s="12">
        <v>3.8999999999999999E-5</v>
      </c>
      <c r="AQ38" s="10"/>
      <c r="AR38" s="10"/>
      <c r="AS38" s="10"/>
      <c r="AT38" s="10"/>
      <c r="AU38" s="10"/>
      <c r="AV38" s="10"/>
      <c r="AW38" s="10"/>
      <c r="AX38" s="10"/>
      <c r="AY38" s="10"/>
      <c r="AZ38" s="10"/>
      <c r="BA38" s="10"/>
      <c r="BB38" s="10"/>
      <c r="BC38" s="10"/>
      <c r="BD38" s="10"/>
      <c r="BE38" s="12"/>
      <c r="BF38" s="15"/>
      <c r="BG38" s="15"/>
      <c r="BH38" s="15"/>
      <c r="BI38" s="15"/>
      <c r="BJ38" s="15"/>
      <c r="BK38" s="15"/>
      <c r="BL38" s="15"/>
      <c r="BM38" s="15"/>
      <c r="BN38" s="15"/>
      <c r="BO38" s="20"/>
      <c r="BP38" s="15"/>
      <c r="BQ38" s="15"/>
      <c r="BR38" s="15"/>
      <c r="BS38" s="15"/>
      <c r="BT38" s="11"/>
      <c r="BU38" s="10"/>
      <c r="BV38" s="10"/>
      <c r="BW38" s="10"/>
      <c r="BX38" s="10"/>
      <c r="BY38" s="10"/>
      <c r="BZ38" s="10"/>
      <c r="CA38" s="10"/>
      <c r="CB38" s="10"/>
      <c r="CC38" s="10"/>
      <c r="CD38" s="10"/>
      <c r="CE38" s="10"/>
      <c r="CF38" s="10"/>
      <c r="CG38" s="10"/>
      <c r="CH38" s="9"/>
    </row>
    <row r="39" spans="1:86">
      <c r="A39" s="13" t="s">
        <v>562</v>
      </c>
      <c r="B39" s="10">
        <v>1.6000000000000001E-4</v>
      </c>
      <c r="C39" s="10">
        <v>1.6000000000000001E-4</v>
      </c>
      <c r="D39" s="10">
        <v>1.6000000000000001E-4</v>
      </c>
      <c r="E39" s="10">
        <v>1.6000000000000001E-4</v>
      </c>
      <c r="F39" s="10">
        <v>1.6000000000000001E-4</v>
      </c>
      <c r="G39" s="10">
        <v>1.6000000000000001E-4</v>
      </c>
      <c r="H39" s="10">
        <v>1.6000000000000001E-4</v>
      </c>
      <c r="I39" s="10">
        <v>1.6000000000000001E-4</v>
      </c>
      <c r="J39" s="10">
        <v>1.6000000000000001E-4</v>
      </c>
      <c r="K39" s="10">
        <v>1.6000000000000001E-4</v>
      </c>
      <c r="L39" s="10">
        <v>1.6000000000000001E-4</v>
      </c>
      <c r="M39" s="10">
        <v>1.6000000000000001E-4</v>
      </c>
      <c r="N39" s="10">
        <v>1.6000000000000001E-4</v>
      </c>
      <c r="O39" s="10">
        <v>1.6000000000000001E-4</v>
      </c>
      <c r="P39" s="10">
        <v>1.6000000000000001E-4</v>
      </c>
      <c r="Q39" s="10">
        <v>1.6000000000000001E-4</v>
      </c>
      <c r="R39" s="10">
        <v>1.6000000000000001E-4</v>
      </c>
      <c r="S39" s="10">
        <v>1.6000000000000001E-4</v>
      </c>
      <c r="T39" s="10">
        <v>1.6000000000000001E-4</v>
      </c>
      <c r="U39" s="10">
        <v>1.6000000000000001E-4</v>
      </c>
      <c r="V39" s="10">
        <v>1.6000000000000001E-4</v>
      </c>
      <c r="W39" s="10">
        <v>1.6000000000000001E-4</v>
      </c>
      <c r="X39" s="10">
        <v>1.6000000000000001E-4</v>
      </c>
      <c r="Y39" s="10">
        <v>1.6000000000000001E-4</v>
      </c>
      <c r="Z39" s="10">
        <v>1.6000000000000001E-4</v>
      </c>
      <c r="AA39" s="10">
        <v>1.6000000000000001E-4</v>
      </c>
      <c r="AB39" s="10">
        <v>1.6000000000000001E-4</v>
      </c>
      <c r="AC39" s="10">
        <v>1.6000000000000001E-4</v>
      </c>
      <c r="AD39" s="10">
        <v>1.6000000000000001E-4</v>
      </c>
      <c r="AE39" s="10">
        <v>1.6000000000000001E-4</v>
      </c>
      <c r="AF39" s="10">
        <v>1.6000000000000001E-4</v>
      </c>
      <c r="AG39" s="10">
        <v>1.6000000000000001E-4</v>
      </c>
      <c r="AH39" s="10">
        <v>1.6000000000000001E-4</v>
      </c>
      <c r="AI39" s="10">
        <v>1.6000000000000001E-4</v>
      </c>
      <c r="AJ39" s="10">
        <v>1.6000000000000001E-4</v>
      </c>
      <c r="AK39" s="10">
        <v>1.6000000000000001E-4</v>
      </c>
      <c r="AL39" s="12">
        <v>1.6000000000000001E-4</v>
      </c>
      <c r="AM39" s="10">
        <v>1.6000000000000001E-4</v>
      </c>
      <c r="AN39" s="10">
        <v>1.6000000000000001E-4</v>
      </c>
      <c r="AO39" s="10">
        <v>1.6000000000000001E-4</v>
      </c>
      <c r="AP39" s="12">
        <v>1.6000000000000001E-4</v>
      </c>
      <c r="AQ39" s="10"/>
      <c r="AR39" s="10"/>
      <c r="AS39" s="10"/>
      <c r="AT39" s="10"/>
      <c r="AU39" s="10"/>
      <c r="AV39" s="10"/>
      <c r="AW39" s="10"/>
      <c r="AX39" s="10"/>
      <c r="AY39" s="10"/>
      <c r="AZ39" s="10"/>
      <c r="BA39" s="10"/>
      <c r="BB39" s="10"/>
      <c r="BC39" s="10"/>
      <c r="BD39" s="10"/>
      <c r="BE39" s="12"/>
      <c r="BF39" s="15"/>
      <c r="BG39" s="15"/>
      <c r="BH39" s="15"/>
      <c r="BI39" s="15"/>
      <c r="BJ39" s="15"/>
      <c r="BK39" s="15"/>
      <c r="BL39" s="15"/>
      <c r="BM39" s="15"/>
      <c r="BN39" s="15"/>
      <c r="BO39" s="20"/>
      <c r="BP39" s="15"/>
      <c r="BQ39" s="15"/>
      <c r="BR39" s="15"/>
      <c r="BS39" s="15"/>
      <c r="BT39" s="11">
        <v>1.5E-5</v>
      </c>
      <c r="BU39" s="10">
        <v>1.5E-5</v>
      </c>
      <c r="BV39" s="10">
        <v>1.5E-5</v>
      </c>
      <c r="BW39" s="10">
        <v>1.5E-5</v>
      </c>
      <c r="BX39" s="10">
        <v>1.5E-5</v>
      </c>
      <c r="BY39" s="10">
        <v>1.5E-5</v>
      </c>
      <c r="BZ39" s="10">
        <v>1.5E-5</v>
      </c>
      <c r="CA39" s="10">
        <v>1.5E-5</v>
      </c>
      <c r="CB39" s="10">
        <v>1.5E-5</v>
      </c>
      <c r="CC39" s="10">
        <v>1.5E-5</v>
      </c>
      <c r="CD39" s="10">
        <v>1.5E-5</v>
      </c>
      <c r="CE39" s="10">
        <v>1.5E-5</v>
      </c>
      <c r="CF39" s="10">
        <v>1.5E-5</v>
      </c>
      <c r="CG39" s="10">
        <v>1.5E-5</v>
      </c>
      <c r="CH39" s="9">
        <v>1.5E-5</v>
      </c>
    </row>
    <row r="40" spans="1:86">
      <c r="A40" s="13" t="s">
        <v>93</v>
      </c>
      <c r="B40" s="10">
        <f t="shared" ref="B40:AL40" si="9">0.000051/(1-99.2%)</f>
        <v>6.3749999999999944E-3</v>
      </c>
      <c r="C40" s="10">
        <f t="shared" si="9"/>
        <v>6.3749999999999944E-3</v>
      </c>
      <c r="D40" s="10">
        <f t="shared" si="9"/>
        <v>6.3749999999999944E-3</v>
      </c>
      <c r="E40" s="10">
        <f t="shared" si="9"/>
        <v>6.3749999999999944E-3</v>
      </c>
      <c r="F40" s="10">
        <f t="shared" si="9"/>
        <v>6.3749999999999944E-3</v>
      </c>
      <c r="G40" s="10">
        <f t="shared" si="9"/>
        <v>6.3749999999999944E-3</v>
      </c>
      <c r="H40" s="10">
        <f t="shared" si="9"/>
        <v>6.3749999999999944E-3</v>
      </c>
      <c r="I40" s="10">
        <f t="shared" si="9"/>
        <v>6.3749999999999944E-3</v>
      </c>
      <c r="J40" s="10">
        <f t="shared" si="9"/>
        <v>6.3749999999999944E-3</v>
      </c>
      <c r="K40" s="10">
        <f t="shared" si="9"/>
        <v>6.3749999999999944E-3</v>
      </c>
      <c r="L40" s="10">
        <f t="shared" si="9"/>
        <v>6.3749999999999944E-3</v>
      </c>
      <c r="M40" s="10">
        <f t="shared" si="9"/>
        <v>6.3749999999999944E-3</v>
      </c>
      <c r="N40" s="10">
        <f t="shared" si="9"/>
        <v>6.3749999999999944E-3</v>
      </c>
      <c r="O40" s="10">
        <f t="shared" si="9"/>
        <v>6.3749999999999944E-3</v>
      </c>
      <c r="P40" s="10">
        <f t="shared" si="9"/>
        <v>6.3749999999999944E-3</v>
      </c>
      <c r="Q40" s="10">
        <f t="shared" si="9"/>
        <v>6.3749999999999944E-3</v>
      </c>
      <c r="R40" s="10">
        <f t="shared" si="9"/>
        <v>6.3749999999999944E-3</v>
      </c>
      <c r="S40" s="10">
        <f t="shared" si="9"/>
        <v>6.3749999999999944E-3</v>
      </c>
      <c r="T40" s="10">
        <f t="shared" si="9"/>
        <v>6.3749999999999944E-3</v>
      </c>
      <c r="U40" s="10">
        <f t="shared" si="9"/>
        <v>6.3749999999999944E-3</v>
      </c>
      <c r="V40" s="10">
        <f t="shared" si="9"/>
        <v>6.3749999999999944E-3</v>
      </c>
      <c r="W40" s="10">
        <f t="shared" si="9"/>
        <v>6.3749999999999944E-3</v>
      </c>
      <c r="X40" s="10">
        <f t="shared" si="9"/>
        <v>6.3749999999999944E-3</v>
      </c>
      <c r="Y40" s="10">
        <f t="shared" si="9"/>
        <v>6.3749999999999944E-3</v>
      </c>
      <c r="Z40" s="10">
        <f t="shared" si="9"/>
        <v>6.3749999999999944E-3</v>
      </c>
      <c r="AA40" s="10">
        <f t="shared" si="9"/>
        <v>6.3749999999999944E-3</v>
      </c>
      <c r="AB40" s="10">
        <f t="shared" si="9"/>
        <v>6.3749999999999944E-3</v>
      </c>
      <c r="AC40" s="10">
        <f t="shared" si="9"/>
        <v>6.3749999999999944E-3</v>
      </c>
      <c r="AD40" s="10">
        <f t="shared" si="9"/>
        <v>6.3749999999999944E-3</v>
      </c>
      <c r="AE40" s="10">
        <f t="shared" si="9"/>
        <v>6.3749999999999944E-3</v>
      </c>
      <c r="AF40" s="10">
        <f t="shared" si="9"/>
        <v>6.3749999999999944E-3</v>
      </c>
      <c r="AG40" s="10">
        <f t="shared" si="9"/>
        <v>6.3749999999999944E-3</v>
      </c>
      <c r="AH40" s="10">
        <f t="shared" si="9"/>
        <v>6.3749999999999944E-3</v>
      </c>
      <c r="AI40" s="10">
        <f t="shared" si="9"/>
        <v>6.3749999999999944E-3</v>
      </c>
      <c r="AJ40" s="10">
        <f t="shared" si="9"/>
        <v>6.3749999999999944E-3</v>
      </c>
      <c r="AK40" s="10">
        <f t="shared" si="9"/>
        <v>6.3749999999999944E-3</v>
      </c>
      <c r="AL40" s="12">
        <f t="shared" si="9"/>
        <v>6.3749999999999944E-3</v>
      </c>
      <c r="AM40" s="10">
        <v>7.1000000000000005E-5</v>
      </c>
      <c r="AN40" s="10">
        <f>0.000051/(1-99.2%)</f>
        <v>6.3749999999999944E-3</v>
      </c>
      <c r="AO40" s="10">
        <f>0.000051/(1-99.2%)</f>
        <v>6.3749999999999944E-3</v>
      </c>
      <c r="AP40" s="12">
        <f>0.000051/(1-99.2%)</f>
        <v>6.3749999999999944E-3</v>
      </c>
      <c r="AQ40" s="10">
        <v>3.9800000000000002E-4</v>
      </c>
      <c r="AR40" s="10">
        <v>3.9800000000000002E-4</v>
      </c>
      <c r="AS40" s="10">
        <v>3.9800000000000002E-4</v>
      </c>
      <c r="AT40" s="10">
        <v>3.9800000000000002E-4</v>
      </c>
      <c r="AU40" s="10">
        <v>3E-9</v>
      </c>
      <c r="AV40" s="10">
        <v>3E-9</v>
      </c>
      <c r="AW40" s="10">
        <v>3E-9</v>
      </c>
      <c r="AX40" s="10">
        <v>3E-9</v>
      </c>
      <c r="AY40" s="10">
        <v>3E-9</v>
      </c>
      <c r="AZ40" s="10">
        <v>3E-9</v>
      </c>
      <c r="BA40" s="10">
        <v>3.9800000000000002E-4</v>
      </c>
      <c r="BB40" s="10">
        <v>3E-9</v>
      </c>
      <c r="BC40" s="10">
        <v>3E-9</v>
      </c>
      <c r="BD40" s="10">
        <v>3E-9</v>
      </c>
      <c r="BE40" s="12">
        <v>3E-9</v>
      </c>
      <c r="BF40" s="10">
        <v>1.1000000000000001E-3</v>
      </c>
      <c r="BG40" s="10">
        <v>1.1000000000000001E-3</v>
      </c>
      <c r="BH40" s="10">
        <v>1.1000000000000001E-3</v>
      </c>
      <c r="BI40" s="10">
        <v>1.1000000000000001E-3</v>
      </c>
      <c r="BJ40" s="10">
        <v>1.1000000000000001E-3</v>
      </c>
      <c r="BK40" s="10">
        <v>1.1000000000000001E-3</v>
      </c>
      <c r="BL40" s="10">
        <v>1.1000000000000001E-3</v>
      </c>
      <c r="BM40" s="10">
        <v>1.1000000000000001E-3</v>
      </c>
      <c r="BN40" s="10">
        <v>1.1000000000000001E-3</v>
      </c>
      <c r="BO40" s="12">
        <v>1.1000000000000001E-3</v>
      </c>
      <c r="BP40" s="10">
        <v>1.1000000000000001E-3</v>
      </c>
      <c r="BQ40" s="10">
        <v>1.1000000000000001E-3</v>
      </c>
      <c r="BR40" s="10">
        <v>1.1000000000000001E-3</v>
      </c>
      <c r="BS40" s="10">
        <v>1.1000000000000001E-3</v>
      </c>
      <c r="BT40" s="11">
        <v>4.0999999999999997E-6</v>
      </c>
      <c r="BU40" s="10">
        <v>4.0999999999999997E-6</v>
      </c>
      <c r="BV40" s="10">
        <v>4.0999999999999997E-6</v>
      </c>
      <c r="BW40" s="10">
        <v>4.0999999999999997E-6</v>
      </c>
      <c r="BX40" s="10">
        <v>4.0999999999999997E-6</v>
      </c>
      <c r="BY40" s="10">
        <v>4.0999999999999997E-6</v>
      </c>
      <c r="BZ40" s="10">
        <v>4.0999999999999997E-6</v>
      </c>
      <c r="CA40" s="10">
        <v>4.0999999999999997E-6</v>
      </c>
      <c r="CB40" s="10">
        <v>4.0999999999999997E-6</v>
      </c>
      <c r="CC40" s="10">
        <v>4.0999999999999997E-6</v>
      </c>
      <c r="CD40" s="10">
        <v>4.0999999999999997E-6</v>
      </c>
      <c r="CE40" s="10">
        <v>4.0999999999999997E-6</v>
      </c>
      <c r="CF40" s="10">
        <v>4.0999999999999997E-6</v>
      </c>
      <c r="CG40" s="10">
        <v>4.0999999999999997E-6</v>
      </c>
      <c r="CH40" s="9">
        <v>4.0999999999999997E-6</v>
      </c>
    </row>
    <row r="41" spans="1:86">
      <c r="A41" s="13" t="s">
        <v>563</v>
      </c>
      <c r="B41" s="10">
        <v>1.2999999999999999E-4</v>
      </c>
      <c r="C41" s="10">
        <v>1.2999999999999999E-4</v>
      </c>
      <c r="D41" s="10">
        <v>1.2999999999999999E-4</v>
      </c>
      <c r="E41" s="10">
        <v>1.2999999999999999E-4</v>
      </c>
      <c r="F41" s="10">
        <v>1.2999999999999999E-4</v>
      </c>
      <c r="G41" s="10">
        <v>1.2999999999999999E-4</v>
      </c>
      <c r="H41" s="10">
        <v>1.2999999999999999E-4</v>
      </c>
      <c r="I41" s="10">
        <v>1.2999999999999999E-4</v>
      </c>
      <c r="J41" s="10">
        <v>1.2999999999999999E-4</v>
      </c>
      <c r="K41" s="10">
        <v>1.2999999999999999E-4</v>
      </c>
      <c r="L41" s="10">
        <v>1.2999999999999999E-4</v>
      </c>
      <c r="M41" s="10">
        <v>1.2999999999999999E-4</v>
      </c>
      <c r="N41" s="10">
        <v>1.2999999999999999E-4</v>
      </c>
      <c r="O41" s="10">
        <v>1.2999999999999999E-4</v>
      </c>
      <c r="P41" s="10">
        <v>1.2999999999999999E-4</v>
      </c>
      <c r="Q41" s="10">
        <v>1.2999999999999999E-4</v>
      </c>
      <c r="R41" s="10">
        <v>1.2999999999999999E-4</v>
      </c>
      <c r="S41" s="10">
        <v>1.2999999999999999E-4</v>
      </c>
      <c r="T41" s="10">
        <v>1.2999999999999999E-4</v>
      </c>
      <c r="U41" s="10">
        <v>1.2999999999999999E-4</v>
      </c>
      <c r="V41" s="10">
        <v>1.2999999999999999E-4</v>
      </c>
      <c r="W41" s="10">
        <v>1.2999999999999999E-4</v>
      </c>
      <c r="X41" s="10">
        <v>1.2999999999999999E-4</v>
      </c>
      <c r="Y41" s="10">
        <v>1.2999999999999999E-4</v>
      </c>
      <c r="Z41" s="10">
        <v>1.2999999999999999E-4</v>
      </c>
      <c r="AA41" s="10">
        <v>1.2999999999999999E-4</v>
      </c>
      <c r="AB41" s="10">
        <v>1.2999999999999999E-4</v>
      </c>
      <c r="AC41" s="10">
        <v>1.2999999999999999E-4</v>
      </c>
      <c r="AD41" s="10">
        <v>1.2999999999999999E-4</v>
      </c>
      <c r="AE41" s="10">
        <v>1.2999999999999999E-4</v>
      </c>
      <c r="AF41" s="10">
        <v>1.2999999999999999E-4</v>
      </c>
      <c r="AG41" s="10">
        <v>1.2999999999999999E-4</v>
      </c>
      <c r="AH41" s="10">
        <v>1.2999999999999999E-4</v>
      </c>
      <c r="AI41" s="10">
        <v>1.2999999999999999E-4</v>
      </c>
      <c r="AJ41" s="10">
        <v>1.2999999999999999E-4</v>
      </c>
      <c r="AK41" s="10">
        <v>1.2999999999999999E-4</v>
      </c>
      <c r="AL41" s="12">
        <v>1.2999999999999999E-4</v>
      </c>
      <c r="AM41" s="10">
        <v>1.2999999999999999E-4</v>
      </c>
      <c r="AN41" s="10">
        <v>1.2999999999999999E-4</v>
      </c>
      <c r="AO41" s="10">
        <v>1.2999999999999999E-4</v>
      </c>
      <c r="AP41" s="12">
        <v>1.2999999999999999E-4</v>
      </c>
      <c r="AQ41" s="10"/>
      <c r="AR41" s="10"/>
      <c r="AS41" s="10"/>
      <c r="AT41" s="10"/>
      <c r="AU41" s="10"/>
      <c r="AV41" s="10"/>
      <c r="AW41" s="10"/>
      <c r="AX41" s="10"/>
      <c r="AY41" s="10"/>
      <c r="AZ41" s="10"/>
      <c r="BA41" s="10"/>
      <c r="BB41" s="10"/>
      <c r="BC41" s="10"/>
      <c r="BD41" s="10"/>
      <c r="BE41" s="12"/>
      <c r="BF41" s="15"/>
      <c r="BG41" s="15"/>
      <c r="BH41" s="15"/>
      <c r="BI41" s="15"/>
      <c r="BJ41" s="15"/>
      <c r="BK41" s="15"/>
      <c r="BL41" s="15"/>
      <c r="BM41" s="15"/>
      <c r="BN41" s="15"/>
      <c r="BO41" s="20"/>
      <c r="BP41" s="15"/>
      <c r="BQ41" s="15"/>
      <c r="BR41" s="15"/>
      <c r="BS41" s="15"/>
      <c r="BT41" s="11"/>
      <c r="BU41" s="10"/>
      <c r="BV41" s="10"/>
      <c r="BW41" s="10"/>
      <c r="BX41" s="10"/>
      <c r="BY41" s="10"/>
      <c r="BZ41" s="10"/>
      <c r="CA41" s="10"/>
      <c r="CB41" s="10"/>
      <c r="CC41" s="10"/>
      <c r="CD41" s="10"/>
      <c r="CE41" s="10"/>
      <c r="CF41" s="10"/>
      <c r="CG41" s="10"/>
      <c r="CH41" s="9"/>
    </row>
    <row r="42" spans="1:86">
      <c r="A42" s="13" t="s">
        <v>564</v>
      </c>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2"/>
      <c r="AM42" s="10"/>
      <c r="AN42" s="10"/>
      <c r="AO42" s="10"/>
      <c r="AP42" s="12"/>
      <c r="AQ42" s="10"/>
      <c r="AR42" s="10"/>
      <c r="AS42" s="10"/>
      <c r="AT42" s="10"/>
      <c r="AU42" s="10"/>
      <c r="AV42" s="10"/>
      <c r="AW42" s="10"/>
      <c r="AX42" s="10"/>
      <c r="AY42" s="10"/>
      <c r="AZ42" s="10"/>
      <c r="BA42" s="10"/>
      <c r="BB42" s="10"/>
      <c r="BC42" s="10"/>
      <c r="BD42" s="10"/>
      <c r="BE42" s="12"/>
      <c r="BF42" s="15"/>
      <c r="BG42" s="15"/>
      <c r="BH42" s="15"/>
      <c r="BI42" s="15"/>
      <c r="BJ42" s="15"/>
      <c r="BK42" s="15"/>
      <c r="BL42" s="15"/>
      <c r="BM42" s="15"/>
      <c r="BN42" s="15"/>
      <c r="BO42" s="20"/>
      <c r="BP42" s="15"/>
      <c r="BQ42" s="15"/>
      <c r="BR42" s="15"/>
      <c r="BS42" s="15"/>
      <c r="BT42" s="11">
        <v>4.5000000000000003E-5</v>
      </c>
      <c r="BU42" s="10">
        <v>4.5000000000000003E-5</v>
      </c>
      <c r="BV42" s="10">
        <v>4.5000000000000003E-5</v>
      </c>
      <c r="BW42" s="10">
        <v>4.5000000000000003E-5</v>
      </c>
      <c r="BX42" s="10">
        <v>4.5000000000000003E-5</v>
      </c>
      <c r="BY42" s="10">
        <v>4.5000000000000003E-5</v>
      </c>
      <c r="BZ42" s="10">
        <v>4.5000000000000003E-5</v>
      </c>
      <c r="CA42" s="10">
        <v>4.5000000000000003E-5</v>
      </c>
      <c r="CB42" s="10">
        <v>4.5000000000000003E-5</v>
      </c>
      <c r="CC42" s="10">
        <v>4.5000000000000003E-5</v>
      </c>
      <c r="CD42" s="10">
        <v>4.5000000000000003E-5</v>
      </c>
      <c r="CE42" s="10">
        <v>4.5000000000000003E-5</v>
      </c>
      <c r="CF42" s="10">
        <v>4.5000000000000003E-5</v>
      </c>
      <c r="CG42" s="10">
        <v>4.5000000000000003E-5</v>
      </c>
      <c r="CH42" s="9">
        <v>4.5000000000000003E-5</v>
      </c>
    </row>
    <row r="43" spans="1:86">
      <c r="A43" s="13" t="s">
        <v>565</v>
      </c>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2"/>
      <c r="AM43" s="10"/>
      <c r="AN43" s="10"/>
      <c r="AO43" s="10"/>
      <c r="AP43" s="12"/>
      <c r="AQ43" s="10">
        <v>0.34699999999999998</v>
      </c>
      <c r="AR43" s="10">
        <v>0.34699999999999998</v>
      </c>
      <c r="AS43" s="10">
        <v>0.34699999999999998</v>
      </c>
      <c r="AT43" s="10">
        <v>0.34699999999999998</v>
      </c>
      <c r="AU43" s="10"/>
      <c r="AV43" s="10"/>
      <c r="AW43" s="10"/>
      <c r="AX43" s="10"/>
      <c r="AY43" s="10"/>
      <c r="AZ43" s="10"/>
      <c r="BA43" s="10"/>
      <c r="BB43" s="10"/>
      <c r="BC43" s="10"/>
      <c r="BD43" s="10"/>
      <c r="BE43" s="12"/>
      <c r="BF43" s="15"/>
      <c r="BG43" s="15"/>
      <c r="BH43" s="15"/>
      <c r="BI43" s="15"/>
      <c r="BJ43" s="15"/>
      <c r="BK43" s="15"/>
      <c r="BL43" s="15"/>
      <c r="BM43" s="15"/>
      <c r="BN43" s="15"/>
      <c r="BO43" s="20"/>
      <c r="BP43" s="15"/>
      <c r="BQ43" s="15"/>
      <c r="BR43" s="15"/>
      <c r="BS43" s="15"/>
      <c r="BT43" s="11">
        <v>7.9000000000000001E-4</v>
      </c>
      <c r="BU43" s="10">
        <v>7.9000000000000001E-4</v>
      </c>
      <c r="BV43" s="10">
        <v>7.9000000000000001E-4</v>
      </c>
      <c r="BW43" s="10">
        <v>7.9000000000000001E-4</v>
      </c>
      <c r="BX43" s="10">
        <v>7.9000000000000001E-4</v>
      </c>
      <c r="BY43" s="10">
        <v>7.9000000000000001E-4</v>
      </c>
      <c r="BZ43" s="10">
        <v>7.9000000000000001E-4</v>
      </c>
      <c r="CA43" s="10">
        <v>7.9000000000000001E-4</v>
      </c>
      <c r="CB43" s="10">
        <v>7.9000000000000001E-4</v>
      </c>
      <c r="CC43" s="10">
        <v>7.9000000000000001E-4</v>
      </c>
      <c r="CD43" s="10">
        <v>7.9000000000000001E-4</v>
      </c>
      <c r="CE43" s="10">
        <v>7.9000000000000001E-4</v>
      </c>
      <c r="CF43" s="10">
        <v>7.9000000000000001E-4</v>
      </c>
      <c r="CG43" s="10">
        <v>7.9000000000000001E-4</v>
      </c>
      <c r="CH43" s="9">
        <v>7.9000000000000001E-4</v>
      </c>
    </row>
    <row r="44" spans="1:86">
      <c r="A44" s="13" t="s">
        <v>566</v>
      </c>
      <c r="B44" s="10">
        <v>2.1999999999999999E-5</v>
      </c>
      <c r="C44" s="10">
        <v>2.1999999999999999E-5</v>
      </c>
      <c r="D44" s="10">
        <v>2.1999999999999999E-5</v>
      </c>
      <c r="E44" s="10">
        <v>2.1999999999999999E-5</v>
      </c>
      <c r="F44" s="10">
        <v>2.1999999999999999E-5</v>
      </c>
      <c r="G44" s="10">
        <v>2.1999999999999999E-5</v>
      </c>
      <c r="H44" s="10">
        <v>2.1999999999999999E-5</v>
      </c>
      <c r="I44" s="10">
        <v>2.1999999999999999E-5</v>
      </c>
      <c r="J44" s="10">
        <v>2.1999999999999999E-5</v>
      </c>
      <c r="K44" s="10">
        <v>2.1999999999999999E-5</v>
      </c>
      <c r="L44" s="10">
        <v>2.1999999999999999E-5</v>
      </c>
      <c r="M44" s="10">
        <v>2.1999999999999999E-5</v>
      </c>
      <c r="N44" s="10">
        <v>2.1999999999999999E-5</v>
      </c>
      <c r="O44" s="10">
        <v>2.1999999999999999E-5</v>
      </c>
      <c r="P44" s="10">
        <v>2.1999999999999999E-5</v>
      </c>
      <c r="Q44" s="10">
        <v>2.1999999999999999E-5</v>
      </c>
      <c r="R44" s="10">
        <v>2.1999999999999999E-5</v>
      </c>
      <c r="S44" s="10">
        <v>2.1999999999999999E-5</v>
      </c>
      <c r="T44" s="10">
        <v>2.1999999999999999E-5</v>
      </c>
      <c r="U44" s="10">
        <v>2.1999999999999999E-5</v>
      </c>
      <c r="V44" s="10">
        <v>2.1999999999999999E-5</v>
      </c>
      <c r="W44" s="10">
        <v>2.1999999999999999E-5</v>
      </c>
      <c r="X44" s="10">
        <v>2.1999999999999999E-5</v>
      </c>
      <c r="Y44" s="10">
        <v>2.1999999999999999E-5</v>
      </c>
      <c r="Z44" s="10">
        <v>2.1999999999999999E-5</v>
      </c>
      <c r="AA44" s="10">
        <v>2.1999999999999999E-5</v>
      </c>
      <c r="AB44" s="10">
        <v>2.1999999999999999E-5</v>
      </c>
      <c r="AC44" s="10">
        <v>2.1999999999999999E-5</v>
      </c>
      <c r="AD44" s="10">
        <v>2.1999999999999999E-5</v>
      </c>
      <c r="AE44" s="10">
        <v>2.1999999999999999E-5</v>
      </c>
      <c r="AF44" s="10">
        <v>2.1999999999999999E-5</v>
      </c>
      <c r="AG44" s="10">
        <v>2.1999999999999999E-5</v>
      </c>
      <c r="AH44" s="10">
        <v>2.1999999999999999E-5</v>
      </c>
      <c r="AI44" s="10">
        <v>2.1999999999999999E-5</v>
      </c>
      <c r="AJ44" s="10">
        <v>2.1999999999999999E-5</v>
      </c>
      <c r="AK44" s="10">
        <v>2.1999999999999999E-5</v>
      </c>
      <c r="AL44" s="12">
        <v>2.1999999999999999E-5</v>
      </c>
      <c r="AM44" s="10">
        <v>2.1999999999999999E-5</v>
      </c>
      <c r="AN44" s="10">
        <v>2.1999999999999999E-5</v>
      </c>
      <c r="AO44" s="10">
        <v>2.1999999999999999E-5</v>
      </c>
      <c r="AP44" s="12">
        <v>2.1999999999999999E-5</v>
      </c>
      <c r="AQ44" s="10"/>
      <c r="AR44" s="10"/>
      <c r="AS44" s="10"/>
      <c r="AT44" s="10"/>
      <c r="AU44" s="10"/>
      <c r="AV44" s="10"/>
      <c r="AW44" s="10"/>
      <c r="AX44" s="10"/>
      <c r="AY44" s="10"/>
      <c r="AZ44" s="10"/>
      <c r="BA44" s="10"/>
      <c r="BB44" s="10"/>
      <c r="BC44" s="10"/>
      <c r="BD44" s="10"/>
      <c r="BE44" s="12"/>
      <c r="BF44" s="15"/>
      <c r="BG44" s="15"/>
      <c r="BH44" s="15"/>
      <c r="BI44" s="15"/>
      <c r="BJ44" s="15"/>
      <c r="BK44" s="15"/>
      <c r="BL44" s="15"/>
      <c r="BM44" s="15"/>
      <c r="BN44" s="15"/>
      <c r="BO44" s="20"/>
      <c r="BP44" s="15"/>
      <c r="BQ44" s="15"/>
      <c r="BR44" s="15"/>
      <c r="BS44" s="15"/>
      <c r="BT44" s="11">
        <v>3.3000000000000003E-5</v>
      </c>
      <c r="BU44" s="10">
        <v>3.3000000000000003E-5</v>
      </c>
      <c r="BV44" s="10">
        <v>3.3000000000000003E-5</v>
      </c>
      <c r="BW44" s="10">
        <v>3.3000000000000003E-5</v>
      </c>
      <c r="BX44" s="10">
        <v>3.3000000000000003E-5</v>
      </c>
      <c r="BY44" s="10">
        <v>3.3000000000000003E-5</v>
      </c>
      <c r="BZ44" s="10">
        <v>3.3000000000000003E-5</v>
      </c>
      <c r="CA44" s="10">
        <v>3.3000000000000003E-5</v>
      </c>
      <c r="CB44" s="10">
        <v>3.3000000000000003E-5</v>
      </c>
      <c r="CC44" s="10">
        <v>3.3000000000000003E-5</v>
      </c>
      <c r="CD44" s="10">
        <v>3.3000000000000003E-5</v>
      </c>
      <c r="CE44" s="10">
        <v>3.3000000000000003E-5</v>
      </c>
      <c r="CF44" s="10">
        <v>3.3000000000000003E-5</v>
      </c>
      <c r="CG44" s="10">
        <v>3.3000000000000003E-5</v>
      </c>
      <c r="CH44" s="9">
        <v>3.3000000000000003E-5</v>
      </c>
    </row>
    <row r="45" spans="1:86">
      <c r="A45" s="13" t="s">
        <v>567</v>
      </c>
      <c r="B45" s="10">
        <v>4.1999999999999998E-5</v>
      </c>
      <c r="C45" s="10">
        <v>4.1999999999999998E-5</v>
      </c>
      <c r="D45" s="10">
        <v>4.1999999999999998E-5</v>
      </c>
      <c r="E45" s="10">
        <v>4.1999999999999998E-5</v>
      </c>
      <c r="F45" s="10">
        <v>4.1999999999999998E-5</v>
      </c>
      <c r="G45" s="10">
        <v>4.1999999999999998E-5</v>
      </c>
      <c r="H45" s="10">
        <v>4.1999999999999998E-5</v>
      </c>
      <c r="I45" s="10">
        <v>4.1999999999999998E-5</v>
      </c>
      <c r="J45" s="10">
        <v>4.1999999999999998E-5</v>
      </c>
      <c r="K45" s="10">
        <v>4.1999999999999998E-5</v>
      </c>
      <c r="L45" s="10">
        <v>4.1999999999999998E-5</v>
      </c>
      <c r="M45" s="10">
        <v>4.1999999999999998E-5</v>
      </c>
      <c r="N45" s="10">
        <v>4.1999999999999998E-5</v>
      </c>
      <c r="O45" s="10">
        <v>4.1999999999999998E-5</v>
      </c>
      <c r="P45" s="10">
        <v>4.1999999999999998E-5</v>
      </c>
      <c r="Q45" s="10">
        <v>4.1999999999999998E-5</v>
      </c>
      <c r="R45" s="10">
        <v>4.1999999999999998E-5</v>
      </c>
      <c r="S45" s="10">
        <v>4.1999999999999998E-5</v>
      </c>
      <c r="T45" s="10">
        <v>4.1999999999999998E-5</v>
      </c>
      <c r="U45" s="10">
        <v>4.1999999999999998E-5</v>
      </c>
      <c r="V45" s="10">
        <v>4.1999999999999998E-5</v>
      </c>
      <c r="W45" s="10">
        <v>4.1999999999999998E-5</v>
      </c>
      <c r="X45" s="10">
        <v>4.1999999999999998E-5</v>
      </c>
      <c r="Y45" s="10">
        <v>4.1999999999999998E-5</v>
      </c>
      <c r="Z45" s="10">
        <v>4.1999999999999998E-5</v>
      </c>
      <c r="AA45" s="10">
        <v>4.1999999999999998E-5</v>
      </c>
      <c r="AB45" s="10">
        <v>4.1999999999999998E-5</v>
      </c>
      <c r="AC45" s="10">
        <v>4.1999999999999998E-5</v>
      </c>
      <c r="AD45" s="10">
        <v>4.1999999999999998E-5</v>
      </c>
      <c r="AE45" s="10">
        <v>4.1999999999999998E-5</v>
      </c>
      <c r="AF45" s="10">
        <v>4.1999999999999998E-5</v>
      </c>
      <c r="AG45" s="10">
        <v>4.1999999999999998E-5</v>
      </c>
      <c r="AH45" s="10">
        <v>4.1999999999999998E-5</v>
      </c>
      <c r="AI45" s="10">
        <v>4.1999999999999998E-5</v>
      </c>
      <c r="AJ45" s="10">
        <v>4.1999999999999998E-5</v>
      </c>
      <c r="AK45" s="10">
        <v>4.1999999999999998E-5</v>
      </c>
      <c r="AL45" s="12">
        <v>4.1999999999999998E-5</v>
      </c>
      <c r="AM45" s="10">
        <v>4.1999999999999998E-5</v>
      </c>
      <c r="AN45" s="10">
        <v>4.1999999999999998E-5</v>
      </c>
      <c r="AO45" s="10">
        <v>4.1999999999999998E-5</v>
      </c>
      <c r="AP45" s="12">
        <v>4.1999999999999998E-5</v>
      </c>
      <c r="AQ45" s="10"/>
      <c r="AR45" s="10"/>
      <c r="AS45" s="10"/>
      <c r="AT45" s="10"/>
      <c r="AU45" s="10"/>
      <c r="AV45" s="10"/>
      <c r="AW45" s="10"/>
      <c r="AX45" s="10"/>
      <c r="AY45" s="10"/>
      <c r="AZ45" s="10"/>
      <c r="BA45" s="10"/>
      <c r="BB45" s="10"/>
      <c r="BC45" s="10"/>
      <c r="BD45" s="10"/>
      <c r="BE45" s="12"/>
      <c r="BF45" s="15"/>
      <c r="BG45" s="15"/>
      <c r="BH45" s="15"/>
      <c r="BI45" s="15"/>
      <c r="BJ45" s="15"/>
      <c r="BK45" s="15"/>
      <c r="BL45" s="15"/>
      <c r="BM45" s="15"/>
      <c r="BN45" s="15"/>
      <c r="BO45" s="20"/>
      <c r="BP45" s="15"/>
      <c r="BQ45" s="15"/>
      <c r="BR45" s="15"/>
      <c r="BS45" s="15"/>
      <c r="BT45" s="11"/>
      <c r="BU45" s="10"/>
      <c r="BV45" s="10"/>
      <c r="BW45" s="10"/>
      <c r="BX45" s="10"/>
      <c r="BY45" s="10"/>
      <c r="BZ45" s="10"/>
      <c r="CA45" s="10"/>
      <c r="CB45" s="10"/>
      <c r="CC45" s="10"/>
      <c r="CD45" s="10"/>
      <c r="CE45" s="10"/>
      <c r="CF45" s="10"/>
      <c r="CG45" s="10"/>
      <c r="CH45" s="9"/>
    </row>
    <row r="46" spans="1:86">
      <c r="A46" s="13" t="s">
        <v>568</v>
      </c>
      <c r="B46" s="10">
        <v>5.8999999999999998E-5</v>
      </c>
      <c r="C46" s="10">
        <v>5.8999999999999998E-5</v>
      </c>
      <c r="D46" s="10">
        <v>5.8999999999999998E-5</v>
      </c>
      <c r="E46" s="10">
        <v>5.8999999999999998E-5</v>
      </c>
      <c r="F46" s="10">
        <v>5.8999999999999998E-5</v>
      </c>
      <c r="G46" s="10">
        <v>5.8999999999999998E-5</v>
      </c>
      <c r="H46" s="10">
        <v>5.8999999999999998E-5</v>
      </c>
      <c r="I46" s="10">
        <v>5.8999999999999998E-5</v>
      </c>
      <c r="J46" s="10">
        <v>5.8999999999999998E-5</v>
      </c>
      <c r="K46" s="10">
        <v>5.8999999999999998E-5</v>
      </c>
      <c r="L46" s="10">
        <v>5.8999999999999998E-5</v>
      </c>
      <c r="M46" s="10">
        <v>5.8999999999999998E-5</v>
      </c>
      <c r="N46" s="10">
        <v>5.8999999999999998E-5</v>
      </c>
      <c r="O46" s="10">
        <v>5.8999999999999998E-5</v>
      </c>
      <c r="P46" s="10">
        <v>5.8999999999999998E-5</v>
      </c>
      <c r="Q46" s="10">
        <v>5.8999999999999998E-5</v>
      </c>
      <c r="R46" s="10">
        <v>5.8999999999999998E-5</v>
      </c>
      <c r="S46" s="10">
        <v>5.8999999999999998E-5</v>
      </c>
      <c r="T46" s="10">
        <v>5.8999999999999998E-5</v>
      </c>
      <c r="U46" s="10">
        <v>5.8999999999999998E-5</v>
      </c>
      <c r="V46" s="10">
        <v>5.8999999999999998E-5</v>
      </c>
      <c r="W46" s="10">
        <v>5.8999999999999998E-5</v>
      </c>
      <c r="X46" s="10">
        <v>5.8999999999999998E-5</v>
      </c>
      <c r="Y46" s="10">
        <v>5.8999999999999998E-5</v>
      </c>
      <c r="Z46" s="10">
        <v>5.8999999999999998E-5</v>
      </c>
      <c r="AA46" s="10">
        <v>5.8999999999999998E-5</v>
      </c>
      <c r="AB46" s="10">
        <v>5.8999999999999998E-5</v>
      </c>
      <c r="AC46" s="10">
        <v>5.8999999999999998E-5</v>
      </c>
      <c r="AD46" s="10">
        <v>5.8999999999999998E-5</v>
      </c>
      <c r="AE46" s="10">
        <v>5.8999999999999998E-5</v>
      </c>
      <c r="AF46" s="10">
        <v>5.8999999999999998E-5</v>
      </c>
      <c r="AG46" s="10">
        <v>5.8999999999999998E-5</v>
      </c>
      <c r="AH46" s="10">
        <v>5.8999999999999998E-5</v>
      </c>
      <c r="AI46" s="10">
        <v>5.8999999999999998E-5</v>
      </c>
      <c r="AJ46" s="10">
        <v>5.8999999999999998E-5</v>
      </c>
      <c r="AK46" s="10">
        <v>5.8999999999999998E-5</v>
      </c>
      <c r="AL46" s="12">
        <v>5.8999999999999998E-5</v>
      </c>
      <c r="AM46" s="10">
        <v>5.8999999999999998E-5</v>
      </c>
      <c r="AN46" s="10">
        <v>5.8999999999999998E-5</v>
      </c>
      <c r="AO46" s="10">
        <v>5.8999999999999998E-5</v>
      </c>
      <c r="AP46" s="12">
        <v>5.8999999999999998E-5</v>
      </c>
      <c r="AQ46" s="10"/>
      <c r="AR46" s="10"/>
      <c r="AS46" s="10"/>
      <c r="AT46" s="10"/>
      <c r="AU46" s="10"/>
      <c r="AV46" s="10"/>
      <c r="AW46" s="10"/>
      <c r="AX46" s="10"/>
      <c r="AY46" s="10"/>
      <c r="AZ46" s="10"/>
      <c r="BA46" s="10"/>
      <c r="BB46" s="10"/>
      <c r="BC46" s="10"/>
      <c r="BD46" s="10"/>
      <c r="BE46" s="12"/>
      <c r="BF46" s="15"/>
      <c r="BG46" s="15"/>
      <c r="BH46" s="15"/>
      <c r="BI46" s="15"/>
      <c r="BJ46" s="15"/>
      <c r="BK46" s="15"/>
      <c r="BL46" s="15"/>
      <c r="BM46" s="15"/>
      <c r="BN46" s="15"/>
      <c r="BO46" s="20"/>
      <c r="BP46" s="15"/>
      <c r="BQ46" s="15"/>
      <c r="BR46" s="15"/>
      <c r="BS46" s="15"/>
      <c r="BT46" s="11">
        <v>2.8E-5</v>
      </c>
      <c r="BU46" s="10">
        <v>2.8E-5</v>
      </c>
      <c r="BV46" s="10">
        <v>2.8E-5</v>
      </c>
      <c r="BW46" s="10">
        <v>2.8E-5</v>
      </c>
      <c r="BX46" s="10">
        <v>2.8E-5</v>
      </c>
      <c r="BY46" s="10">
        <v>2.8E-5</v>
      </c>
      <c r="BZ46" s="10">
        <v>2.8E-5</v>
      </c>
      <c r="CA46" s="10">
        <v>2.8E-5</v>
      </c>
      <c r="CB46" s="10">
        <v>2.8E-5</v>
      </c>
      <c r="CC46" s="10">
        <v>2.8E-5</v>
      </c>
      <c r="CD46" s="10">
        <v>2.8E-5</v>
      </c>
      <c r="CE46" s="10">
        <v>2.8E-5</v>
      </c>
      <c r="CF46" s="10">
        <v>2.8E-5</v>
      </c>
      <c r="CG46" s="10">
        <v>2.8E-5</v>
      </c>
      <c r="CH46" s="9">
        <v>2.8E-5</v>
      </c>
    </row>
    <row r="47" spans="1:86">
      <c r="A47" s="13" t="s">
        <v>569</v>
      </c>
      <c r="B47" s="10">
        <v>5.2999999999999998E-4</v>
      </c>
      <c r="C47" s="10">
        <v>5.2999999999999998E-4</v>
      </c>
      <c r="D47" s="10">
        <v>5.2999999999999998E-4</v>
      </c>
      <c r="E47" s="10">
        <v>5.2999999999999998E-4</v>
      </c>
      <c r="F47" s="10">
        <v>5.2999999999999998E-4</v>
      </c>
      <c r="G47" s="10">
        <v>5.2999999999999998E-4</v>
      </c>
      <c r="H47" s="10">
        <v>5.2999999999999998E-4</v>
      </c>
      <c r="I47" s="10">
        <v>5.2999999999999998E-4</v>
      </c>
      <c r="J47" s="10">
        <v>5.2999999999999998E-4</v>
      </c>
      <c r="K47" s="10">
        <v>5.2999999999999998E-4</v>
      </c>
      <c r="L47" s="10">
        <v>5.2999999999999998E-4</v>
      </c>
      <c r="M47" s="10">
        <v>5.2999999999999998E-4</v>
      </c>
      <c r="N47" s="10">
        <v>5.2999999999999998E-4</v>
      </c>
      <c r="O47" s="10">
        <v>5.2999999999999998E-4</v>
      </c>
      <c r="P47" s="10">
        <v>5.2999999999999998E-4</v>
      </c>
      <c r="Q47" s="10">
        <v>5.2999999999999998E-4</v>
      </c>
      <c r="R47" s="10">
        <v>5.2999999999999998E-4</v>
      </c>
      <c r="S47" s="10">
        <v>5.2999999999999998E-4</v>
      </c>
      <c r="T47" s="10">
        <v>5.2999999999999998E-4</v>
      </c>
      <c r="U47" s="10">
        <v>5.2999999999999998E-4</v>
      </c>
      <c r="V47" s="10">
        <v>5.2999999999999998E-4</v>
      </c>
      <c r="W47" s="10">
        <v>5.2999999999999998E-4</v>
      </c>
      <c r="X47" s="10">
        <v>5.2999999999999998E-4</v>
      </c>
      <c r="Y47" s="10">
        <v>5.2999999999999998E-4</v>
      </c>
      <c r="Z47" s="10">
        <v>5.2999999999999998E-4</v>
      </c>
      <c r="AA47" s="10">
        <v>5.2999999999999998E-4</v>
      </c>
      <c r="AB47" s="10">
        <v>5.2999999999999998E-4</v>
      </c>
      <c r="AC47" s="10">
        <v>5.2999999999999998E-4</v>
      </c>
      <c r="AD47" s="10">
        <v>5.2999999999999998E-4</v>
      </c>
      <c r="AE47" s="10">
        <v>5.2999999999999998E-4</v>
      </c>
      <c r="AF47" s="10">
        <v>5.2999999999999998E-4</v>
      </c>
      <c r="AG47" s="10">
        <v>5.2999999999999998E-4</v>
      </c>
      <c r="AH47" s="10">
        <v>5.2999999999999998E-4</v>
      </c>
      <c r="AI47" s="10">
        <v>5.2999999999999998E-4</v>
      </c>
      <c r="AJ47" s="10">
        <v>5.2999999999999998E-4</v>
      </c>
      <c r="AK47" s="10">
        <v>5.2999999999999998E-4</v>
      </c>
      <c r="AL47" s="12">
        <v>5.2999999999999998E-4</v>
      </c>
      <c r="AM47" s="10">
        <v>5.2999999999999998E-4</v>
      </c>
      <c r="AN47" s="10">
        <v>5.2999999999999998E-4</v>
      </c>
      <c r="AO47" s="10">
        <v>5.2999999999999998E-4</v>
      </c>
      <c r="AP47" s="12">
        <v>5.2999999999999998E-4</v>
      </c>
      <c r="AQ47" s="10"/>
      <c r="AR47" s="10"/>
      <c r="AS47" s="10"/>
      <c r="AT47" s="10"/>
      <c r="AU47" s="10"/>
      <c r="AV47" s="10"/>
      <c r="AW47" s="10"/>
      <c r="AX47" s="10"/>
      <c r="AY47" s="10"/>
      <c r="AZ47" s="10"/>
      <c r="BA47" s="10"/>
      <c r="BB47" s="10"/>
      <c r="BC47" s="10"/>
      <c r="BD47" s="10"/>
      <c r="BE47" s="12"/>
      <c r="BF47" s="15"/>
      <c r="BG47" s="15"/>
      <c r="BH47" s="15"/>
      <c r="BI47" s="15"/>
      <c r="BJ47" s="15"/>
      <c r="BK47" s="15"/>
      <c r="BL47" s="15"/>
      <c r="BM47" s="15"/>
      <c r="BN47" s="15"/>
      <c r="BO47" s="20"/>
      <c r="BP47" s="15"/>
      <c r="BQ47" s="15"/>
      <c r="BR47" s="15"/>
      <c r="BS47" s="15"/>
      <c r="BT47" s="11">
        <v>2.3E-5</v>
      </c>
      <c r="BU47" s="10">
        <v>2.3E-5</v>
      </c>
      <c r="BV47" s="10">
        <v>2.3E-5</v>
      </c>
      <c r="BW47" s="10">
        <v>2.3E-5</v>
      </c>
      <c r="BX47" s="10">
        <v>2.3E-5</v>
      </c>
      <c r="BY47" s="10">
        <v>2.3E-5</v>
      </c>
      <c r="BZ47" s="10">
        <v>2.3E-5</v>
      </c>
      <c r="CA47" s="10">
        <v>2.3E-5</v>
      </c>
      <c r="CB47" s="10">
        <v>2.3E-5</v>
      </c>
      <c r="CC47" s="10">
        <v>2.3E-5</v>
      </c>
      <c r="CD47" s="10">
        <v>2.3E-5</v>
      </c>
      <c r="CE47" s="10">
        <v>2.3E-5</v>
      </c>
      <c r="CF47" s="10">
        <v>2.3E-5</v>
      </c>
      <c r="CG47" s="10">
        <v>2.3E-5</v>
      </c>
      <c r="CH47" s="9">
        <v>2.3E-5</v>
      </c>
    </row>
    <row r="48" spans="1:86">
      <c r="A48" s="13" t="s">
        <v>94</v>
      </c>
      <c r="B48" s="10">
        <f t="shared" ref="B48:AL48" si="10">(0.00026+0.000079)/(1-99.2%)</f>
        <v>4.2374999999999961E-2</v>
      </c>
      <c r="C48" s="10">
        <f t="shared" si="10"/>
        <v>4.2374999999999961E-2</v>
      </c>
      <c r="D48" s="10">
        <f t="shared" si="10"/>
        <v>4.2374999999999961E-2</v>
      </c>
      <c r="E48" s="10">
        <f t="shared" si="10"/>
        <v>4.2374999999999961E-2</v>
      </c>
      <c r="F48" s="10">
        <f t="shared" si="10"/>
        <v>4.2374999999999961E-2</v>
      </c>
      <c r="G48" s="10">
        <f t="shared" si="10"/>
        <v>4.2374999999999961E-2</v>
      </c>
      <c r="H48" s="10">
        <f t="shared" si="10"/>
        <v>4.2374999999999961E-2</v>
      </c>
      <c r="I48" s="10">
        <f t="shared" si="10"/>
        <v>4.2374999999999961E-2</v>
      </c>
      <c r="J48" s="10">
        <f t="shared" si="10"/>
        <v>4.2374999999999961E-2</v>
      </c>
      <c r="K48" s="10">
        <f t="shared" si="10"/>
        <v>4.2374999999999961E-2</v>
      </c>
      <c r="L48" s="10">
        <f t="shared" si="10"/>
        <v>4.2374999999999961E-2</v>
      </c>
      <c r="M48" s="10">
        <f t="shared" si="10"/>
        <v>4.2374999999999961E-2</v>
      </c>
      <c r="N48" s="10">
        <f t="shared" si="10"/>
        <v>4.2374999999999961E-2</v>
      </c>
      <c r="O48" s="10">
        <f t="shared" si="10"/>
        <v>4.2374999999999961E-2</v>
      </c>
      <c r="P48" s="10">
        <f t="shared" si="10"/>
        <v>4.2374999999999961E-2</v>
      </c>
      <c r="Q48" s="10">
        <f t="shared" si="10"/>
        <v>4.2374999999999961E-2</v>
      </c>
      <c r="R48" s="10">
        <f t="shared" si="10"/>
        <v>4.2374999999999961E-2</v>
      </c>
      <c r="S48" s="10">
        <f t="shared" si="10"/>
        <v>4.2374999999999961E-2</v>
      </c>
      <c r="T48" s="10">
        <f t="shared" si="10"/>
        <v>4.2374999999999961E-2</v>
      </c>
      <c r="U48" s="10">
        <f t="shared" si="10"/>
        <v>4.2374999999999961E-2</v>
      </c>
      <c r="V48" s="10">
        <f t="shared" si="10"/>
        <v>4.2374999999999961E-2</v>
      </c>
      <c r="W48" s="10">
        <f t="shared" si="10"/>
        <v>4.2374999999999961E-2</v>
      </c>
      <c r="X48" s="10">
        <f t="shared" si="10"/>
        <v>4.2374999999999961E-2</v>
      </c>
      <c r="Y48" s="10">
        <f t="shared" si="10"/>
        <v>4.2374999999999961E-2</v>
      </c>
      <c r="Z48" s="10">
        <f t="shared" si="10"/>
        <v>4.2374999999999961E-2</v>
      </c>
      <c r="AA48" s="10">
        <f t="shared" si="10"/>
        <v>4.2374999999999961E-2</v>
      </c>
      <c r="AB48" s="10">
        <f t="shared" si="10"/>
        <v>4.2374999999999961E-2</v>
      </c>
      <c r="AC48" s="10">
        <f t="shared" si="10"/>
        <v>4.2374999999999961E-2</v>
      </c>
      <c r="AD48" s="10">
        <f t="shared" si="10"/>
        <v>4.2374999999999961E-2</v>
      </c>
      <c r="AE48" s="10">
        <f t="shared" si="10"/>
        <v>4.2374999999999961E-2</v>
      </c>
      <c r="AF48" s="10">
        <f t="shared" si="10"/>
        <v>4.2374999999999961E-2</v>
      </c>
      <c r="AG48" s="10">
        <f t="shared" si="10"/>
        <v>4.2374999999999961E-2</v>
      </c>
      <c r="AH48" s="10">
        <f t="shared" si="10"/>
        <v>4.2374999999999961E-2</v>
      </c>
      <c r="AI48" s="10">
        <f t="shared" si="10"/>
        <v>4.2374999999999961E-2</v>
      </c>
      <c r="AJ48" s="10">
        <f t="shared" si="10"/>
        <v>4.2374999999999961E-2</v>
      </c>
      <c r="AK48" s="10">
        <f t="shared" si="10"/>
        <v>4.2374999999999961E-2</v>
      </c>
      <c r="AL48" s="12">
        <f t="shared" si="10"/>
        <v>4.2374999999999961E-2</v>
      </c>
      <c r="AM48" s="10">
        <v>2.8000000000000001E-2</v>
      </c>
      <c r="AN48" s="10">
        <f>(0.00026+0.000079)/(1-99.2%)</f>
        <v>4.2374999999999961E-2</v>
      </c>
      <c r="AO48" s="10">
        <f>(0.00026+0.000079)/(1-99.2%)</f>
        <v>4.2374999999999961E-2</v>
      </c>
      <c r="AP48" s="12">
        <f>(0.00026+0.000079)/(1-99.2%)</f>
        <v>4.2374999999999961E-2</v>
      </c>
      <c r="AQ48" s="10">
        <v>8.4500000000000005E-4</v>
      </c>
      <c r="AR48" s="10">
        <v>8.4500000000000005E-4</v>
      </c>
      <c r="AS48" s="10">
        <v>8.4500000000000005E-4</v>
      </c>
      <c r="AT48" s="10">
        <v>8.4500000000000005E-4</v>
      </c>
      <c r="AU48" s="10">
        <v>3E-9</v>
      </c>
      <c r="AV48" s="10">
        <v>3E-9</v>
      </c>
      <c r="AW48" s="10">
        <v>3E-9</v>
      </c>
      <c r="AX48" s="10">
        <v>3E-9</v>
      </c>
      <c r="AY48" s="10">
        <v>3E-9</v>
      </c>
      <c r="AZ48" s="10">
        <v>3E-9</v>
      </c>
      <c r="BA48" s="10">
        <v>8.4500000000000005E-4</v>
      </c>
      <c r="BB48" s="10">
        <v>3E-9</v>
      </c>
      <c r="BC48" s="10">
        <v>3E-9</v>
      </c>
      <c r="BD48" s="10">
        <v>3E-9</v>
      </c>
      <c r="BE48" s="12">
        <v>3E-9</v>
      </c>
      <c r="BF48" s="10">
        <v>1.4E-3</v>
      </c>
      <c r="BG48" s="10">
        <v>1.4E-3</v>
      </c>
      <c r="BH48" s="10">
        <v>1.4E-3</v>
      </c>
      <c r="BI48" s="10">
        <v>1.4E-3</v>
      </c>
      <c r="BJ48" s="10">
        <v>1.4E-3</v>
      </c>
      <c r="BK48" s="10">
        <v>1.4E-3</v>
      </c>
      <c r="BL48" s="10">
        <v>1.4E-3</v>
      </c>
      <c r="BM48" s="10">
        <v>1.4E-3</v>
      </c>
      <c r="BN48" s="10">
        <v>1.4E-3</v>
      </c>
      <c r="BO48" s="12">
        <v>1.4E-3</v>
      </c>
      <c r="BP48" s="10">
        <v>1.4E-3</v>
      </c>
      <c r="BQ48" s="10">
        <v>1.4E-3</v>
      </c>
      <c r="BR48" s="10">
        <v>1.4E-3</v>
      </c>
      <c r="BS48" s="10">
        <v>1.4E-3</v>
      </c>
      <c r="BT48" s="11">
        <v>2.0999999999999999E-5</v>
      </c>
      <c r="BU48" s="10">
        <v>2.0999999999999999E-5</v>
      </c>
      <c r="BV48" s="10">
        <v>2.0999999999999999E-5</v>
      </c>
      <c r="BW48" s="10">
        <v>2.0999999999999999E-5</v>
      </c>
      <c r="BX48" s="10">
        <v>2.0999999999999999E-5</v>
      </c>
      <c r="BY48" s="10">
        <v>2.0999999999999999E-5</v>
      </c>
      <c r="BZ48" s="10">
        <v>2.0999999999999999E-5</v>
      </c>
      <c r="CA48" s="10">
        <v>2.0999999999999999E-5</v>
      </c>
      <c r="CB48" s="10">
        <v>2.0999999999999999E-5</v>
      </c>
      <c r="CC48" s="10">
        <v>2.0999999999999999E-5</v>
      </c>
      <c r="CD48" s="10">
        <v>2.0999999999999999E-5</v>
      </c>
      <c r="CE48" s="10">
        <v>2.0999999999999999E-5</v>
      </c>
      <c r="CF48" s="10">
        <v>2.0999999999999999E-5</v>
      </c>
      <c r="CG48" s="10">
        <v>2.0999999999999999E-5</v>
      </c>
      <c r="CH48" s="9">
        <v>2.0999999999999999E-5</v>
      </c>
    </row>
    <row r="49" spans="1:86">
      <c r="A49" s="13" t="s">
        <v>95</v>
      </c>
      <c r="B49" s="10">
        <f t="shared" ref="B49:AP49" si="11">0.0001/(1-99.2%)</f>
        <v>1.249999999999999E-2</v>
      </c>
      <c r="C49" s="10">
        <f t="shared" si="11"/>
        <v>1.249999999999999E-2</v>
      </c>
      <c r="D49" s="10">
        <f t="shared" si="11"/>
        <v>1.249999999999999E-2</v>
      </c>
      <c r="E49" s="10">
        <f t="shared" si="11"/>
        <v>1.249999999999999E-2</v>
      </c>
      <c r="F49" s="10">
        <f t="shared" si="11"/>
        <v>1.249999999999999E-2</v>
      </c>
      <c r="G49" s="10">
        <f t="shared" si="11"/>
        <v>1.249999999999999E-2</v>
      </c>
      <c r="H49" s="10">
        <f t="shared" si="11"/>
        <v>1.249999999999999E-2</v>
      </c>
      <c r="I49" s="10">
        <f t="shared" si="11"/>
        <v>1.249999999999999E-2</v>
      </c>
      <c r="J49" s="10">
        <f t="shared" si="11"/>
        <v>1.249999999999999E-2</v>
      </c>
      <c r="K49" s="10">
        <f t="shared" si="11"/>
        <v>1.249999999999999E-2</v>
      </c>
      <c r="L49" s="10">
        <f t="shared" si="11"/>
        <v>1.249999999999999E-2</v>
      </c>
      <c r="M49" s="10">
        <f t="shared" si="11"/>
        <v>1.249999999999999E-2</v>
      </c>
      <c r="N49" s="10">
        <f t="shared" si="11"/>
        <v>1.249999999999999E-2</v>
      </c>
      <c r="O49" s="10">
        <f t="shared" si="11"/>
        <v>1.249999999999999E-2</v>
      </c>
      <c r="P49" s="10">
        <f t="shared" si="11"/>
        <v>1.249999999999999E-2</v>
      </c>
      <c r="Q49" s="10">
        <f t="shared" si="11"/>
        <v>1.249999999999999E-2</v>
      </c>
      <c r="R49" s="10">
        <f t="shared" si="11"/>
        <v>1.249999999999999E-2</v>
      </c>
      <c r="S49" s="10">
        <f t="shared" si="11"/>
        <v>1.249999999999999E-2</v>
      </c>
      <c r="T49" s="10">
        <f t="shared" si="11"/>
        <v>1.249999999999999E-2</v>
      </c>
      <c r="U49" s="10">
        <f t="shared" si="11"/>
        <v>1.249999999999999E-2</v>
      </c>
      <c r="V49" s="10">
        <f t="shared" si="11"/>
        <v>1.249999999999999E-2</v>
      </c>
      <c r="W49" s="10">
        <f t="shared" si="11"/>
        <v>1.249999999999999E-2</v>
      </c>
      <c r="X49" s="10">
        <f t="shared" si="11"/>
        <v>1.249999999999999E-2</v>
      </c>
      <c r="Y49" s="10">
        <f t="shared" si="11"/>
        <v>1.249999999999999E-2</v>
      </c>
      <c r="Z49" s="10">
        <f t="shared" si="11"/>
        <v>1.249999999999999E-2</v>
      </c>
      <c r="AA49" s="10">
        <f t="shared" si="11"/>
        <v>1.249999999999999E-2</v>
      </c>
      <c r="AB49" s="10">
        <f t="shared" si="11"/>
        <v>1.249999999999999E-2</v>
      </c>
      <c r="AC49" s="10">
        <f t="shared" si="11"/>
        <v>1.249999999999999E-2</v>
      </c>
      <c r="AD49" s="10">
        <f t="shared" si="11"/>
        <v>1.249999999999999E-2</v>
      </c>
      <c r="AE49" s="10">
        <f t="shared" si="11"/>
        <v>1.249999999999999E-2</v>
      </c>
      <c r="AF49" s="10">
        <f t="shared" si="11"/>
        <v>1.249999999999999E-2</v>
      </c>
      <c r="AG49" s="10">
        <f t="shared" si="11"/>
        <v>1.249999999999999E-2</v>
      </c>
      <c r="AH49" s="10">
        <f t="shared" si="11"/>
        <v>1.249999999999999E-2</v>
      </c>
      <c r="AI49" s="10">
        <f t="shared" si="11"/>
        <v>1.249999999999999E-2</v>
      </c>
      <c r="AJ49" s="10">
        <f t="shared" si="11"/>
        <v>1.249999999999999E-2</v>
      </c>
      <c r="AK49" s="10">
        <f t="shared" si="11"/>
        <v>1.249999999999999E-2</v>
      </c>
      <c r="AL49" s="12">
        <f t="shared" si="11"/>
        <v>1.249999999999999E-2</v>
      </c>
      <c r="AM49" s="10">
        <f t="shared" si="11"/>
        <v>1.249999999999999E-2</v>
      </c>
      <c r="AN49" s="10">
        <f t="shared" si="11"/>
        <v>1.249999999999999E-2</v>
      </c>
      <c r="AO49" s="10">
        <f t="shared" si="11"/>
        <v>1.249999999999999E-2</v>
      </c>
      <c r="AP49" s="12">
        <f t="shared" si="11"/>
        <v>1.249999999999999E-2</v>
      </c>
      <c r="AQ49" s="10">
        <v>6.0200000000000002E-3</v>
      </c>
      <c r="AR49" s="10">
        <v>6.0200000000000002E-3</v>
      </c>
      <c r="AS49" s="10">
        <v>6.0200000000000002E-3</v>
      </c>
      <c r="AT49" s="10">
        <v>6.0200000000000002E-3</v>
      </c>
      <c r="AU49" s="10"/>
      <c r="AV49" s="10"/>
      <c r="AW49" s="10"/>
      <c r="AX49" s="10"/>
      <c r="AY49" s="10"/>
      <c r="AZ49" s="10"/>
      <c r="BA49" s="10">
        <v>6.0200000000000002E-3</v>
      </c>
      <c r="BB49" s="10"/>
      <c r="BC49" s="10"/>
      <c r="BD49" s="10"/>
      <c r="BE49" s="12"/>
      <c r="BF49" s="10">
        <v>8.3999999999999995E-5</v>
      </c>
      <c r="BG49" s="10">
        <v>8.3999999999999995E-5</v>
      </c>
      <c r="BH49" s="10">
        <v>8.3999999999999995E-5</v>
      </c>
      <c r="BI49" s="10">
        <v>8.3999999999999995E-5</v>
      </c>
      <c r="BJ49" s="10">
        <v>8.3999999999999995E-5</v>
      </c>
      <c r="BK49" s="10">
        <v>8.3999999999999995E-5</v>
      </c>
      <c r="BL49" s="10">
        <v>8.3999999999999995E-5</v>
      </c>
      <c r="BM49" s="10">
        <v>8.3999999999999995E-5</v>
      </c>
      <c r="BN49" s="10">
        <v>8.3999999999999995E-5</v>
      </c>
      <c r="BO49" s="12">
        <v>8.3999999999999995E-5</v>
      </c>
      <c r="BP49" s="10">
        <v>8.3999999999999995E-5</v>
      </c>
      <c r="BQ49" s="10">
        <v>8.3999999999999995E-5</v>
      </c>
      <c r="BR49" s="10">
        <v>8.3999999999999995E-5</v>
      </c>
      <c r="BS49" s="10">
        <v>8.3999999999999995E-5</v>
      </c>
      <c r="BT49" s="11">
        <v>6.4999999999999996E-6</v>
      </c>
      <c r="BU49" s="10">
        <v>6.4999999999999996E-6</v>
      </c>
      <c r="BV49" s="10">
        <v>6.4999999999999996E-6</v>
      </c>
      <c r="BW49" s="10">
        <v>6.4999999999999996E-6</v>
      </c>
      <c r="BX49" s="10">
        <v>6.4999999999999996E-6</v>
      </c>
      <c r="BY49" s="10">
        <v>6.4999999999999996E-6</v>
      </c>
      <c r="BZ49" s="10">
        <v>6.4999999999999996E-6</v>
      </c>
      <c r="CA49" s="10">
        <v>6.4999999999999996E-6</v>
      </c>
      <c r="CB49" s="10">
        <v>6.4999999999999996E-6</v>
      </c>
      <c r="CC49" s="10">
        <v>6.4999999999999996E-6</v>
      </c>
      <c r="CD49" s="10">
        <v>6.4999999999999996E-6</v>
      </c>
      <c r="CE49" s="10">
        <v>6.4999999999999996E-6</v>
      </c>
      <c r="CF49" s="10">
        <v>6.4999999999999996E-6</v>
      </c>
      <c r="CG49" s="10">
        <v>6.4999999999999996E-6</v>
      </c>
      <c r="CH49" s="9">
        <v>6.4999999999999996E-6</v>
      </c>
    </row>
    <row r="50" spans="1:86">
      <c r="A50" s="13" t="s">
        <v>570</v>
      </c>
      <c r="B50" s="10">
        <v>5.3000000000000001E-6</v>
      </c>
      <c r="C50" s="10">
        <v>5.3000000000000001E-6</v>
      </c>
      <c r="D50" s="10">
        <v>5.3000000000000001E-6</v>
      </c>
      <c r="E50" s="10">
        <v>5.3000000000000001E-6</v>
      </c>
      <c r="F50" s="10">
        <v>5.3000000000000001E-6</v>
      </c>
      <c r="G50" s="10">
        <v>5.3000000000000001E-6</v>
      </c>
      <c r="H50" s="10">
        <v>5.3000000000000001E-6</v>
      </c>
      <c r="I50" s="10">
        <v>5.3000000000000001E-6</v>
      </c>
      <c r="J50" s="10">
        <v>5.3000000000000001E-6</v>
      </c>
      <c r="K50" s="10">
        <v>5.3000000000000001E-6</v>
      </c>
      <c r="L50" s="10">
        <v>5.3000000000000001E-6</v>
      </c>
      <c r="M50" s="10">
        <v>5.3000000000000001E-6</v>
      </c>
      <c r="N50" s="10">
        <v>5.3000000000000001E-6</v>
      </c>
      <c r="O50" s="10">
        <v>5.3000000000000001E-6</v>
      </c>
      <c r="P50" s="10">
        <v>5.3000000000000001E-6</v>
      </c>
      <c r="Q50" s="10">
        <v>5.3000000000000001E-6</v>
      </c>
      <c r="R50" s="10">
        <v>5.3000000000000001E-6</v>
      </c>
      <c r="S50" s="10">
        <v>5.3000000000000001E-6</v>
      </c>
      <c r="T50" s="10">
        <v>5.3000000000000001E-6</v>
      </c>
      <c r="U50" s="10">
        <v>5.3000000000000001E-6</v>
      </c>
      <c r="V50" s="10">
        <v>5.3000000000000001E-6</v>
      </c>
      <c r="W50" s="10">
        <v>5.3000000000000001E-6</v>
      </c>
      <c r="X50" s="10">
        <v>5.3000000000000001E-6</v>
      </c>
      <c r="Y50" s="10">
        <v>5.3000000000000001E-6</v>
      </c>
      <c r="Z50" s="10">
        <v>5.3000000000000001E-6</v>
      </c>
      <c r="AA50" s="10">
        <v>5.3000000000000001E-6</v>
      </c>
      <c r="AB50" s="10">
        <v>5.3000000000000001E-6</v>
      </c>
      <c r="AC50" s="10">
        <v>5.3000000000000001E-6</v>
      </c>
      <c r="AD50" s="10">
        <v>5.3000000000000001E-6</v>
      </c>
      <c r="AE50" s="10">
        <v>5.3000000000000001E-6</v>
      </c>
      <c r="AF50" s="10">
        <v>5.3000000000000001E-6</v>
      </c>
      <c r="AG50" s="10">
        <v>5.3000000000000001E-6</v>
      </c>
      <c r="AH50" s="10">
        <v>5.3000000000000001E-6</v>
      </c>
      <c r="AI50" s="10">
        <v>5.3000000000000001E-6</v>
      </c>
      <c r="AJ50" s="10">
        <v>5.3000000000000001E-6</v>
      </c>
      <c r="AK50" s="10">
        <v>5.3000000000000001E-6</v>
      </c>
      <c r="AL50" s="12">
        <v>5.3000000000000001E-6</v>
      </c>
      <c r="AM50" s="10">
        <v>5.3000000000000001E-6</v>
      </c>
      <c r="AN50" s="10">
        <v>5.3000000000000001E-6</v>
      </c>
      <c r="AO50" s="10">
        <v>5.3000000000000001E-6</v>
      </c>
      <c r="AP50" s="12">
        <v>5.3000000000000001E-6</v>
      </c>
      <c r="AQ50" s="10"/>
      <c r="AR50" s="10"/>
      <c r="AS50" s="10"/>
      <c r="AT50" s="10"/>
      <c r="AU50" s="10"/>
      <c r="AV50" s="10"/>
      <c r="AW50" s="10"/>
      <c r="AX50" s="10"/>
      <c r="AY50" s="10"/>
      <c r="AZ50" s="10"/>
      <c r="BA50" s="10"/>
      <c r="BB50" s="10"/>
      <c r="BC50" s="10"/>
      <c r="BD50" s="10"/>
      <c r="BE50" s="12"/>
      <c r="BF50" s="15"/>
      <c r="BG50" s="15"/>
      <c r="BH50" s="15"/>
      <c r="BI50" s="15"/>
      <c r="BJ50" s="15"/>
      <c r="BK50" s="15"/>
      <c r="BL50" s="15"/>
      <c r="BM50" s="15"/>
      <c r="BN50" s="15"/>
      <c r="BO50" s="20"/>
      <c r="BP50" s="15"/>
      <c r="BQ50" s="15"/>
      <c r="BR50" s="15"/>
      <c r="BS50" s="15"/>
      <c r="BT50" s="11"/>
      <c r="BU50" s="10"/>
      <c r="BV50" s="10"/>
      <c r="BW50" s="10"/>
      <c r="BX50" s="10"/>
      <c r="BY50" s="10"/>
      <c r="BZ50" s="10"/>
      <c r="CA50" s="10"/>
      <c r="CB50" s="10"/>
      <c r="CC50" s="10"/>
      <c r="CD50" s="10"/>
      <c r="CE50" s="10"/>
      <c r="CF50" s="10"/>
      <c r="CG50" s="10"/>
      <c r="CH50" s="9"/>
    </row>
    <row r="51" spans="1:86">
      <c r="A51" s="13" t="s">
        <v>571</v>
      </c>
      <c r="B51" s="10">
        <v>2.5000000000000001E-3</v>
      </c>
      <c r="C51" s="10">
        <v>2.5000000000000001E-3</v>
      </c>
      <c r="D51" s="10">
        <v>2.5000000000000001E-3</v>
      </c>
      <c r="E51" s="10">
        <v>2.5000000000000001E-3</v>
      </c>
      <c r="F51" s="10">
        <v>2.5000000000000001E-3</v>
      </c>
      <c r="G51" s="10">
        <v>2.5000000000000001E-3</v>
      </c>
      <c r="H51" s="10">
        <v>2.5000000000000001E-3</v>
      </c>
      <c r="I51" s="10">
        <v>2.5000000000000001E-3</v>
      </c>
      <c r="J51" s="10">
        <v>2.5000000000000001E-3</v>
      </c>
      <c r="K51" s="10">
        <v>2.5000000000000001E-3</v>
      </c>
      <c r="L51" s="10">
        <v>2.5000000000000001E-3</v>
      </c>
      <c r="M51" s="10">
        <v>2.5000000000000001E-3</v>
      </c>
      <c r="N51" s="10">
        <v>2.5000000000000001E-3</v>
      </c>
      <c r="O51" s="10">
        <v>2.5000000000000001E-3</v>
      </c>
      <c r="P51" s="10">
        <v>2.5000000000000001E-3</v>
      </c>
      <c r="Q51" s="10">
        <v>2.5000000000000001E-3</v>
      </c>
      <c r="R51" s="10">
        <v>2.5000000000000001E-3</v>
      </c>
      <c r="S51" s="10">
        <v>2.5000000000000001E-3</v>
      </c>
      <c r="T51" s="10">
        <v>2.5000000000000001E-3</v>
      </c>
      <c r="U51" s="10">
        <v>2.5000000000000001E-3</v>
      </c>
      <c r="V51" s="10">
        <v>2.5000000000000001E-3</v>
      </c>
      <c r="W51" s="10">
        <v>2.5000000000000001E-3</v>
      </c>
      <c r="X51" s="10">
        <v>2.5000000000000001E-3</v>
      </c>
      <c r="Y51" s="10">
        <v>2.5000000000000001E-3</v>
      </c>
      <c r="Z51" s="10">
        <v>2.5000000000000001E-3</v>
      </c>
      <c r="AA51" s="10">
        <v>2.5000000000000001E-3</v>
      </c>
      <c r="AB51" s="10">
        <v>2.5000000000000001E-3</v>
      </c>
      <c r="AC51" s="10">
        <v>2.5000000000000001E-3</v>
      </c>
      <c r="AD51" s="10">
        <v>2.5000000000000001E-3</v>
      </c>
      <c r="AE51" s="10">
        <v>2.5000000000000001E-3</v>
      </c>
      <c r="AF51" s="10">
        <v>2.5000000000000001E-3</v>
      </c>
      <c r="AG51" s="10">
        <v>2.5000000000000001E-3</v>
      </c>
      <c r="AH51" s="10">
        <v>2.5000000000000001E-3</v>
      </c>
      <c r="AI51" s="10">
        <v>2.5000000000000001E-3</v>
      </c>
      <c r="AJ51" s="10">
        <v>2.5000000000000001E-3</v>
      </c>
      <c r="AK51" s="10">
        <v>2.5000000000000001E-3</v>
      </c>
      <c r="AL51" s="12">
        <v>2.5000000000000001E-3</v>
      </c>
      <c r="AM51" s="10">
        <v>2.5000000000000001E-3</v>
      </c>
      <c r="AN51" s="10">
        <v>2.5000000000000001E-3</v>
      </c>
      <c r="AO51" s="10">
        <v>2.5000000000000001E-3</v>
      </c>
      <c r="AP51" s="12">
        <v>2.5000000000000001E-3</v>
      </c>
      <c r="AQ51" s="10"/>
      <c r="AR51" s="10"/>
      <c r="AS51" s="10"/>
      <c r="AT51" s="10"/>
      <c r="AU51" s="10"/>
      <c r="AV51" s="10"/>
      <c r="AW51" s="10"/>
      <c r="AX51" s="10"/>
      <c r="AY51" s="10"/>
      <c r="AZ51" s="10"/>
      <c r="BA51" s="10"/>
      <c r="BB51" s="10"/>
      <c r="BC51" s="10"/>
      <c r="BD51" s="10"/>
      <c r="BE51" s="12"/>
      <c r="BF51" s="15"/>
      <c r="BG51" s="15"/>
      <c r="BH51" s="15"/>
      <c r="BI51" s="15"/>
      <c r="BJ51" s="15"/>
      <c r="BK51" s="15"/>
      <c r="BL51" s="15"/>
      <c r="BM51" s="15"/>
      <c r="BN51" s="15"/>
      <c r="BO51" s="20"/>
      <c r="BP51" s="15"/>
      <c r="BQ51" s="15"/>
      <c r="BR51" s="15"/>
      <c r="BS51" s="15"/>
      <c r="BT51" s="11"/>
      <c r="BU51" s="10"/>
      <c r="BV51" s="10"/>
      <c r="BW51" s="10"/>
      <c r="BX51" s="10"/>
      <c r="BY51" s="10"/>
      <c r="BZ51" s="10"/>
      <c r="CA51" s="10"/>
      <c r="CB51" s="10"/>
      <c r="CC51" s="10"/>
      <c r="CD51" s="10"/>
      <c r="CE51" s="10"/>
      <c r="CF51" s="10"/>
      <c r="CG51" s="10"/>
      <c r="CH51" s="9"/>
    </row>
    <row r="52" spans="1:86">
      <c r="A52" s="13" t="s">
        <v>572</v>
      </c>
      <c r="B52" s="10">
        <v>2.9E-4</v>
      </c>
      <c r="C52" s="10">
        <v>2.9E-4</v>
      </c>
      <c r="D52" s="10">
        <v>2.9E-4</v>
      </c>
      <c r="E52" s="10">
        <v>2.9E-4</v>
      </c>
      <c r="F52" s="10">
        <v>2.9E-4</v>
      </c>
      <c r="G52" s="10">
        <v>2.9E-4</v>
      </c>
      <c r="H52" s="10">
        <v>2.9E-4</v>
      </c>
      <c r="I52" s="10">
        <v>2.9E-4</v>
      </c>
      <c r="J52" s="10">
        <v>2.9E-4</v>
      </c>
      <c r="K52" s="10">
        <v>2.9E-4</v>
      </c>
      <c r="L52" s="10">
        <v>2.9E-4</v>
      </c>
      <c r="M52" s="10">
        <v>2.9E-4</v>
      </c>
      <c r="N52" s="10">
        <v>2.9E-4</v>
      </c>
      <c r="O52" s="10">
        <v>2.9E-4</v>
      </c>
      <c r="P52" s="10">
        <v>2.9E-4</v>
      </c>
      <c r="Q52" s="10">
        <v>2.9E-4</v>
      </c>
      <c r="R52" s="10">
        <v>2.9E-4</v>
      </c>
      <c r="S52" s="10">
        <v>2.9E-4</v>
      </c>
      <c r="T52" s="10">
        <v>2.9E-4</v>
      </c>
      <c r="U52" s="10">
        <v>2.9E-4</v>
      </c>
      <c r="V52" s="10">
        <v>2.9E-4</v>
      </c>
      <c r="W52" s="10">
        <v>2.9E-4</v>
      </c>
      <c r="X52" s="10">
        <v>2.9E-4</v>
      </c>
      <c r="Y52" s="10">
        <v>2.9E-4</v>
      </c>
      <c r="Z52" s="10">
        <v>2.9E-4</v>
      </c>
      <c r="AA52" s="10">
        <v>2.9E-4</v>
      </c>
      <c r="AB52" s="10">
        <v>2.9E-4</v>
      </c>
      <c r="AC52" s="10">
        <v>2.9E-4</v>
      </c>
      <c r="AD52" s="10">
        <v>2.9E-4</v>
      </c>
      <c r="AE52" s="10">
        <v>2.9E-4</v>
      </c>
      <c r="AF52" s="10">
        <v>2.9E-4</v>
      </c>
      <c r="AG52" s="10">
        <v>2.9E-4</v>
      </c>
      <c r="AH52" s="10">
        <v>2.9E-4</v>
      </c>
      <c r="AI52" s="10">
        <v>2.9E-4</v>
      </c>
      <c r="AJ52" s="10">
        <v>2.9E-4</v>
      </c>
      <c r="AK52" s="10">
        <v>2.9E-4</v>
      </c>
      <c r="AL52" s="12">
        <v>2.9E-4</v>
      </c>
      <c r="AM52" s="10">
        <v>2.9E-4</v>
      </c>
      <c r="AN52" s="10">
        <v>2.9E-4</v>
      </c>
      <c r="AO52" s="10">
        <v>2.9E-4</v>
      </c>
      <c r="AP52" s="12">
        <v>2.9E-4</v>
      </c>
      <c r="AQ52" s="10"/>
      <c r="AR52" s="10"/>
      <c r="AS52" s="10"/>
      <c r="AT52" s="10"/>
      <c r="AU52" s="10"/>
      <c r="AV52" s="10"/>
      <c r="AW52" s="10"/>
      <c r="AX52" s="10"/>
      <c r="AY52" s="10"/>
      <c r="AZ52" s="10"/>
      <c r="BA52" s="10"/>
      <c r="BB52" s="10"/>
      <c r="BC52" s="10"/>
      <c r="BD52" s="10"/>
      <c r="BE52" s="12"/>
      <c r="BF52" s="15"/>
      <c r="BG52" s="15"/>
      <c r="BH52" s="15"/>
      <c r="BI52" s="15"/>
      <c r="BJ52" s="15"/>
      <c r="BK52" s="15"/>
      <c r="BL52" s="15"/>
      <c r="BM52" s="15"/>
      <c r="BN52" s="15"/>
      <c r="BO52" s="20"/>
      <c r="BP52" s="15"/>
      <c r="BQ52" s="15"/>
      <c r="BR52" s="15"/>
      <c r="BS52" s="15"/>
      <c r="BT52" s="11">
        <v>2.9E-4</v>
      </c>
      <c r="BU52" s="10">
        <v>2.9E-4</v>
      </c>
      <c r="BV52" s="10">
        <v>2.9E-4</v>
      </c>
      <c r="BW52" s="10">
        <v>2.9E-4</v>
      </c>
      <c r="BX52" s="10">
        <v>2.9E-4</v>
      </c>
      <c r="BY52" s="10">
        <v>2.9E-4</v>
      </c>
      <c r="BZ52" s="10">
        <v>2.9E-4</v>
      </c>
      <c r="CA52" s="10">
        <v>2.9E-4</v>
      </c>
      <c r="CB52" s="10">
        <v>2.9E-4</v>
      </c>
      <c r="CC52" s="10">
        <v>2.9E-4</v>
      </c>
      <c r="CD52" s="10">
        <v>2.9E-4</v>
      </c>
      <c r="CE52" s="10">
        <v>2.9E-4</v>
      </c>
      <c r="CF52" s="10">
        <v>2.9E-4</v>
      </c>
      <c r="CG52" s="10">
        <v>2.9E-4</v>
      </c>
      <c r="CH52" s="9">
        <v>2.9E-4</v>
      </c>
    </row>
    <row r="53" spans="1:86">
      <c r="A53" s="13" t="s">
        <v>573</v>
      </c>
      <c r="B53" s="10">
        <v>4.8000000000000001E-5</v>
      </c>
      <c r="C53" s="10">
        <v>4.8000000000000001E-5</v>
      </c>
      <c r="D53" s="10">
        <v>4.8000000000000001E-5</v>
      </c>
      <c r="E53" s="10">
        <v>4.8000000000000001E-5</v>
      </c>
      <c r="F53" s="10">
        <v>4.8000000000000001E-5</v>
      </c>
      <c r="G53" s="10">
        <v>4.8000000000000001E-5</v>
      </c>
      <c r="H53" s="10">
        <v>4.8000000000000001E-5</v>
      </c>
      <c r="I53" s="10">
        <v>4.8000000000000001E-5</v>
      </c>
      <c r="J53" s="10">
        <v>4.8000000000000001E-5</v>
      </c>
      <c r="K53" s="10">
        <v>4.8000000000000001E-5</v>
      </c>
      <c r="L53" s="10">
        <v>4.8000000000000001E-5</v>
      </c>
      <c r="M53" s="10">
        <v>4.8000000000000001E-5</v>
      </c>
      <c r="N53" s="10">
        <v>4.8000000000000001E-5</v>
      </c>
      <c r="O53" s="10">
        <v>4.8000000000000001E-5</v>
      </c>
      <c r="P53" s="10">
        <v>4.8000000000000001E-5</v>
      </c>
      <c r="Q53" s="10">
        <v>4.8000000000000001E-5</v>
      </c>
      <c r="R53" s="10">
        <v>4.8000000000000001E-5</v>
      </c>
      <c r="S53" s="10">
        <v>4.8000000000000001E-5</v>
      </c>
      <c r="T53" s="10">
        <v>4.8000000000000001E-5</v>
      </c>
      <c r="U53" s="10">
        <v>4.8000000000000001E-5</v>
      </c>
      <c r="V53" s="10">
        <v>4.8000000000000001E-5</v>
      </c>
      <c r="W53" s="10">
        <v>4.8000000000000001E-5</v>
      </c>
      <c r="X53" s="10">
        <v>4.8000000000000001E-5</v>
      </c>
      <c r="Y53" s="10">
        <v>4.8000000000000001E-5</v>
      </c>
      <c r="Z53" s="10">
        <v>4.8000000000000001E-5</v>
      </c>
      <c r="AA53" s="10">
        <v>4.8000000000000001E-5</v>
      </c>
      <c r="AB53" s="10">
        <v>4.8000000000000001E-5</v>
      </c>
      <c r="AC53" s="10">
        <v>4.8000000000000001E-5</v>
      </c>
      <c r="AD53" s="10">
        <v>4.8000000000000001E-5</v>
      </c>
      <c r="AE53" s="10">
        <v>4.8000000000000001E-5</v>
      </c>
      <c r="AF53" s="10">
        <v>4.8000000000000001E-5</v>
      </c>
      <c r="AG53" s="10">
        <v>4.8000000000000001E-5</v>
      </c>
      <c r="AH53" s="10">
        <v>4.8000000000000001E-5</v>
      </c>
      <c r="AI53" s="10">
        <v>4.8000000000000001E-5</v>
      </c>
      <c r="AJ53" s="10">
        <v>4.8000000000000001E-5</v>
      </c>
      <c r="AK53" s="10">
        <v>4.8000000000000001E-5</v>
      </c>
      <c r="AL53" s="12">
        <v>4.8000000000000001E-5</v>
      </c>
      <c r="AM53" s="10">
        <v>4.8000000000000001E-5</v>
      </c>
      <c r="AN53" s="10">
        <v>4.8000000000000001E-5</v>
      </c>
      <c r="AO53" s="10">
        <v>4.8000000000000001E-5</v>
      </c>
      <c r="AP53" s="12">
        <v>4.8000000000000001E-5</v>
      </c>
      <c r="AQ53" s="10"/>
      <c r="AR53" s="10"/>
      <c r="AS53" s="10"/>
      <c r="AT53" s="10"/>
      <c r="AU53" s="10"/>
      <c r="AV53" s="10"/>
      <c r="AW53" s="10"/>
      <c r="AX53" s="10"/>
      <c r="AY53" s="10"/>
      <c r="AZ53" s="10"/>
      <c r="BA53" s="10"/>
      <c r="BB53" s="10"/>
      <c r="BC53" s="10"/>
      <c r="BD53" s="10"/>
      <c r="BE53" s="12"/>
      <c r="BF53" s="15"/>
      <c r="BG53" s="15"/>
      <c r="BH53" s="15"/>
      <c r="BI53" s="15"/>
      <c r="BJ53" s="15"/>
      <c r="BK53" s="15"/>
      <c r="BL53" s="15"/>
      <c r="BM53" s="15"/>
      <c r="BN53" s="15"/>
      <c r="BO53" s="20"/>
      <c r="BP53" s="15"/>
      <c r="BQ53" s="15"/>
      <c r="BR53" s="15"/>
      <c r="BS53" s="15"/>
      <c r="BT53" s="11"/>
      <c r="BU53" s="10"/>
      <c r="BV53" s="10"/>
      <c r="BW53" s="10"/>
      <c r="BX53" s="10"/>
      <c r="BY53" s="10"/>
      <c r="BZ53" s="10"/>
      <c r="CA53" s="10"/>
      <c r="CB53" s="10"/>
      <c r="CC53" s="10"/>
      <c r="CD53" s="10"/>
      <c r="CE53" s="10"/>
      <c r="CF53" s="10"/>
      <c r="CG53" s="10"/>
      <c r="CH53" s="9"/>
    </row>
    <row r="54" spans="1:86">
      <c r="A54" s="13" t="s">
        <v>574</v>
      </c>
      <c r="B54" s="10">
        <v>9.3999999999999994E-5</v>
      </c>
      <c r="C54" s="10">
        <v>9.3999999999999994E-5</v>
      </c>
      <c r="D54" s="10">
        <v>9.3999999999999994E-5</v>
      </c>
      <c r="E54" s="10">
        <v>9.3999999999999994E-5</v>
      </c>
      <c r="F54" s="10">
        <v>9.3999999999999994E-5</v>
      </c>
      <c r="G54" s="10">
        <v>9.3999999999999994E-5</v>
      </c>
      <c r="H54" s="10">
        <v>9.3999999999999994E-5</v>
      </c>
      <c r="I54" s="10">
        <v>9.3999999999999994E-5</v>
      </c>
      <c r="J54" s="10">
        <v>9.3999999999999994E-5</v>
      </c>
      <c r="K54" s="10">
        <v>9.3999999999999994E-5</v>
      </c>
      <c r="L54" s="10">
        <v>9.3999999999999994E-5</v>
      </c>
      <c r="M54" s="10">
        <v>9.3999999999999994E-5</v>
      </c>
      <c r="N54" s="10">
        <v>9.3999999999999994E-5</v>
      </c>
      <c r="O54" s="10">
        <v>9.3999999999999994E-5</v>
      </c>
      <c r="P54" s="10">
        <v>9.3999999999999994E-5</v>
      </c>
      <c r="Q54" s="10">
        <v>9.3999999999999994E-5</v>
      </c>
      <c r="R54" s="10">
        <v>9.3999999999999994E-5</v>
      </c>
      <c r="S54" s="10">
        <v>9.3999999999999994E-5</v>
      </c>
      <c r="T54" s="10">
        <v>9.3999999999999994E-5</v>
      </c>
      <c r="U54" s="10">
        <v>9.3999999999999994E-5</v>
      </c>
      <c r="V54" s="10">
        <v>9.3999999999999994E-5</v>
      </c>
      <c r="W54" s="10">
        <v>9.3999999999999994E-5</v>
      </c>
      <c r="X54" s="10">
        <v>9.3999999999999994E-5</v>
      </c>
      <c r="Y54" s="10">
        <v>9.3999999999999994E-5</v>
      </c>
      <c r="Z54" s="10">
        <v>9.3999999999999994E-5</v>
      </c>
      <c r="AA54" s="10">
        <v>9.3999999999999994E-5</v>
      </c>
      <c r="AB54" s="10">
        <v>9.3999999999999994E-5</v>
      </c>
      <c r="AC54" s="10">
        <v>9.3999999999999994E-5</v>
      </c>
      <c r="AD54" s="10">
        <v>9.3999999999999994E-5</v>
      </c>
      <c r="AE54" s="10">
        <v>9.3999999999999994E-5</v>
      </c>
      <c r="AF54" s="10">
        <v>9.3999999999999994E-5</v>
      </c>
      <c r="AG54" s="10">
        <v>9.3999999999999994E-5</v>
      </c>
      <c r="AH54" s="10">
        <v>9.3999999999999994E-5</v>
      </c>
      <c r="AI54" s="10">
        <v>9.3999999999999994E-5</v>
      </c>
      <c r="AJ54" s="10">
        <v>9.3999999999999994E-5</v>
      </c>
      <c r="AK54" s="10">
        <v>9.3999999999999994E-5</v>
      </c>
      <c r="AL54" s="12">
        <v>9.3999999999999994E-5</v>
      </c>
      <c r="AM54" s="10">
        <v>9.3999999999999994E-5</v>
      </c>
      <c r="AN54" s="10">
        <v>9.3999999999999994E-5</v>
      </c>
      <c r="AO54" s="10">
        <v>9.3999999999999994E-5</v>
      </c>
      <c r="AP54" s="12">
        <v>9.3999999999999994E-5</v>
      </c>
      <c r="AQ54" s="10">
        <v>6.3600000000000001E-5</v>
      </c>
      <c r="AR54" s="10">
        <v>6.3600000000000001E-5</v>
      </c>
      <c r="AS54" s="10">
        <v>6.3600000000000001E-5</v>
      </c>
      <c r="AT54" s="10">
        <v>6.3600000000000001E-5</v>
      </c>
      <c r="AU54" s="10">
        <v>6.3600000000000001E-5</v>
      </c>
      <c r="AV54" s="10">
        <v>6.3600000000000001E-5</v>
      </c>
      <c r="AW54" s="10">
        <v>6.3600000000000001E-5</v>
      </c>
      <c r="AX54" s="10">
        <v>6.3600000000000001E-5</v>
      </c>
      <c r="AY54" s="10">
        <v>6.3600000000000001E-5</v>
      </c>
      <c r="AZ54" s="10">
        <v>6.3600000000000001E-5</v>
      </c>
      <c r="BA54" s="10">
        <v>6.3600000000000001E-5</v>
      </c>
      <c r="BB54" s="10">
        <v>6.3600000000000001E-5</v>
      </c>
      <c r="BC54" s="10">
        <v>6.3600000000000001E-5</v>
      </c>
      <c r="BD54" s="10">
        <v>6.3600000000000001E-5</v>
      </c>
      <c r="BE54" s="12">
        <v>6.3600000000000001E-5</v>
      </c>
      <c r="BF54" s="15"/>
      <c r="BG54" s="15"/>
      <c r="BH54" s="15"/>
      <c r="BI54" s="15"/>
      <c r="BJ54" s="15"/>
      <c r="BK54" s="15"/>
      <c r="BL54" s="15"/>
      <c r="BM54" s="15"/>
      <c r="BN54" s="15"/>
      <c r="BO54" s="20"/>
      <c r="BP54" s="15"/>
      <c r="BQ54" s="15"/>
      <c r="BR54" s="15"/>
      <c r="BS54" s="15"/>
      <c r="BT54" s="11">
        <v>3.1000000000000001E-5</v>
      </c>
      <c r="BU54" s="10">
        <v>3.1000000000000001E-5</v>
      </c>
      <c r="BV54" s="10">
        <v>3.1000000000000001E-5</v>
      </c>
      <c r="BW54" s="10">
        <v>3.1000000000000001E-5</v>
      </c>
      <c r="BX54" s="10">
        <v>3.1000000000000001E-5</v>
      </c>
      <c r="BY54" s="10">
        <v>3.1000000000000001E-5</v>
      </c>
      <c r="BZ54" s="10">
        <v>3.1000000000000001E-5</v>
      </c>
      <c r="CA54" s="10">
        <v>3.1000000000000001E-5</v>
      </c>
      <c r="CB54" s="10">
        <v>3.1000000000000001E-5</v>
      </c>
      <c r="CC54" s="10">
        <v>3.1000000000000001E-5</v>
      </c>
      <c r="CD54" s="10">
        <v>3.1000000000000001E-5</v>
      </c>
      <c r="CE54" s="10">
        <v>3.1000000000000001E-5</v>
      </c>
      <c r="CF54" s="10">
        <v>3.1000000000000001E-5</v>
      </c>
      <c r="CG54" s="10">
        <v>3.1000000000000001E-5</v>
      </c>
      <c r="CH54" s="9">
        <v>3.1000000000000001E-5</v>
      </c>
    </row>
    <row r="55" spans="1:86">
      <c r="A55" s="13" t="s">
        <v>96</v>
      </c>
      <c r="B55" s="10">
        <v>2.4000000000000001E-4</v>
      </c>
      <c r="C55" s="10">
        <v>2.4000000000000001E-4</v>
      </c>
      <c r="D55" s="10">
        <v>2.4000000000000001E-4</v>
      </c>
      <c r="E55" s="10">
        <v>2.4000000000000001E-4</v>
      </c>
      <c r="F55" s="10">
        <v>2.4000000000000001E-4</v>
      </c>
      <c r="G55" s="10">
        <v>2.4000000000000001E-4</v>
      </c>
      <c r="H55" s="10">
        <v>2.4000000000000001E-4</v>
      </c>
      <c r="I55" s="10">
        <v>2.4000000000000001E-4</v>
      </c>
      <c r="J55" s="10">
        <v>2.4000000000000001E-4</v>
      </c>
      <c r="K55" s="10">
        <v>2.4000000000000001E-4</v>
      </c>
      <c r="L55" s="10">
        <v>2.4000000000000001E-4</v>
      </c>
      <c r="M55" s="10">
        <v>2.4000000000000001E-4</v>
      </c>
      <c r="N55" s="10">
        <v>2.4000000000000001E-4</v>
      </c>
      <c r="O55" s="10">
        <v>2.4000000000000001E-4</v>
      </c>
      <c r="P55" s="10">
        <v>2.4000000000000001E-4</v>
      </c>
      <c r="Q55" s="10">
        <v>2.4000000000000001E-4</v>
      </c>
      <c r="R55" s="10">
        <v>2.4000000000000001E-4</v>
      </c>
      <c r="S55" s="10">
        <v>2.4000000000000001E-4</v>
      </c>
      <c r="T55" s="10">
        <v>2.4000000000000001E-4</v>
      </c>
      <c r="U55" s="10">
        <v>2.4000000000000001E-4</v>
      </c>
      <c r="V55" s="10">
        <v>2.4000000000000001E-4</v>
      </c>
      <c r="W55" s="10">
        <v>2.4000000000000001E-4</v>
      </c>
      <c r="X55" s="10">
        <v>2.4000000000000001E-4</v>
      </c>
      <c r="Y55" s="10">
        <v>2.4000000000000001E-4</v>
      </c>
      <c r="Z55" s="10">
        <v>2.4000000000000001E-4</v>
      </c>
      <c r="AA55" s="10">
        <v>2.4000000000000001E-4</v>
      </c>
      <c r="AB55" s="10">
        <v>2.4000000000000001E-4</v>
      </c>
      <c r="AC55" s="10">
        <v>2.4000000000000001E-4</v>
      </c>
      <c r="AD55" s="10">
        <v>2.4000000000000001E-4</v>
      </c>
      <c r="AE55" s="10">
        <v>2.4000000000000001E-4</v>
      </c>
      <c r="AF55" s="10">
        <v>2.4000000000000001E-4</v>
      </c>
      <c r="AG55" s="10">
        <v>2.4000000000000001E-4</v>
      </c>
      <c r="AH55" s="10">
        <v>2.4000000000000001E-4</v>
      </c>
      <c r="AI55" s="10">
        <v>2.4000000000000001E-4</v>
      </c>
      <c r="AJ55" s="10">
        <v>2.4000000000000001E-4</v>
      </c>
      <c r="AK55" s="10">
        <v>2.4000000000000001E-4</v>
      </c>
      <c r="AL55" s="12">
        <v>2.4000000000000001E-4</v>
      </c>
      <c r="AM55" s="10">
        <v>2.4000000000000001E-4</v>
      </c>
      <c r="AN55" s="10">
        <v>2.4000000000000001E-4</v>
      </c>
      <c r="AO55" s="10">
        <v>2.4000000000000001E-4</v>
      </c>
      <c r="AP55" s="12">
        <v>2.4000000000000001E-4</v>
      </c>
      <c r="AQ55" s="10">
        <v>3.3000000000000002E-2</v>
      </c>
      <c r="AR55" s="10">
        <v>3.3000000000000002E-2</v>
      </c>
      <c r="AS55" s="10">
        <v>3.3000000000000002E-2</v>
      </c>
      <c r="AT55" s="10">
        <v>3.3000000000000002E-2</v>
      </c>
      <c r="AU55" s="10">
        <v>3.3000000000000002E-2</v>
      </c>
      <c r="AV55" s="10">
        <v>3.3000000000000002E-2</v>
      </c>
      <c r="AW55" s="10">
        <v>3.3000000000000002E-2</v>
      </c>
      <c r="AX55" s="10">
        <v>3.3000000000000002E-2</v>
      </c>
      <c r="AY55" s="10">
        <v>3.3000000000000002E-2</v>
      </c>
      <c r="AZ55" s="10">
        <v>3.3000000000000002E-2</v>
      </c>
      <c r="BA55" s="10">
        <v>3.3000000000000002E-2</v>
      </c>
      <c r="BB55" s="10">
        <v>3.3000000000000002E-2</v>
      </c>
      <c r="BC55" s="10">
        <v>3.3000000000000002E-2</v>
      </c>
      <c r="BD55" s="10">
        <v>3.3000000000000002E-2</v>
      </c>
      <c r="BE55" s="12">
        <v>3.3000000000000002E-2</v>
      </c>
      <c r="BF55" s="10">
        <v>7.4999999999999997E-2</v>
      </c>
      <c r="BG55" s="10">
        <v>7.4999999999999997E-2</v>
      </c>
      <c r="BH55" s="10">
        <v>7.4999999999999997E-2</v>
      </c>
      <c r="BI55" s="10">
        <v>7.4999999999999997E-2</v>
      </c>
      <c r="BJ55" s="10">
        <v>7.4999999999999997E-2</v>
      </c>
      <c r="BK55" s="10">
        <v>7.4999999999999997E-2</v>
      </c>
      <c r="BL55" s="10">
        <v>7.4999999999999997E-2</v>
      </c>
      <c r="BM55" s="10">
        <v>7.4999999999999997E-2</v>
      </c>
      <c r="BN55" s="10">
        <v>7.4999999999999997E-2</v>
      </c>
      <c r="BO55" s="12">
        <v>7.4999999999999997E-2</v>
      </c>
      <c r="BP55" s="10">
        <v>7.4999999999999997E-2</v>
      </c>
      <c r="BQ55" s="10">
        <v>7.4999999999999997E-2</v>
      </c>
      <c r="BR55" s="10">
        <v>7.4999999999999997E-2</v>
      </c>
      <c r="BS55" s="10">
        <v>7.4999999999999997E-2</v>
      </c>
      <c r="BT55" s="11">
        <v>4.4000000000000003E-3</v>
      </c>
      <c r="BU55" s="10">
        <v>4.4000000000000003E-3</v>
      </c>
      <c r="BV55" s="10">
        <v>4.4000000000000003E-3</v>
      </c>
      <c r="BW55" s="10">
        <v>4.4000000000000003E-3</v>
      </c>
      <c r="BX55" s="10">
        <v>4.4000000000000003E-3</v>
      </c>
      <c r="BY55" s="10">
        <v>4.4000000000000003E-3</v>
      </c>
      <c r="BZ55" s="10">
        <v>4.4000000000000003E-3</v>
      </c>
      <c r="CA55" s="10">
        <v>4.4000000000000003E-3</v>
      </c>
      <c r="CB55" s="10">
        <v>4.4000000000000003E-3</v>
      </c>
      <c r="CC55" s="10">
        <v>4.4000000000000003E-3</v>
      </c>
      <c r="CD55" s="10">
        <v>4.4000000000000003E-3</v>
      </c>
      <c r="CE55" s="10">
        <v>4.4000000000000003E-3</v>
      </c>
      <c r="CF55" s="10">
        <v>4.4000000000000003E-3</v>
      </c>
      <c r="CG55" s="10">
        <v>4.4000000000000003E-3</v>
      </c>
      <c r="CH55" s="9">
        <v>4.4000000000000003E-3</v>
      </c>
    </row>
    <row r="56" spans="1:86">
      <c r="A56" s="13" t="s">
        <v>97</v>
      </c>
      <c r="B56" s="10">
        <v>6.7000000000000002E-5</v>
      </c>
      <c r="C56" s="10">
        <v>6.7000000000000002E-5</v>
      </c>
      <c r="D56" s="10">
        <v>6.7000000000000002E-5</v>
      </c>
      <c r="E56" s="10">
        <v>6.7000000000000002E-5</v>
      </c>
      <c r="F56" s="10">
        <v>6.7000000000000002E-5</v>
      </c>
      <c r="G56" s="10">
        <v>6.7000000000000002E-5</v>
      </c>
      <c r="H56" s="10">
        <v>6.7000000000000002E-5</v>
      </c>
      <c r="I56" s="10">
        <v>6.7000000000000002E-5</v>
      </c>
      <c r="J56" s="10">
        <v>6.7000000000000002E-5</v>
      </c>
      <c r="K56" s="10">
        <v>6.7000000000000002E-5</v>
      </c>
      <c r="L56" s="10">
        <v>6.7000000000000002E-5</v>
      </c>
      <c r="M56" s="10">
        <v>6.7000000000000002E-5</v>
      </c>
      <c r="N56" s="10">
        <v>6.7000000000000002E-5</v>
      </c>
      <c r="O56" s="10">
        <v>6.7000000000000002E-5</v>
      </c>
      <c r="P56" s="10">
        <v>6.7000000000000002E-5</v>
      </c>
      <c r="Q56" s="10">
        <v>6.7000000000000002E-5</v>
      </c>
      <c r="R56" s="10">
        <v>6.7000000000000002E-5</v>
      </c>
      <c r="S56" s="10">
        <v>6.7000000000000002E-5</v>
      </c>
      <c r="T56" s="10">
        <v>6.7000000000000002E-5</v>
      </c>
      <c r="U56" s="10">
        <v>6.7000000000000002E-5</v>
      </c>
      <c r="V56" s="10">
        <v>6.7000000000000002E-5</v>
      </c>
      <c r="W56" s="10">
        <v>6.7000000000000002E-5</v>
      </c>
      <c r="X56" s="10">
        <v>6.7000000000000002E-5</v>
      </c>
      <c r="Y56" s="10">
        <v>6.7000000000000002E-5</v>
      </c>
      <c r="Z56" s="10">
        <v>6.7000000000000002E-5</v>
      </c>
      <c r="AA56" s="10">
        <v>6.7000000000000002E-5</v>
      </c>
      <c r="AB56" s="10">
        <v>6.7000000000000002E-5</v>
      </c>
      <c r="AC56" s="10">
        <v>6.7000000000000002E-5</v>
      </c>
      <c r="AD56" s="10">
        <v>6.7000000000000002E-5</v>
      </c>
      <c r="AE56" s="10">
        <v>6.7000000000000002E-5</v>
      </c>
      <c r="AF56" s="10">
        <v>6.7000000000000002E-5</v>
      </c>
      <c r="AG56" s="10">
        <v>6.7000000000000002E-5</v>
      </c>
      <c r="AH56" s="10">
        <v>6.7000000000000002E-5</v>
      </c>
      <c r="AI56" s="10">
        <v>6.7000000000000002E-5</v>
      </c>
      <c r="AJ56" s="10">
        <v>6.7000000000000002E-5</v>
      </c>
      <c r="AK56" s="10">
        <v>6.7000000000000002E-5</v>
      </c>
      <c r="AL56" s="12">
        <v>6.7000000000000002E-5</v>
      </c>
      <c r="AM56" s="10">
        <v>6.7000000000000002E-5</v>
      </c>
      <c r="AN56" s="10">
        <v>6.7000000000000002E-5</v>
      </c>
      <c r="AO56" s="10">
        <v>6.7000000000000002E-5</v>
      </c>
      <c r="AP56" s="12">
        <v>6.7000000000000002E-5</v>
      </c>
      <c r="AQ56" s="10"/>
      <c r="AR56" s="10"/>
      <c r="AS56" s="10"/>
      <c r="AT56" s="10"/>
      <c r="AU56" s="10"/>
      <c r="AV56" s="10"/>
      <c r="AW56" s="10"/>
      <c r="AX56" s="10"/>
      <c r="AY56" s="10"/>
      <c r="AZ56" s="10"/>
      <c r="BA56" s="10"/>
      <c r="BB56" s="10"/>
      <c r="BC56" s="10"/>
      <c r="BD56" s="10"/>
      <c r="BE56" s="12"/>
      <c r="BF56" s="10">
        <v>1.8</v>
      </c>
      <c r="BG56" s="10">
        <v>1.8</v>
      </c>
      <c r="BH56" s="10">
        <v>1.8</v>
      </c>
      <c r="BI56" s="10">
        <v>1.8</v>
      </c>
      <c r="BJ56" s="10">
        <v>1.8</v>
      </c>
      <c r="BK56" s="10">
        <v>1.8</v>
      </c>
      <c r="BL56" s="10">
        <v>1.8</v>
      </c>
      <c r="BM56" s="10">
        <v>1.8</v>
      </c>
      <c r="BN56" s="10">
        <v>1.8</v>
      </c>
      <c r="BO56" s="12">
        <v>1.8</v>
      </c>
      <c r="BP56" s="10">
        <v>1.8</v>
      </c>
      <c r="BQ56" s="10">
        <v>1.8</v>
      </c>
      <c r="BR56" s="10">
        <v>1.8</v>
      </c>
      <c r="BS56" s="10">
        <v>1.8</v>
      </c>
      <c r="BT56" s="11"/>
      <c r="BU56" s="10"/>
      <c r="BV56" s="10"/>
      <c r="BW56" s="10"/>
      <c r="BX56" s="10"/>
      <c r="BY56" s="10"/>
      <c r="BZ56" s="10"/>
      <c r="CA56" s="10"/>
      <c r="CB56" s="10"/>
      <c r="CC56" s="10"/>
      <c r="CD56" s="10"/>
      <c r="CE56" s="10"/>
      <c r="CF56" s="10"/>
      <c r="CG56" s="10"/>
      <c r="CH56" s="9"/>
    </row>
    <row r="57" spans="1:86">
      <c r="A57" s="13" t="s">
        <v>575</v>
      </c>
      <c r="B57" s="10">
        <v>1.2</v>
      </c>
      <c r="C57" s="10">
        <v>1.2</v>
      </c>
      <c r="D57" s="10">
        <v>1.2</v>
      </c>
      <c r="E57" s="10">
        <v>1.2</v>
      </c>
      <c r="F57" s="10">
        <v>1.2</v>
      </c>
      <c r="G57" s="10">
        <v>1.2</v>
      </c>
      <c r="H57" s="10">
        <v>1.2</v>
      </c>
      <c r="I57" s="10">
        <v>1.2</v>
      </c>
      <c r="J57" s="10">
        <v>1.2</v>
      </c>
      <c r="K57" s="10">
        <v>1.2</v>
      </c>
      <c r="L57" s="10">
        <v>1.2</v>
      </c>
      <c r="M57" s="10">
        <v>1.2</v>
      </c>
      <c r="N57" s="10">
        <v>1.2</v>
      </c>
      <c r="O57" s="10">
        <v>1.2</v>
      </c>
      <c r="P57" s="10">
        <v>1.2</v>
      </c>
      <c r="Q57" s="10">
        <v>1.2</v>
      </c>
      <c r="R57" s="10">
        <v>1.2</v>
      </c>
      <c r="S57" s="10">
        <v>1.2</v>
      </c>
      <c r="T57" s="10">
        <v>1.2</v>
      </c>
      <c r="U57" s="10">
        <v>1.2</v>
      </c>
      <c r="V57" s="10">
        <v>1.2</v>
      </c>
      <c r="W57" s="10">
        <v>1.2</v>
      </c>
      <c r="X57" s="10">
        <v>1.2</v>
      </c>
      <c r="Y57" s="10">
        <v>1.2</v>
      </c>
      <c r="Z57" s="10">
        <v>1.2</v>
      </c>
      <c r="AA57" s="10">
        <v>1.2</v>
      </c>
      <c r="AB57" s="10">
        <v>1.2</v>
      </c>
      <c r="AC57" s="10">
        <v>1.2</v>
      </c>
      <c r="AD57" s="10">
        <v>1.2</v>
      </c>
      <c r="AE57" s="10">
        <v>1.2</v>
      </c>
      <c r="AF57" s="10">
        <v>1.2</v>
      </c>
      <c r="AG57" s="10">
        <v>1.2</v>
      </c>
      <c r="AH57" s="10">
        <v>1.2</v>
      </c>
      <c r="AI57" s="10">
        <v>1.2</v>
      </c>
      <c r="AJ57" s="10">
        <v>1.2</v>
      </c>
      <c r="AK57" s="10">
        <v>1.2</v>
      </c>
      <c r="AL57" s="12">
        <v>1.2</v>
      </c>
      <c r="AM57" s="10">
        <v>1.2</v>
      </c>
      <c r="AN57" s="10">
        <v>1.2</v>
      </c>
      <c r="AO57" s="10">
        <v>1.2</v>
      </c>
      <c r="AP57" s="12">
        <v>1.2</v>
      </c>
      <c r="AQ57" s="10"/>
      <c r="AR57" s="10"/>
      <c r="AS57" s="10"/>
      <c r="AT57" s="10"/>
      <c r="AU57" s="10"/>
      <c r="AV57" s="10"/>
      <c r="AW57" s="10"/>
      <c r="AX57" s="10"/>
      <c r="AY57" s="10"/>
      <c r="AZ57" s="10"/>
      <c r="BA57" s="10"/>
      <c r="BB57" s="10"/>
      <c r="BC57" s="10"/>
      <c r="BD57" s="10"/>
      <c r="BE57" s="12"/>
      <c r="BF57" s="15"/>
      <c r="BG57" s="15"/>
      <c r="BH57" s="15"/>
      <c r="BI57" s="15"/>
      <c r="BJ57" s="15"/>
      <c r="BK57" s="15"/>
      <c r="BL57" s="15"/>
      <c r="BM57" s="15"/>
      <c r="BN57" s="15"/>
      <c r="BO57" s="20"/>
      <c r="BP57" s="15"/>
      <c r="BQ57" s="15"/>
      <c r="BR57" s="15"/>
      <c r="BS57" s="15"/>
      <c r="BT57" s="11">
        <v>1.9E-2</v>
      </c>
      <c r="BU57" s="10">
        <v>1.9E-2</v>
      </c>
      <c r="BV57" s="10">
        <v>1.9E-2</v>
      </c>
      <c r="BW57" s="10">
        <v>1.9E-2</v>
      </c>
      <c r="BX57" s="10">
        <v>1.9E-2</v>
      </c>
      <c r="BY57" s="10">
        <v>1.9E-2</v>
      </c>
      <c r="BZ57" s="10">
        <v>1.9E-2</v>
      </c>
      <c r="CA57" s="10">
        <v>1.9E-2</v>
      </c>
      <c r="CB57" s="10">
        <v>1.9E-2</v>
      </c>
      <c r="CC57" s="10">
        <v>1.9E-2</v>
      </c>
      <c r="CD57" s="10">
        <v>1.9E-2</v>
      </c>
      <c r="CE57" s="10">
        <v>1.9E-2</v>
      </c>
      <c r="CF57" s="10">
        <v>1.9E-2</v>
      </c>
      <c r="CG57" s="10">
        <v>1.9E-2</v>
      </c>
      <c r="CH57" s="9">
        <v>1.9E-2</v>
      </c>
    </row>
    <row r="58" spans="1:86">
      <c r="A58" s="13" t="s">
        <v>576</v>
      </c>
      <c r="B58" s="10">
        <v>0.15</v>
      </c>
      <c r="C58" s="10">
        <v>0.15</v>
      </c>
      <c r="D58" s="10">
        <v>0.15</v>
      </c>
      <c r="E58" s="10">
        <v>0.15</v>
      </c>
      <c r="F58" s="10">
        <v>0.15</v>
      </c>
      <c r="G58" s="10">
        <v>0.15</v>
      </c>
      <c r="H58" s="10">
        <v>0.15</v>
      </c>
      <c r="I58" s="10">
        <v>0.15</v>
      </c>
      <c r="J58" s="10">
        <v>0.15</v>
      </c>
      <c r="K58" s="10">
        <v>0.15</v>
      </c>
      <c r="L58" s="10">
        <v>0.15</v>
      </c>
      <c r="M58" s="10">
        <v>0.15</v>
      </c>
      <c r="N58" s="10">
        <v>0.15</v>
      </c>
      <c r="O58" s="10">
        <v>0.15</v>
      </c>
      <c r="P58" s="10">
        <v>0.15</v>
      </c>
      <c r="Q58" s="10">
        <v>0.15</v>
      </c>
      <c r="R58" s="10">
        <v>0.15</v>
      </c>
      <c r="S58" s="10">
        <v>0.15</v>
      </c>
      <c r="T58" s="10">
        <v>0.15</v>
      </c>
      <c r="U58" s="10">
        <v>0.15</v>
      </c>
      <c r="V58" s="10">
        <v>0.15</v>
      </c>
      <c r="W58" s="10">
        <v>0.15</v>
      </c>
      <c r="X58" s="10">
        <v>0.15</v>
      </c>
      <c r="Y58" s="10">
        <v>0.15</v>
      </c>
      <c r="Z58" s="10">
        <v>0.15</v>
      </c>
      <c r="AA58" s="10">
        <v>0.15</v>
      </c>
      <c r="AB58" s="10">
        <v>0.15</v>
      </c>
      <c r="AC58" s="10">
        <v>0.15</v>
      </c>
      <c r="AD58" s="10">
        <v>0.15</v>
      </c>
      <c r="AE58" s="10">
        <v>0.15</v>
      </c>
      <c r="AF58" s="10">
        <v>0.15</v>
      </c>
      <c r="AG58" s="10">
        <v>0.15</v>
      </c>
      <c r="AH58" s="10">
        <v>0.15</v>
      </c>
      <c r="AI58" s="10">
        <v>0.15</v>
      </c>
      <c r="AJ58" s="10">
        <v>0.15</v>
      </c>
      <c r="AK58" s="10">
        <v>0.15</v>
      </c>
      <c r="AL58" s="12">
        <v>0.15</v>
      </c>
      <c r="AM58" s="10">
        <v>0.15</v>
      </c>
      <c r="AN58" s="10">
        <v>0.15</v>
      </c>
      <c r="AO58" s="10">
        <v>0.15</v>
      </c>
      <c r="AP58" s="12">
        <v>0.15</v>
      </c>
      <c r="AQ58" s="10"/>
      <c r="AR58" s="10"/>
      <c r="AS58" s="10"/>
      <c r="AT58" s="10"/>
      <c r="AU58" s="10"/>
      <c r="AV58" s="10"/>
      <c r="AW58" s="10"/>
      <c r="AX58" s="10"/>
      <c r="AY58" s="10"/>
      <c r="AZ58" s="10"/>
      <c r="BA58" s="10"/>
      <c r="BB58" s="10"/>
      <c r="BC58" s="10"/>
      <c r="BD58" s="10"/>
      <c r="BE58" s="12"/>
      <c r="BF58" s="15"/>
      <c r="BG58" s="15"/>
      <c r="BH58" s="15"/>
      <c r="BI58" s="15"/>
      <c r="BJ58" s="15"/>
      <c r="BK58" s="15"/>
      <c r="BL58" s="15"/>
      <c r="BM58" s="15"/>
      <c r="BN58" s="15"/>
      <c r="BO58" s="20"/>
      <c r="BP58" s="15"/>
      <c r="BQ58" s="15"/>
      <c r="BR58" s="15"/>
      <c r="BS58" s="15"/>
      <c r="BT58" s="11"/>
      <c r="BU58" s="10"/>
      <c r="BV58" s="10"/>
      <c r="BW58" s="10"/>
      <c r="BX58" s="10"/>
      <c r="BY58" s="10"/>
      <c r="BZ58" s="10"/>
      <c r="CA58" s="10"/>
      <c r="CB58" s="10"/>
      <c r="CC58" s="10"/>
      <c r="CD58" s="10"/>
      <c r="CE58" s="10"/>
      <c r="CF58" s="10"/>
      <c r="CG58" s="10"/>
      <c r="CH58" s="9"/>
    </row>
    <row r="59" spans="1:86">
      <c r="A59" s="13" t="s">
        <v>577</v>
      </c>
      <c r="B59" s="10">
        <v>5.8E-4</v>
      </c>
      <c r="C59" s="10">
        <v>5.8E-4</v>
      </c>
      <c r="D59" s="10">
        <v>5.8E-4</v>
      </c>
      <c r="E59" s="10">
        <v>5.8E-4</v>
      </c>
      <c r="F59" s="10">
        <v>5.8E-4</v>
      </c>
      <c r="G59" s="10">
        <v>5.8E-4</v>
      </c>
      <c r="H59" s="10">
        <v>5.8E-4</v>
      </c>
      <c r="I59" s="10">
        <v>5.8E-4</v>
      </c>
      <c r="J59" s="10">
        <v>5.8E-4</v>
      </c>
      <c r="K59" s="10">
        <v>5.8E-4</v>
      </c>
      <c r="L59" s="10">
        <v>5.8E-4</v>
      </c>
      <c r="M59" s="10">
        <v>5.8E-4</v>
      </c>
      <c r="N59" s="10">
        <v>5.8E-4</v>
      </c>
      <c r="O59" s="10">
        <v>5.8E-4</v>
      </c>
      <c r="P59" s="10">
        <v>5.8E-4</v>
      </c>
      <c r="Q59" s="10">
        <v>5.8E-4</v>
      </c>
      <c r="R59" s="10">
        <v>5.8E-4</v>
      </c>
      <c r="S59" s="10">
        <v>5.8E-4</v>
      </c>
      <c r="T59" s="10">
        <v>5.8E-4</v>
      </c>
      <c r="U59" s="10">
        <v>5.8E-4</v>
      </c>
      <c r="V59" s="10">
        <v>5.8E-4</v>
      </c>
      <c r="W59" s="10">
        <v>5.8E-4</v>
      </c>
      <c r="X59" s="10">
        <v>5.8E-4</v>
      </c>
      <c r="Y59" s="10">
        <v>5.8E-4</v>
      </c>
      <c r="Z59" s="10">
        <v>5.8E-4</v>
      </c>
      <c r="AA59" s="10">
        <v>5.8E-4</v>
      </c>
      <c r="AB59" s="10">
        <v>5.8E-4</v>
      </c>
      <c r="AC59" s="10">
        <v>5.8E-4</v>
      </c>
      <c r="AD59" s="10">
        <v>5.8E-4</v>
      </c>
      <c r="AE59" s="10">
        <v>5.8E-4</v>
      </c>
      <c r="AF59" s="10">
        <v>5.8E-4</v>
      </c>
      <c r="AG59" s="10">
        <v>5.8E-4</v>
      </c>
      <c r="AH59" s="10">
        <v>5.8E-4</v>
      </c>
      <c r="AI59" s="10">
        <v>5.8E-4</v>
      </c>
      <c r="AJ59" s="10">
        <v>5.8E-4</v>
      </c>
      <c r="AK59" s="10">
        <v>5.8E-4</v>
      </c>
      <c r="AL59" s="12">
        <v>5.8E-4</v>
      </c>
      <c r="AM59" s="10">
        <v>5.8E-4</v>
      </c>
      <c r="AN59" s="10">
        <v>5.8E-4</v>
      </c>
      <c r="AO59" s="10">
        <v>5.8E-4</v>
      </c>
      <c r="AP59" s="12">
        <v>5.8E-4</v>
      </c>
      <c r="AQ59" s="10"/>
      <c r="AR59" s="10"/>
      <c r="AS59" s="10"/>
      <c r="AT59" s="10"/>
      <c r="AU59" s="10"/>
      <c r="AV59" s="10"/>
      <c r="AW59" s="10"/>
      <c r="AX59" s="10"/>
      <c r="AY59" s="10"/>
      <c r="AZ59" s="10"/>
      <c r="BA59" s="10"/>
      <c r="BB59" s="10"/>
      <c r="BC59" s="10"/>
      <c r="BD59" s="10"/>
      <c r="BE59" s="12"/>
      <c r="BF59" s="15"/>
      <c r="BG59" s="15"/>
      <c r="BH59" s="15"/>
      <c r="BI59" s="15"/>
      <c r="BJ59" s="15"/>
      <c r="BK59" s="15"/>
      <c r="BL59" s="15"/>
      <c r="BM59" s="15"/>
      <c r="BN59" s="15"/>
      <c r="BO59" s="20"/>
      <c r="BP59" s="15"/>
      <c r="BQ59" s="15"/>
      <c r="BR59" s="15"/>
      <c r="BS59" s="15"/>
      <c r="BT59" s="11"/>
      <c r="BU59" s="10"/>
      <c r="BV59" s="10"/>
      <c r="BW59" s="10"/>
      <c r="BX59" s="10"/>
      <c r="BY59" s="10"/>
      <c r="BZ59" s="10"/>
      <c r="CA59" s="10"/>
      <c r="CB59" s="10"/>
      <c r="CC59" s="10"/>
      <c r="CD59" s="10"/>
      <c r="CE59" s="10"/>
      <c r="CF59" s="10"/>
      <c r="CG59" s="10"/>
      <c r="CH59" s="9"/>
    </row>
    <row r="60" spans="1:86">
      <c r="A60" s="13" t="s">
        <v>98</v>
      </c>
      <c r="B60" s="10">
        <f t="shared" ref="B60:AL60" si="12">0.00049/(1-99.2%)</f>
        <v>6.1249999999999943E-2</v>
      </c>
      <c r="C60" s="10">
        <f t="shared" si="12"/>
        <v>6.1249999999999943E-2</v>
      </c>
      <c r="D60" s="10">
        <f t="shared" si="12"/>
        <v>6.1249999999999943E-2</v>
      </c>
      <c r="E60" s="10">
        <f t="shared" si="12"/>
        <v>6.1249999999999943E-2</v>
      </c>
      <c r="F60" s="10">
        <f t="shared" si="12"/>
        <v>6.1249999999999943E-2</v>
      </c>
      <c r="G60" s="10">
        <f t="shared" si="12"/>
        <v>6.1249999999999943E-2</v>
      </c>
      <c r="H60" s="10">
        <f t="shared" si="12"/>
        <v>6.1249999999999943E-2</v>
      </c>
      <c r="I60" s="10">
        <f t="shared" si="12"/>
        <v>6.1249999999999943E-2</v>
      </c>
      <c r="J60" s="10">
        <f t="shared" si="12"/>
        <v>6.1249999999999943E-2</v>
      </c>
      <c r="K60" s="10">
        <f t="shared" si="12"/>
        <v>6.1249999999999943E-2</v>
      </c>
      <c r="L60" s="10">
        <f t="shared" si="12"/>
        <v>6.1249999999999943E-2</v>
      </c>
      <c r="M60" s="10">
        <f t="shared" si="12"/>
        <v>6.1249999999999943E-2</v>
      </c>
      <c r="N60" s="10">
        <f t="shared" si="12"/>
        <v>6.1249999999999943E-2</v>
      </c>
      <c r="O60" s="10">
        <f t="shared" si="12"/>
        <v>6.1249999999999943E-2</v>
      </c>
      <c r="P60" s="10">
        <f t="shared" si="12"/>
        <v>6.1249999999999943E-2</v>
      </c>
      <c r="Q60" s="10">
        <f t="shared" si="12"/>
        <v>6.1249999999999943E-2</v>
      </c>
      <c r="R60" s="10">
        <f t="shared" si="12"/>
        <v>6.1249999999999943E-2</v>
      </c>
      <c r="S60" s="10">
        <f t="shared" si="12"/>
        <v>6.1249999999999943E-2</v>
      </c>
      <c r="T60" s="10">
        <f t="shared" si="12"/>
        <v>6.1249999999999943E-2</v>
      </c>
      <c r="U60" s="10">
        <f t="shared" si="12"/>
        <v>6.1249999999999943E-2</v>
      </c>
      <c r="V60" s="10">
        <f t="shared" si="12"/>
        <v>6.1249999999999943E-2</v>
      </c>
      <c r="W60" s="10">
        <f t="shared" si="12"/>
        <v>6.1249999999999943E-2</v>
      </c>
      <c r="X60" s="10">
        <f t="shared" si="12"/>
        <v>6.1249999999999943E-2</v>
      </c>
      <c r="Y60" s="10">
        <f t="shared" si="12"/>
        <v>6.1249999999999943E-2</v>
      </c>
      <c r="Z60" s="10">
        <f t="shared" si="12"/>
        <v>6.1249999999999943E-2</v>
      </c>
      <c r="AA60" s="10">
        <f t="shared" si="12"/>
        <v>6.1249999999999943E-2</v>
      </c>
      <c r="AB60" s="10">
        <f t="shared" si="12"/>
        <v>6.1249999999999943E-2</v>
      </c>
      <c r="AC60" s="10">
        <f t="shared" si="12"/>
        <v>6.1249999999999943E-2</v>
      </c>
      <c r="AD60" s="10">
        <f t="shared" si="12"/>
        <v>6.1249999999999943E-2</v>
      </c>
      <c r="AE60" s="10">
        <f t="shared" si="12"/>
        <v>6.1249999999999943E-2</v>
      </c>
      <c r="AF60" s="10">
        <f t="shared" si="12"/>
        <v>6.1249999999999943E-2</v>
      </c>
      <c r="AG60" s="10">
        <f t="shared" si="12"/>
        <v>6.1249999999999943E-2</v>
      </c>
      <c r="AH60" s="10">
        <f t="shared" si="12"/>
        <v>6.1249999999999943E-2</v>
      </c>
      <c r="AI60" s="10">
        <f t="shared" si="12"/>
        <v>6.1249999999999943E-2</v>
      </c>
      <c r="AJ60" s="10">
        <f t="shared" si="12"/>
        <v>6.1249999999999943E-2</v>
      </c>
      <c r="AK60" s="10">
        <f t="shared" si="12"/>
        <v>6.1249999999999943E-2</v>
      </c>
      <c r="AL60" s="12">
        <f t="shared" si="12"/>
        <v>6.1249999999999943E-2</v>
      </c>
      <c r="AM60" s="10">
        <v>3.5999999999999999E-3</v>
      </c>
      <c r="AN60" s="10">
        <f>0.00049/(1-99.2%)</f>
        <v>6.1249999999999943E-2</v>
      </c>
      <c r="AO60" s="10">
        <f>0.00049/(1-99.2%)</f>
        <v>6.1249999999999943E-2</v>
      </c>
      <c r="AP60" s="12">
        <f>0.00049/(1-99.2%)</f>
        <v>6.1249999999999943E-2</v>
      </c>
      <c r="AQ60" s="10">
        <v>3.0000000000000001E-3</v>
      </c>
      <c r="AR60" s="10">
        <v>3.0000000000000001E-3</v>
      </c>
      <c r="AS60" s="10">
        <v>3.0000000000000001E-3</v>
      </c>
      <c r="AT60" s="10">
        <v>3.0000000000000001E-3</v>
      </c>
      <c r="AU60" s="10">
        <v>6E-9</v>
      </c>
      <c r="AV60" s="10">
        <v>6E-9</v>
      </c>
      <c r="AW60" s="10">
        <v>6E-9</v>
      </c>
      <c r="AX60" s="10">
        <v>6E-9</v>
      </c>
      <c r="AY60" s="10">
        <v>6E-9</v>
      </c>
      <c r="AZ60" s="10">
        <v>6E-9</v>
      </c>
      <c r="BA60" s="10">
        <v>3.0000000000000001E-3</v>
      </c>
      <c r="BB60" s="10">
        <v>6E-9</v>
      </c>
      <c r="BC60" s="10">
        <v>6E-9</v>
      </c>
      <c r="BD60" s="10">
        <v>6E-9</v>
      </c>
      <c r="BE60" s="12">
        <v>6E-9</v>
      </c>
      <c r="BF60" s="10">
        <v>3.8000000000000002E-4</v>
      </c>
      <c r="BG60" s="10">
        <v>3.8000000000000002E-4</v>
      </c>
      <c r="BH60" s="10">
        <v>3.8000000000000002E-4</v>
      </c>
      <c r="BI60" s="10">
        <v>3.8000000000000002E-4</v>
      </c>
      <c r="BJ60" s="10">
        <v>3.8000000000000002E-4</v>
      </c>
      <c r="BK60" s="10">
        <v>3.8000000000000002E-4</v>
      </c>
      <c r="BL60" s="10">
        <v>3.8000000000000002E-4</v>
      </c>
      <c r="BM60" s="10">
        <v>3.8000000000000002E-4</v>
      </c>
      <c r="BN60" s="10">
        <v>3.8000000000000002E-4</v>
      </c>
      <c r="BO60" s="12">
        <v>3.8000000000000002E-4</v>
      </c>
      <c r="BP60" s="10">
        <v>3.8000000000000002E-4</v>
      </c>
      <c r="BQ60" s="10">
        <v>3.8000000000000002E-4</v>
      </c>
      <c r="BR60" s="10">
        <v>3.8000000000000002E-4</v>
      </c>
      <c r="BS60" s="10">
        <v>3.8000000000000002E-4</v>
      </c>
      <c r="BT60" s="11">
        <v>1.6000000000000001E-3</v>
      </c>
      <c r="BU60" s="10">
        <v>1.6000000000000001E-3</v>
      </c>
      <c r="BV60" s="10">
        <v>1.6000000000000001E-3</v>
      </c>
      <c r="BW60" s="10">
        <v>1.6000000000000001E-3</v>
      </c>
      <c r="BX60" s="10">
        <v>1.6000000000000001E-3</v>
      </c>
      <c r="BY60" s="10">
        <v>1.6000000000000001E-3</v>
      </c>
      <c r="BZ60" s="10">
        <v>1.6000000000000001E-3</v>
      </c>
      <c r="CA60" s="10">
        <v>1.6000000000000001E-3</v>
      </c>
      <c r="CB60" s="10">
        <v>1.6000000000000001E-3</v>
      </c>
      <c r="CC60" s="10">
        <v>1.6000000000000001E-3</v>
      </c>
      <c r="CD60" s="10">
        <v>1.6000000000000001E-3</v>
      </c>
      <c r="CE60" s="10">
        <v>1.6000000000000001E-3</v>
      </c>
      <c r="CF60" s="10">
        <v>1.6000000000000001E-3</v>
      </c>
      <c r="CG60" s="10">
        <v>1.6000000000000001E-3</v>
      </c>
      <c r="CH60" s="9">
        <v>1.6000000000000001E-3</v>
      </c>
    </row>
    <row r="61" spans="1:86">
      <c r="A61" s="13" t="s">
        <v>99</v>
      </c>
      <c r="B61" s="10">
        <f t="shared" ref="B61:AL61" si="13">0.000083/(1-99.2%)</f>
        <v>1.037499999999999E-2</v>
      </c>
      <c r="C61" s="10">
        <f t="shared" si="13"/>
        <v>1.037499999999999E-2</v>
      </c>
      <c r="D61" s="10">
        <f t="shared" si="13"/>
        <v>1.037499999999999E-2</v>
      </c>
      <c r="E61" s="10">
        <f t="shared" si="13"/>
        <v>1.037499999999999E-2</v>
      </c>
      <c r="F61" s="10">
        <f t="shared" si="13"/>
        <v>1.037499999999999E-2</v>
      </c>
      <c r="G61" s="10">
        <f t="shared" si="13"/>
        <v>1.037499999999999E-2</v>
      </c>
      <c r="H61" s="10">
        <f t="shared" si="13"/>
        <v>1.037499999999999E-2</v>
      </c>
      <c r="I61" s="10">
        <f t="shared" si="13"/>
        <v>1.037499999999999E-2</v>
      </c>
      <c r="J61" s="10">
        <f t="shared" si="13"/>
        <v>1.037499999999999E-2</v>
      </c>
      <c r="K61" s="10">
        <f t="shared" si="13"/>
        <v>1.037499999999999E-2</v>
      </c>
      <c r="L61" s="10">
        <f t="shared" si="13"/>
        <v>1.037499999999999E-2</v>
      </c>
      <c r="M61" s="10">
        <f t="shared" si="13"/>
        <v>1.037499999999999E-2</v>
      </c>
      <c r="N61" s="10">
        <f t="shared" si="13"/>
        <v>1.037499999999999E-2</v>
      </c>
      <c r="O61" s="10">
        <f t="shared" si="13"/>
        <v>1.037499999999999E-2</v>
      </c>
      <c r="P61" s="10">
        <f t="shared" si="13"/>
        <v>1.037499999999999E-2</v>
      </c>
      <c r="Q61" s="10">
        <f t="shared" si="13"/>
        <v>1.037499999999999E-2</v>
      </c>
      <c r="R61" s="10">
        <f t="shared" si="13"/>
        <v>1.037499999999999E-2</v>
      </c>
      <c r="S61" s="10">
        <f t="shared" si="13"/>
        <v>1.037499999999999E-2</v>
      </c>
      <c r="T61" s="10">
        <f t="shared" si="13"/>
        <v>1.037499999999999E-2</v>
      </c>
      <c r="U61" s="10">
        <f t="shared" si="13"/>
        <v>1.037499999999999E-2</v>
      </c>
      <c r="V61" s="10">
        <f t="shared" si="13"/>
        <v>1.037499999999999E-2</v>
      </c>
      <c r="W61" s="10">
        <f t="shared" si="13"/>
        <v>1.037499999999999E-2</v>
      </c>
      <c r="X61" s="10">
        <f t="shared" si="13"/>
        <v>1.037499999999999E-2</v>
      </c>
      <c r="Y61" s="10">
        <f t="shared" si="13"/>
        <v>1.037499999999999E-2</v>
      </c>
      <c r="Z61" s="10">
        <f t="shared" si="13"/>
        <v>1.037499999999999E-2</v>
      </c>
      <c r="AA61" s="10">
        <f t="shared" si="13"/>
        <v>1.037499999999999E-2</v>
      </c>
      <c r="AB61" s="10">
        <f t="shared" si="13"/>
        <v>1.037499999999999E-2</v>
      </c>
      <c r="AC61" s="10">
        <f t="shared" si="13"/>
        <v>1.037499999999999E-2</v>
      </c>
      <c r="AD61" s="10">
        <f t="shared" si="13"/>
        <v>1.037499999999999E-2</v>
      </c>
      <c r="AE61" s="10">
        <f t="shared" si="13"/>
        <v>1.037499999999999E-2</v>
      </c>
      <c r="AF61" s="10">
        <f t="shared" si="13"/>
        <v>1.037499999999999E-2</v>
      </c>
      <c r="AG61" s="10">
        <f t="shared" si="13"/>
        <v>1.037499999999999E-2</v>
      </c>
      <c r="AH61" s="10">
        <f t="shared" si="13"/>
        <v>1.037499999999999E-2</v>
      </c>
      <c r="AI61" s="10">
        <f t="shared" si="13"/>
        <v>1.037499999999999E-2</v>
      </c>
      <c r="AJ61" s="10">
        <f t="shared" si="13"/>
        <v>1.037499999999999E-2</v>
      </c>
      <c r="AK61" s="10">
        <f t="shared" si="13"/>
        <v>1.037499999999999E-2</v>
      </c>
      <c r="AL61" s="12">
        <f t="shared" si="13"/>
        <v>1.037499999999999E-2</v>
      </c>
      <c r="AM61" s="10">
        <v>1.2999999999999999E-4</v>
      </c>
      <c r="AN61" s="10">
        <f>0.000083/(1-99.2%)</f>
        <v>1.037499999999999E-2</v>
      </c>
      <c r="AO61" s="10">
        <f>0.000083/(1-99.2%)</f>
        <v>1.037499999999999E-2</v>
      </c>
      <c r="AP61" s="12">
        <f>0.000083/(1-99.2%)</f>
        <v>1.037499999999999E-2</v>
      </c>
      <c r="AQ61" s="10">
        <v>1.13E-4</v>
      </c>
      <c r="AR61" s="10">
        <v>1.13E-4</v>
      </c>
      <c r="AS61" s="10">
        <v>1.13E-4</v>
      </c>
      <c r="AT61" s="10">
        <v>1.13E-4</v>
      </c>
      <c r="AU61" s="10">
        <v>3E-9</v>
      </c>
      <c r="AV61" s="10">
        <v>3E-9</v>
      </c>
      <c r="AW61" s="10">
        <v>3E-9</v>
      </c>
      <c r="AX61" s="10">
        <v>3E-9</v>
      </c>
      <c r="AY61" s="10">
        <v>3E-9</v>
      </c>
      <c r="AZ61" s="10">
        <v>3E-9</v>
      </c>
      <c r="BA61" s="10">
        <v>1.13E-4</v>
      </c>
      <c r="BB61" s="10">
        <v>3E-9</v>
      </c>
      <c r="BC61" s="10">
        <v>3E-9</v>
      </c>
      <c r="BD61" s="10">
        <v>3E-9</v>
      </c>
      <c r="BE61" s="12">
        <v>3E-9</v>
      </c>
      <c r="BF61" s="10">
        <v>2.5999999999999998E-4</v>
      </c>
      <c r="BG61" s="10">
        <v>2.5999999999999998E-4</v>
      </c>
      <c r="BH61" s="10">
        <v>2.5999999999999998E-4</v>
      </c>
      <c r="BI61" s="10">
        <v>2.5999999999999998E-4</v>
      </c>
      <c r="BJ61" s="10">
        <v>2.5999999999999998E-4</v>
      </c>
      <c r="BK61" s="10">
        <v>2.5999999999999998E-4</v>
      </c>
      <c r="BL61" s="10">
        <v>2.5999999999999998E-4</v>
      </c>
      <c r="BM61" s="10">
        <v>2.5999999999999998E-4</v>
      </c>
      <c r="BN61" s="10">
        <v>2.5999999999999998E-4</v>
      </c>
      <c r="BO61" s="12">
        <v>2.5999999999999998E-4</v>
      </c>
      <c r="BP61" s="10">
        <v>2.5999999999999998E-4</v>
      </c>
      <c r="BQ61" s="10">
        <v>2.5999999999999998E-4</v>
      </c>
      <c r="BR61" s="10">
        <v>2.5999999999999998E-4</v>
      </c>
      <c r="BS61" s="10">
        <v>2.5999999999999998E-4</v>
      </c>
      <c r="BT61" s="11">
        <v>3.4999999999999999E-6</v>
      </c>
      <c r="BU61" s="10">
        <v>3.4999999999999999E-6</v>
      </c>
      <c r="BV61" s="10">
        <v>3.4999999999999999E-6</v>
      </c>
      <c r="BW61" s="10">
        <v>3.4999999999999999E-6</v>
      </c>
      <c r="BX61" s="10">
        <v>3.4999999999999999E-6</v>
      </c>
      <c r="BY61" s="10">
        <v>3.4999999999999999E-6</v>
      </c>
      <c r="BZ61" s="10">
        <v>3.4999999999999999E-6</v>
      </c>
      <c r="CA61" s="10">
        <v>3.4999999999999999E-6</v>
      </c>
      <c r="CB61" s="10">
        <v>3.4999999999999999E-6</v>
      </c>
      <c r="CC61" s="10">
        <v>3.4999999999999999E-6</v>
      </c>
      <c r="CD61" s="10">
        <v>3.4999999999999999E-6</v>
      </c>
      <c r="CE61" s="10">
        <v>3.4999999999999999E-6</v>
      </c>
      <c r="CF61" s="10">
        <v>3.4999999999999999E-6</v>
      </c>
      <c r="CG61" s="10">
        <v>3.4999999999999999E-6</v>
      </c>
      <c r="CH61" s="9">
        <v>3.4999999999999999E-6</v>
      </c>
    </row>
    <row r="62" spans="1:86">
      <c r="A62" s="13" t="s">
        <v>578</v>
      </c>
      <c r="B62" s="10">
        <v>2.0000000000000002E-5</v>
      </c>
      <c r="C62" s="10">
        <v>2.0000000000000002E-5</v>
      </c>
      <c r="D62" s="10">
        <v>2.0000000000000002E-5</v>
      </c>
      <c r="E62" s="10">
        <v>2.0000000000000002E-5</v>
      </c>
      <c r="F62" s="10">
        <v>2.0000000000000002E-5</v>
      </c>
      <c r="G62" s="10">
        <v>2.0000000000000002E-5</v>
      </c>
      <c r="H62" s="10">
        <v>2.0000000000000002E-5</v>
      </c>
      <c r="I62" s="10">
        <v>2.0000000000000002E-5</v>
      </c>
      <c r="J62" s="10">
        <v>2.0000000000000002E-5</v>
      </c>
      <c r="K62" s="10">
        <v>2.0000000000000002E-5</v>
      </c>
      <c r="L62" s="10">
        <v>2.0000000000000002E-5</v>
      </c>
      <c r="M62" s="10">
        <v>2.0000000000000002E-5</v>
      </c>
      <c r="N62" s="10">
        <v>2.0000000000000002E-5</v>
      </c>
      <c r="O62" s="10">
        <v>2.0000000000000002E-5</v>
      </c>
      <c r="P62" s="10">
        <v>2.0000000000000002E-5</v>
      </c>
      <c r="Q62" s="10">
        <v>2.0000000000000002E-5</v>
      </c>
      <c r="R62" s="10">
        <v>2.0000000000000002E-5</v>
      </c>
      <c r="S62" s="10">
        <v>2.0000000000000002E-5</v>
      </c>
      <c r="T62" s="10">
        <v>2.0000000000000002E-5</v>
      </c>
      <c r="U62" s="10">
        <v>2.0000000000000002E-5</v>
      </c>
      <c r="V62" s="10">
        <v>2.0000000000000002E-5</v>
      </c>
      <c r="W62" s="10">
        <v>2.0000000000000002E-5</v>
      </c>
      <c r="X62" s="10">
        <v>2.0000000000000002E-5</v>
      </c>
      <c r="Y62" s="10">
        <v>2.0000000000000002E-5</v>
      </c>
      <c r="Z62" s="10">
        <v>2.0000000000000002E-5</v>
      </c>
      <c r="AA62" s="10">
        <v>2.0000000000000002E-5</v>
      </c>
      <c r="AB62" s="10">
        <v>2.0000000000000002E-5</v>
      </c>
      <c r="AC62" s="10">
        <v>2.0000000000000002E-5</v>
      </c>
      <c r="AD62" s="10">
        <v>2.0000000000000002E-5</v>
      </c>
      <c r="AE62" s="10">
        <v>2.0000000000000002E-5</v>
      </c>
      <c r="AF62" s="10">
        <v>2.0000000000000002E-5</v>
      </c>
      <c r="AG62" s="10">
        <v>2.0000000000000002E-5</v>
      </c>
      <c r="AH62" s="10">
        <v>2.0000000000000002E-5</v>
      </c>
      <c r="AI62" s="10">
        <v>2.0000000000000002E-5</v>
      </c>
      <c r="AJ62" s="10">
        <v>2.0000000000000002E-5</v>
      </c>
      <c r="AK62" s="10">
        <v>2.0000000000000002E-5</v>
      </c>
      <c r="AL62" s="12">
        <v>2.0000000000000002E-5</v>
      </c>
      <c r="AM62" s="10">
        <v>2.0000000000000002E-5</v>
      </c>
      <c r="AN62" s="10">
        <v>2.0000000000000002E-5</v>
      </c>
      <c r="AO62" s="10">
        <v>2.0000000000000002E-5</v>
      </c>
      <c r="AP62" s="12">
        <v>2.0000000000000002E-5</v>
      </c>
      <c r="AQ62" s="10"/>
      <c r="AR62" s="10"/>
      <c r="AS62" s="10"/>
      <c r="AT62" s="10"/>
      <c r="AU62" s="10"/>
      <c r="AV62" s="10"/>
      <c r="AW62" s="10"/>
      <c r="AX62" s="10"/>
      <c r="AY62" s="10"/>
      <c r="AZ62" s="10"/>
      <c r="BA62" s="10"/>
      <c r="BB62" s="10"/>
      <c r="BC62" s="10"/>
      <c r="BD62" s="10"/>
      <c r="BE62" s="12"/>
      <c r="BF62" s="15"/>
      <c r="BG62" s="15"/>
      <c r="BH62" s="15"/>
      <c r="BI62" s="15"/>
      <c r="BJ62" s="15"/>
      <c r="BK62" s="15"/>
      <c r="BL62" s="15"/>
      <c r="BM62" s="15"/>
      <c r="BN62" s="15"/>
      <c r="BO62" s="20"/>
      <c r="BP62" s="15"/>
      <c r="BQ62" s="15"/>
      <c r="BR62" s="15"/>
      <c r="BS62" s="15"/>
      <c r="BT62" s="11"/>
      <c r="BU62" s="10"/>
      <c r="BV62" s="10"/>
      <c r="BW62" s="10"/>
      <c r="BX62" s="10"/>
      <c r="BY62" s="10"/>
      <c r="BZ62" s="10"/>
      <c r="CA62" s="10"/>
      <c r="CB62" s="10"/>
      <c r="CC62" s="10"/>
      <c r="CD62" s="10"/>
      <c r="CE62" s="10"/>
      <c r="CF62" s="10"/>
      <c r="CG62" s="10"/>
      <c r="CH62" s="9"/>
    </row>
    <row r="63" spans="1:86">
      <c r="A63" s="13" t="s">
        <v>579</v>
      </c>
      <c r="B63" s="10">
        <v>1.7000000000000001E-4</v>
      </c>
      <c r="C63" s="10">
        <v>1.7000000000000001E-4</v>
      </c>
      <c r="D63" s="10">
        <v>1.7000000000000001E-4</v>
      </c>
      <c r="E63" s="10">
        <v>1.7000000000000001E-4</v>
      </c>
      <c r="F63" s="10">
        <v>1.7000000000000001E-4</v>
      </c>
      <c r="G63" s="10">
        <v>1.7000000000000001E-4</v>
      </c>
      <c r="H63" s="10">
        <v>1.7000000000000001E-4</v>
      </c>
      <c r="I63" s="10">
        <v>1.7000000000000001E-4</v>
      </c>
      <c r="J63" s="10">
        <v>1.7000000000000001E-4</v>
      </c>
      <c r="K63" s="10">
        <v>1.7000000000000001E-4</v>
      </c>
      <c r="L63" s="10">
        <v>1.7000000000000001E-4</v>
      </c>
      <c r="M63" s="10">
        <v>1.7000000000000001E-4</v>
      </c>
      <c r="N63" s="10">
        <v>1.7000000000000001E-4</v>
      </c>
      <c r="O63" s="10">
        <v>1.7000000000000001E-4</v>
      </c>
      <c r="P63" s="10">
        <v>1.7000000000000001E-4</v>
      </c>
      <c r="Q63" s="10">
        <v>1.7000000000000001E-4</v>
      </c>
      <c r="R63" s="10">
        <v>1.7000000000000001E-4</v>
      </c>
      <c r="S63" s="10">
        <v>1.7000000000000001E-4</v>
      </c>
      <c r="T63" s="10">
        <v>1.7000000000000001E-4</v>
      </c>
      <c r="U63" s="10">
        <v>1.7000000000000001E-4</v>
      </c>
      <c r="V63" s="10">
        <v>1.7000000000000001E-4</v>
      </c>
      <c r="W63" s="10">
        <v>1.7000000000000001E-4</v>
      </c>
      <c r="X63" s="10">
        <v>1.7000000000000001E-4</v>
      </c>
      <c r="Y63" s="10">
        <v>1.7000000000000001E-4</v>
      </c>
      <c r="Z63" s="10">
        <v>1.7000000000000001E-4</v>
      </c>
      <c r="AA63" s="10">
        <v>1.7000000000000001E-4</v>
      </c>
      <c r="AB63" s="10">
        <v>1.7000000000000001E-4</v>
      </c>
      <c r="AC63" s="10">
        <v>1.7000000000000001E-4</v>
      </c>
      <c r="AD63" s="10">
        <v>1.7000000000000001E-4</v>
      </c>
      <c r="AE63" s="10">
        <v>1.7000000000000001E-4</v>
      </c>
      <c r="AF63" s="10">
        <v>1.7000000000000001E-4</v>
      </c>
      <c r="AG63" s="10">
        <v>1.7000000000000001E-4</v>
      </c>
      <c r="AH63" s="10">
        <v>1.7000000000000001E-4</v>
      </c>
      <c r="AI63" s="10">
        <v>1.7000000000000001E-4</v>
      </c>
      <c r="AJ63" s="10">
        <v>1.7000000000000001E-4</v>
      </c>
      <c r="AK63" s="10">
        <v>1.7000000000000001E-4</v>
      </c>
      <c r="AL63" s="12">
        <v>1.7000000000000001E-4</v>
      </c>
      <c r="AM63" s="10">
        <v>1.7000000000000001E-4</v>
      </c>
      <c r="AN63" s="10">
        <v>1.7000000000000001E-4</v>
      </c>
      <c r="AO63" s="10">
        <v>1.7000000000000001E-4</v>
      </c>
      <c r="AP63" s="12">
        <v>1.7000000000000001E-4</v>
      </c>
      <c r="AQ63" s="10"/>
      <c r="AR63" s="10"/>
      <c r="AS63" s="10"/>
      <c r="AT63" s="10"/>
      <c r="AU63" s="10"/>
      <c r="AV63" s="10"/>
      <c r="AW63" s="10"/>
      <c r="AX63" s="10"/>
      <c r="AY63" s="10"/>
      <c r="AZ63" s="10"/>
      <c r="BA63" s="10"/>
      <c r="BB63" s="10"/>
      <c r="BC63" s="10"/>
      <c r="BD63" s="10"/>
      <c r="BE63" s="12"/>
      <c r="BF63" s="15"/>
      <c r="BG63" s="15"/>
      <c r="BH63" s="15"/>
      <c r="BI63" s="15"/>
      <c r="BJ63" s="15"/>
      <c r="BK63" s="15"/>
      <c r="BL63" s="15"/>
      <c r="BM63" s="15"/>
      <c r="BN63" s="15"/>
      <c r="BO63" s="20"/>
      <c r="BP63" s="15"/>
      <c r="BQ63" s="15"/>
      <c r="BR63" s="15"/>
      <c r="BS63" s="15"/>
      <c r="BT63" s="11"/>
      <c r="BU63" s="10"/>
      <c r="BV63" s="10"/>
      <c r="BW63" s="10"/>
      <c r="BX63" s="10"/>
      <c r="BY63" s="10"/>
      <c r="BZ63" s="10"/>
      <c r="CA63" s="10"/>
      <c r="CB63" s="10"/>
      <c r="CC63" s="10"/>
      <c r="CD63" s="10"/>
      <c r="CE63" s="10"/>
      <c r="CF63" s="10"/>
      <c r="CG63" s="10"/>
      <c r="CH63" s="9"/>
    </row>
    <row r="64" spans="1:86">
      <c r="A64" s="13" t="s">
        <v>580</v>
      </c>
      <c r="B64" s="10">
        <v>3.4999999999999997E-5</v>
      </c>
      <c r="C64" s="10">
        <v>3.4999999999999997E-5</v>
      </c>
      <c r="D64" s="10">
        <v>3.4999999999999997E-5</v>
      </c>
      <c r="E64" s="10">
        <v>3.4999999999999997E-5</v>
      </c>
      <c r="F64" s="10">
        <v>3.4999999999999997E-5</v>
      </c>
      <c r="G64" s="10">
        <v>3.4999999999999997E-5</v>
      </c>
      <c r="H64" s="10">
        <v>3.4999999999999997E-5</v>
      </c>
      <c r="I64" s="10">
        <v>3.4999999999999997E-5</v>
      </c>
      <c r="J64" s="10">
        <v>3.4999999999999997E-5</v>
      </c>
      <c r="K64" s="10">
        <v>3.4999999999999997E-5</v>
      </c>
      <c r="L64" s="10">
        <v>3.4999999999999997E-5</v>
      </c>
      <c r="M64" s="10">
        <v>3.4999999999999997E-5</v>
      </c>
      <c r="N64" s="10">
        <v>3.4999999999999997E-5</v>
      </c>
      <c r="O64" s="10">
        <v>3.4999999999999997E-5</v>
      </c>
      <c r="P64" s="10">
        <v>3.4999999999999997E-5</v>
      </c>
      <c r="Q64" s="10">
        <v>3.4999999999999997E-5</v>
      </c>
      <c r="R64" s="10">
        <v>3.4999999999999997E-5</v>
      </c>
      <c r="S64" s="10">
        <v>3.4999999999999997E-5</v>
      </c>
      <c r="T64" s="10">
        <v>3.4999999999999997E-5</v>
      </c>
      <c r="U64" s="10">
        <v>3.4999999999999997E-5</v>
      </c>
      <c r="V64" s="10">
        <v>3.4999999999999997E-5</v>
      </c>
      <c r="W64" s="10">
        <v>3.4999999999999997E-5</v>
      </c>
      <c r="X64" s="10">
        <v>3.4999999999999997E-5</v>
      </c>
      <c r="Y64" s="10">
        <v>3.4999999999999997E-5</v>
      </c>
      <c r="Z64" s="10">
        <v>3.4999999999999997E-5</v>
      </c>
      <c r="AA64" s="10">
        <v>3.4999999999999997E-5</v>
      </c>
      <c r="AB64" s="10">
        <v>3.4999999999999997E-5</v>
      </c>
      <c r="AC64" s="10">
        <v>3.4999999999999997E-5</v>
      </c>
      <c r="AD64" s="10">
        <v>3.4999999999999997E-5</v>
      </c>
      <c r="AE64" s="10">
        <v>3.4999999999999997E-5</v>
      </c>
      <c r="AF64" s="10">
        <v>3.4999999999999997E-5</v>
      </c>
      <c r="AG64" s="10">
        <v>3.4999999999999997E-5</v>
      </c>
      <c r="AH64" s="10">
        <v>3.4999999999999997E-5</v>
      </c>
      <c r="AI64" s="10">
        <v>3.4999999999999997E-5</v>
      </c>
      <c r="AJ64" s="10">
        <v>3.4999999999999997E-5</v>
      </c>
      <c r="AK64" s="10">
        <v>3.4999999999999997E-5</v>
      </c>
      <c r="AL64" s="12">
        <v>3.4999999999999997E-5</v>
      </c>
      <c r="AM64" s="10">
        <v>3.4999999999999997E-5</v>
      </c>
      <c r="AN64" s="10">
        <v>3.4999999999999997E-5</v>
      </c>
      <c r="AO64" s="10">
        <v>3.4999999999999997E-5</v>
      </c>
      <c r="AP64" s="12">
        <v>3.4999999999999997E-5</v>
      </c>
      <c r="AQ64" s="10"/>
      <c r="AR64" s="10"/>
      <c r="AS64" s="10"/>
      <c r="AT64" s="10"/>
      <c r="AU64" s="10"/>
      <c r="AV64" s="10"/>
      <c r="AW64" s="10"/>
      <c r="AX64" s="10"/>
      <c r="AY64" s="10"/>
      <c r="AZ64" s="10"/>
      <c r="BA64" s="10"/>
      <c r="BB64" s="10"/>
      <c r="BC64" s="10"/>
      <c r="BD64" s="10"/>
      <c r="BE64" s="12"/>
      <c r="BF64" s="15"/>
      <c r="BG64" s="15"/>
      <c r="BH64" s="15"/>
      <c r="BI64" s="15"/>
      <c r="BJ64" s="15"/>
      <c r="BK64" s="15"/>
      <c r="BL64" s="15"/>
      <c r="BM64" s="15"/>
      <c r="BN64" s="15"/>
      <c r="BO64" s="20"/>
      <c r="BP64" s="15"/>
      <c r="BQ64" s="15"/>
      <c r="BR64" s="15"/>
      <c r="BS64" s="15"/>
      <c r="BT64" s="11"/>
      <c r="BU64" s="10"/>
      <c r="BV64" s="10"/>
      <c r="BW64" s="10"/>
      <c r="BX64" s="10"/>
      <c r="BY64" s="10"/>
      <c r="BZ64" s="10"/>
      <c r="CA64" s="10"/>
      <c r="CB64" s="10"/>
      <c r="CC64" s="10"/>
      <c r="CD64" s="10"/>
      <c r="CE64" s="10"/>
      <c r="CF64" s="10"/>
      <c r="CG64" s="10"/>
      <c r="CH64" s="9"/>
    </row>
    <row r="65" spans="1:86">
      <c r="A65" s="13" t="s">
        <v>101</v>
      </c>
      <c r="B65" s="10">
        <f t="shared" ref="B65:AL65" si="14">0.00028/(1-99.2%)</f>
        <v>3.4999999999999969E-2</v>
      </c>
      <c r="C65" s="10">
        <f t="shared" si="14"/>
        <v>3.4999999999999969E-2</v>
      </c>
      <c r="D65" s="10">
        <f t="shared" si="14"/>
        <v>3.4999999999999969E-2</v>
      </c>
      <c r="E65" s="10">
        <f t="shared" si="14"/>
        <v>3.4999999999999969E-2</v>
      </c>
      <c r="F65" s="10">
        <f t="shared" si="14"/>
        <v>3.4999999999999969E-2</v>
      </c>
      <c r="G65" s="10">
        <f t="shared" si="14"/>
        <v>3.4999999999999969E-2</v>
      </c>
      <c r="H65" s="10">
        <f t="shared" si="14"/>
        <v>3.4999999999999969E-2</v>
      </c>
      <c r="I65" s="10">
        <f t="shared" si="14"/>
        <v>3.4999999999999969E-2</v>
      </c>
      <c r="J65" s="10">
        <f t="shared" si="14"/>
        <v>3.4999999999999969E-2</v>
      </c>
      <c r="K65" s="10">
        <f t="shared" si="14"/>
        <v>3.4999999999999969E-2</v>
      </c>
      <c r="L65" s="10">
        <f t="shared" si="14"/>
        <v>3.4999999999999969E-2</v>
      </c>
      <c r="M65" s="10">
        <f t="shared" si="14"/>
        <v>3.4999999999999969E-2</v>
      </c>
      <c r="N65" s="10">
        <f t="shared" si="14"/>
        <v>3.4999999999999969E-2</v>
      </c>
      <c r="O65" s="10">
        <f t="shared" si="14"/>
        <v>3.4999999999999969E-2</v>
      </c>
      <c r="P65" s="10">
        <f t="shared" si="14"/>
        <v>3.4999999999999969E-2</v>
      </c>
      <c r="Q65" s="10">
        <f t="shared" si="14"/>
        <v>3.4999999999999969E-2</v>
      </c>
      <c r="R65" s="10">
        <f t="shared" si="14"/>
        <v>3.4999999999999969E-2</v>
      </c>
      <c r="S65" s="10">
        <f t="shared" si="14"/>
        <v>3.4999999999999969E-2</v>
      </c>
      <c r="T65" s="10">
        <f t="shared" si="14"/>
        <v>3.4999999999999969E-2</v>
      </c>
      <c r="U65" s="10">
        <f t="shared" si="14"/>
        <v>3.4999999999999969E-2</v>
      </c>
      <c r="V65" s="10">
        <f t="shared" si="14"/>
        <v>3.4999999999999969E-2</v>
      </c>
      <c r="W65" s="10">
        <f t="shared" si="14"/>
        <v>3.4999999999999969E-2</v>
      </c>
      <c r="X65" s="10">
        <f t="shared" si="14"/>
        <v>3.4999999999999969E-2</v>
      </c>
      <c r="Y65" s="10">
        <f t="shared" si="14"/>
        <v>3.4999999999999969E-2</v>
      </c>
      <c r="Z65" s="10">
        <f t="shared" si="14"/>
        <v>3.4999999999999969E-2</v>
      </c>
      <c r="AA65" s="10">
        <f t="shared" si="14"/>
        <v>3.4999999999999969E-2</v>
      </c>
      <c r="AB65" s="10">
        <f t="shared" si="14"/>
        <v>3.4999999999999969E-2</v>
      </c>
      <c r="AC65" s="10">
        <f t="shared" si="14"/>
        <v>3.4999999999999969E-2</v>
      </c>
      <c r="AD65" s="10">
        <f t="shared" si="14"/>
        <v>3.4999999999999969E-2</v>
      </c>
      <c r="AE65" s="10">
        <f t="shared" si="14"/>
        <v>3.4999999999999969E-2</v>
      </c>
      <c r="AF65" s="10">
        <f t="shared" si="14"/>
        <v>3.4999999999999969E-2</v>
      </c>
      <c r="AG65" s="10">
        <f t="shared" si="14"/>
        <v>3.4999999999999969E-2</v>
      </c>
      <c r="AH65" s="10">
        <f t="shared" si="14"/>
        <v>3.4999999999999969E-2</v>
      </c>
      <c r="AI65" s="10">
        <f t="shared" si="14"/>
        <v>3.4999999999999969E-2</v>
      </c>
      <c r="AJ65" s="10">
        <f t="shared" si="14"/>
        <v>3.4999999999999969E-2</v>
      </c>
      <c r="AK65" s="10">
        <f t="shared" si="14"/>
        <v>3.4999999999999969E-2</v>
      </c>
      <c r="AL65" s="12">
        <f t="shared" si="14"/>
        <v>3.4999999999999969E-2</v>
      </c>
      <c r="AM65" s="10">
        <v>2.5999999999999999E-2</v>
      </c>
      <c r="AN65" s="10">
        <f>0.00028/(1-99.2%)</f>
        <v>3.4999999999999969E-2</v>
      </c>
      <c r="AO65" s="10">
        <f>0.00028/(1-99.2%)</f>
        <v>3.4999999999999969E-2</v>
      </c>
      <c r="AP65" s="12">
        <f>0.00028/(1-99.2%)</f>
        <v>3.4999999999999969E-2</v>
      </c>
      <c r="AQ65" s="10">
        <v>8.4500000000000006E-2</v>
      </c>
      <c r="AR65" s="10">
        <v>8.4500000000000006E-2</v>
      </c>
      <c r="AS65" s="10">
        <v>8.4500000000000006E-2</v>
      </c>
      <c r="AT65" s="10">
        <v>8.4500000000000006E-2</v>
      </c>
      <c r="AU65" s="10">
        <v>3E-9</v>
      </c>
      <c r="AV65" s="10">
        <v>3E-9</v>
      </c>
      <c r="AW65" s="10">
        <v>3E-9</v>
      </c>
      <c r="AX65" s="10">
        <v>3E-9</v>
      </c>
      <c r="AY65" s="10">
        <v>3E-9</v>
      </c>
      <c r="AZ65" s="10">
        <v>3E-9</v>
      </c>
      <c r="BA65" s="10">
        <v>8.4500000000000006E-2</v>
      </c>
      <c r="BB65" s="10">
        <v>3E-9</v>
      </c>
      <c r="BC65" s="10">
        <v>3E-9</v>
      </c>
      <c r="BD65" s="10">
        <v>3E-9</v>
      </c>
      <c r="BE65" s="12">
        <v>3E-9</v>
      </c>
      <c r="BF65" s="10">
        <v>2.0999999999999999E-3</v>
      </c>
      <c r="BG65" s="10">
        <v>2.0999999999999999E-3</v>
      </c>
      <c r="BH65" s="10">
        <v>2.0999999999999999E-3</v>
      </c>
      <c r="BI65" s="10">
        <v>2.0999999999999999E-3</v>
      </c>
      <c r="BJ65" s="10">
        <v>2.0999999999999999E-3</v>
      </c>
      <c r="BK65" s="10">
        <v>2.0999999999999999E-3</v>
      </c>
      <c r="BL65" s="10">
        <v>2.0999999999999999E-3</v>
      </c>
      <c r="BM65" s="10">
        <v>2.0999999999999999E-3</v>
      </c>
      <c r="BN65" s="10">
        <v>2.0999999999999999E-3</v>
      </c>
      <c r="BO65" s="12">
        <v>2.0999999999999999E-3</v>
      </c>
      <c r="BP65" s="10">
        <v>2.0999999999999999E-3</v>
      </c>
      <c r="BQ65" s="10">
        <v>2.0999999999999999E-3</v>
      </c>
      <c r="BR65" s="10">
        <v>2.0999999999999999E-3</v>
      </c>
      <c r="BS65" s="10">
        <v>2.0999999999999999E-3</v>
      </c>
      <c r="BT65" s="11">
        <v>3.3000000000000003E-5</v>
      </c>
      <c r="BU65" s="10">
        <v>3.3000000000000003E-5</v>
      </c>
      <c r="BV65" s="10">
        <v>3.3000000000000003E-5</v>
      </c>
      <c r="BW65" s="10">
        <v>3.3000000000000003E-5</v>
      </c>
      <c r="BX65" s="10">
        <v>3.3000000000000003E-5</v>
      </c>
      <c r="BY65" s="10">
        <v>3.3000000000000003E-5</v>
      </c>
      <c r="BZ65" s="10">
        <v>3.3000000000000003E-5</v>
      </c>
      <c r="CA65" s="10">
        <v>3.3000000000000003E-5</v>
      </c>
      <c r="CB65" s="10">
        <v>3.3000000000000003E-5</v>
      </c>
      <c r="CC65" s="10">
        <v>3.3000000000000003E-5</v>
      </c>
      <c r="CD65" s="10">
        <v>3.3000000000000003E-5</v>
      </c>
      <c r="CE65" s="10">
        <v>3.3000000000000003E-5</v>
      </c>
      <c r="CF65" s="10">
        <v>3.3000000000000003E-5</v>
      </c>
      <c r="CG65" s="10">
        <v>3.3000000000000003E-5</v>
      </c>
      <c r="CH65" s="9">
        <v>3.3000000000000003E-5</v>
      </c>
    </row>
    <row r="66" spans="1:86">
      <c r="A66" s="13" t="s">
        <v>581</v>
      </c>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2"/>
      <c r="AM66" s="10"/>
      <c r="AN66" s="10"/>
      <c r="AO66" s="10"/>
      <c r="AP66" s="12"/>
      <c r="AQ66" s="10"/>
      <c r="AR66" s="10"/>
      <c r="AS66" s="10"/>
      <c r="AT66" s="10"/>
      <c r="AU66" s="10"/>
      <c r="AV66" s="10"/>
      <c r="AW66" s="10"/>
      <c r="AX66" s="10"/>
      <c r="AY66" s="10"/>
      <c r="AZ66" s="10"/>
      <c r="BA66" s="10"/>
      <c r="BB66" s="10"/>
      <c r="BC66" s="10"/>
      <c r="BD66" s="10"/>
      <c r="BE66" s="12"/>
      <c r="BF66" s="15"/>
      <c r="BG66" s="15"/>
      <c r="BH66" s="15"/>
      <c r="BI66" s="15"/>
      <c r="BJ66" s="15"/>
      <c r="BK66" s="15"/>
      <c r="BL66" s="15"/>
      <c r="BM66" s="15"/>
      <c r="BN66" s="15"/>
      <c r="BO66" s="20"/>
      <c r="BP66" s="15"/>
      <c r="BQ66" s="15"/>
      <c r="BR66" s="15"/>
      <c r="BS66" s="15"/>
      <c r="BT66" s="11">
        <v>5.1E-8</v>
      </c>
      <c r="BU66" s="10">
        <v>5.1E-8</v>
      </c>
      <c r="BV66" s="10">
        <v>5.1E-8</v>
      </c>
      <c r="BW66" s="10">
        <v>5.1E-8</v>
      </c>
      <c r="BX66" s="10">
        <v>5.1E-8</v>
      </c>
      <c r="BY66" s="10">
        <v>5.1E-8</v>
      </c>
      <c r="BZ66" s="10">
        <v>5.1E-8</v>
      </c>
      <c r="CA66" s="10">
        <v>5.1E-8</v>
      </c>
      <c r="CB66" s="10">
        <v>5.1E-8</v>
      </c>
      <c r="CC66" s="10">
        <v>5.1E-8</v>
      </c>
      <c r="CD66" s="10">
        <v>5.1E-8</v>
      </c>
      <c r="CE66" s="10">
        <v>5.1E-8</v>
      </c>
      <c r="CF66" s="10">
        <v>5.1E-8</v>
      </c>
      <c r="CG66" s="10">
        <v>5.1E-8</v>
      </c>
      <c r="CH66" s="9">
        <v>5.1E-8</v>
      </c>
    </row>
    <row r="67" spans="1:86">
      <c r="A67" s="13" t="s">
        <v>360</v>
      </c>
      <c r="B67" s="10">
        <v>1.5999999999999999E-5</v>
      </c>
      <c r="C67" s="10">
        <v>1.5999999999999999E-5</v>
      </c>
      <c r="D67" s="10">
        <v>1.5999999999999999E-5</v>
      </c>
      <c r="E67" s="10">
        <v>1.5999999999999999E-5</v>
      </c>
      <c r="F67" s="10">
        <v>1.5999999999999999E-5</v>
      </c>
      <c r="G67" s="10">
        <v>1.5999999999999999E-5</v>
      </c>
      <c r="H67" s="10">
        <v>1.5999999999999999E-5</v>
      </c>
      <c r="I67" s="10">
        <v>1.5999999999999999E-5</v>
      </c>
      <c r="J67" s="10">
        <v>1.5999999999999999E-5</v>
      </c>
      <c r="K67" s="10">
        <v>1.5999999999999999E-5</v>
      </c>
      <c r="L67" s="10">
        <v>1.5999999999999999E-5</v>
      </c>
      <c r="M67" s="10">
        <v>1.5999999999999999E-5</v>
      </c>
      <c r="N67" s="10">
        <v>1.5999999999999999E-5</v>
      </c>
      <c r="O67" s="10">
        <v>1.5999999999999999E-5</v>
      </c>
      <c r="P67" s="10">
        <v>1.5999999999999999E-5</v>
      </c>
      <c r="Q67" s="10">
        <v>1.5999999999999999E-5</v>
      </c>
      <c r="R67" s="10">
        <v>1.5999999999999999E-5</v>
      </c>
      <c r="S67" s="10">
        <v>1.5999999999999999E-5</v>
      </c>
      <c r="T67" s="10">
        <v>1.5999999999999999E-5</v>
      </c>
      <c r="U67" s="10">
        <v>1.5999999999999999E-5</v>
      </c>
      <c r="V67" s="10">
        <v>1.5999999999999999E-5</v>
      </c>
      <c r="W67" s="10">
        <v>1.5999999999999999E-5</v>
      </c>
      <c r="X67" s="10">
        <v>1.5999999999999999E-5</v>
      </c>
      <c r="Y67" s="10">
        <v>1.5999999999999999E-5</v>
      </c>
      <c r="Z67" s="10">
        <v>1.5999999999999999E-5</v>
      </c>
      <c r="AA67" s="10">
        <v>1.5999999999999999E-5</v>
      </c>
      <c r="AB67" s="10">
        <v>1.5999999999999999E-5</v>
      </c>
      <c r="AC67" s="10">
        <v>1.5999999999999999E-5</v>
      </c>
      <c r="AD67" s="10">
        <v>1.5999999999999999E-5</v>
      </c>
      <c r="AE67" s="10">
        <v>1.5999999999999999E-5</v>
      </c>
      <c r="AF67" s="10">
        <v>1.5999999999999999E-5</v>
      </c>
      <c r="AG67" s="10">
        <v>1.5999999999999999E-5</v>
      </c>
      <c r="AH67" s="10">
        <v>1.5999999999999999E-5</v>
      </c>
      <c r="AI67" s="10">
        <v>1.5999999999999999E-5</v>
      </c>
      <c r="AJ67" s="10">
        <v>1.5999999999999999E-5</v>
      </c>
      <c r="AK67" s="10">
        <v>1.5999999999999999E-5</v>
      </c>
      <c r="AL67" s="12">
        <v>1.5999999999999999E-5</v>
      </c>
      <c r="AM67" s="10">
        <v>1.5999999999999999E-5</v>
      </c>
      <c r="AN67" s="10">
        <v>1.5999999999999999E-5</v>
      </c>
      <c r="AO67" s="10">
        <v>1.5999999999999999E-5</v>
      </c>
      <c r="AP67" s="12">
        <v>1.5999999999999999E-5</v>
      </c>
      <c r="AQ67" s="10"/>
      <c r="AR67" s="10"/>
      <c r="AS67" s="10"/>
      <c r="AT67" s="10"/>
      <c r="AU67" s="10"/>
      <c r="AV67" s="10"/>
      <c r="AW67" s="10"/>
      <c r="AX67" s="10"/>
      <c r="AY67" s="10"/>
      <c r="AZ67" s="10"/>
      <c r="BA67" s="10"/>
      <c r="BB67" s="10"/>
      <c r="BC67" s="10"/>
      <c r="BD67" s="10"/>
      <c r="BE67" s="12"/>
      <c r="BF67" s="15"/>
      <c r="BG67" s="15"/>
      <c r="BH67" s="15"/>
      <c r="BI67" s="15"/>
      <c r="BJ67" s="15"/>
      <c r="BK67" s="15"/>
      <c r="BL67" s="15"/>
      <c r="BM67" s="15"/>
      <c r="BN67" s="15"/>
      <c r="BO67" s="20"/>
      <c r="BP67" s="15"/>
      <c r="BQ67" s="15"/>
      <c r="BR67" s="15"/>
      <c r="BS67" s="15"/>
      <c r="BT67" s="11">
        <v>5.1E-5</v>
      </c>
      <c r="BU67" s="10">
        <v>5.1E-5</v>
      </c>
      <c r="BV67" s="10">
        <v>5.1E-5</v>
      </c>
      <c r="BW67" s="10">
        <v>5.1E-5</v>
      </c>
      <c r="BX67" s="10">
        <v>5.1E-5</v>
      </c>
      <c r="BY67" s="10">
        <v>5.1E-5</v>
      </c>
      <c r="BZ67" s="10">
        <v>5.1E-5</v>
      </c>
      <c r="CA67" s="10">
        <v>5.1E-5</v>
      </c>
      <c r="CB67" s="10">
        <v>5.1E-5</v>
      </c>
      <c r="CC67" s="10">
        <v>5.1E-5</v>
      </c>
      <c r="CD67" s="10">
        <v>5.1E-5</v>
      </c>
      <c r="CE67" s="10">
        <v>5.1E-5</v>
      </c>
      <c r="CF67" s="10">
        <v>5.1E-5</v>
      </c>
      <c r="CG67" s="10">
        <v>5.1E-5</v>
      </c>
      <c r="CH67" s="9">
        <v>5.1E-5</v>
      </c>
    </row>
    <row r="68" spans="1:86">
      <c r="A68" s="13" t="s">
        <v>582</v>
      </c>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2"/>
      <c r="AM68" s="10"/>
      <c r="AN68" s="10"/>
      <c r="AO68" s="10"/>
      <c r="AP68" s="12"/>
      <c r="AQ68" s="10">
        <v>9.4599999999999997E-3</v>
      </c>
      <c r="AR68" s="10">
        <v>9.4599999999999997E-3</v>
      </c>
      <c r="AS68" s="10">
        <v>9.4599999999999997E-3</v>
      </c>
      <c r="AT68" s="10">
        <v>9.4599999999999997E-3</v>
      </c>
      <c r="AU68" s="10"/>
      <c r="AV68" s="10"/>
      <c r="AW68" s="10"/>
      <c r="AX68" s="10"/>
      <c r="AY68" s="10"/>
      <c r="AZ68" s="10"/>
      <c r="BA68" s="10">
        <v>9.4599999999999997E-3</v>
      </c>
      <c r="BB68" s="10"/>
      <c r="BC68" s="10"/>
      <c r="BD68" s="10"/>
      <c r="BE68" s="12"/>
      <c r="BF68" s="15"/>
      <c r="BG68" s="15"/>
      <c r="BH68" s="15"/>
      <c r="BI68" s="15"/>
      <c r="BJ68" s="15"/>
      <c r="BK68" s="15"/>
      <c r="BL68" s="15"/>
      <c r="BM68" s="15"/>
      <c r="BN68" s="15"/>
      <c r="BO68" s="20"/>
      <c r="BP68" s="15"/>
      <c r="BQ68" s="15"/>
      <c r="BR68" s="15"/>
      <c r="BS68" s="15"/>
      <c r="BT68" s="11">
        <v>2.6999999999999999E-5</v>
      </c>
      <c r="BU68" s="10">
        <v>2.6999999999999999E-5</v>
      </c>
      <c r="BV68" s="10">
        <v>2.6999999999999999E-5</v>
      </c>
      <c r="BW68" s="10">
        <v>2.6999999999999999E-5</v>
      </c>
      <c r="BX68" s="10">
        <v>2.6999999999999999E-5</v>
      </c>
      <c r="BY68" s="10">
        <v>2.6999999999999999E-5</v>
      </c>
      <c r="BZ68" s="10">
        <v>2.6999999999999999E-5</v>
      </c>
      <c r="CA68" s="10">
        <v>2.6999999999999999E-5</v>
      </c>
      <c r="CB68" s="10">
        <v>2.6999999999999999E-5</v>
      </c>
      <c r="CC68" s="10">
        <v>2.6999999999999999E-5</v>
      </c>
      <c r="CD68" s="10">
        <v>2.6999999999999999E-5</v>
      </c>
      <c r="CE68" s="10">
        <v>2.6999999999999999E-5</v>
      </c>
      <c r="CF68" s="10">
        <v>2.6999999999999999E-5</v>
      </c>
      <c r="CG68" s="10">
        <v>2.6999999999999999E-5</v>
      </c>
      <c r="CH68" s="9">
        <v>2.6999999999999999E-5</v>
      </c>
    </row>
    <row r="69" spans="1:86">
      <c r="A69" s="13" t="s">
        <v>102</v>
      </c>
      <c r="B69" s="10">
        <f>2.08*1000</f>
        <v>2080</v>
      </c>
      <c r="C69" s="10">
        <f>2.08*1000</f>
        <v>2080</v>
      </c>
      <c r="D69" s="10">
        <f>2.08*1000</f>
        <v>2080</v>
      </c>
      <c r="E69" s="10">
        <f>2.08*1000</f>
        <v>2080</v>
      </c>
      <c r="F69" s="10">
        <f>2.08*1000</f>
        <v>2080</v>
      </c>
      <c r="G69" s="10">
        <f>G104</f>
        <v>2.0757999999999997E-5</v>
      </c>
      <c r="H69" s="10">
        <f>H104</f>
        <v>2.0757999999999997E-5</v>
      </c>
      <c r="I69" s="10">
        <f>2.4*1000</f>
        <v>2400</v>
      </c>
      <c r="J69" s="10">
        <f>2.4*1000</f>
        <v>2400</v>
      </c>
      <c r="K69" s="10">
        <f>2.4*1000</f>
        <v>2400</v>
      </c>
      <c r="L69" s="10">
        <f>2.4*1000</f>
        <v>2400</v>
      </c>
      <c r="M69" s="10">
        <f>2.4*1000</f>
        <v>2400</v>
      </c>
      <c r="N69" s="10">
        <f t="shared" ref="N69:AX69" si="15">N104</f>
        <v>2.0757999999999997E-5</v>
      </c>
      <c r="O69" s="10">
        <f t="shared" si="15"/>
        <v>2.0757999999999997E-5</v>
      </c>
      <c r="P69" s="10">
        <f t="shared" si="15"/>
        <v>2.0757999999999997E-5</v>
      </c>
      <c r="Q69" s="10">
        <f t="shared" si="15"/>
        <v>2.0757999999999997E-5</v>
      </c>
      <c r="R69" s="10">
        <f t="shared" si="15"/>
        <v>2.0757999999999997E-5</v>
      </c>
      <c r="S69" s="10">
        <f t="shared" si="15"/>
        <v>2.0757999999999997E-5</v>
      </c>
      <c r="T69" s="10">
        <f t="shared" si="15"/>
        <v>2.0757999999999997E-5</v>
      </c>
      <c r="U69" s="10">
        <f t="shared" si="15"/>
        <v>2.0757999999999997E-5</v>
      </c>
      <c r="V69" s="10">
        <f t="shared" si="15"/>
        <v>2.0757999999999997E-5</v>
      </c>
      <c r="W69" s="10">
        <f t="shared" si="15"/>
        <v>2.0757999999999997E-5</v>
      </c>
      <c r="X69" s="10">
        <f t="shared" si="15"/>
        <v>2.0757999999999997E-5</v>
      </c>
      <c r="Y69" s="10">
        <f t="shared" si="15"/>
        <v>2.0757999999999997E-5</v>
      </c>
      <c r="Z69" s="10">
        <f t="shared" si="15"/>
        <v>2.0757999999999997E-5</v>
      </c>
      <c r="AA69" s="10">
        <f t="shared" si="15"/>
        <v>2.0757999999999997E-5</v>
      </c>
      <c r="AB69" s="10">
        <f t="shared" si="15"/>
        <v>2.0757999999999997E-5</v>
      </c>
      <c r="AC69" s="10">
        <f t="shared" si="15"/>
        <v>2.0757999999999997E-5</v>
      </c>
      <c r="AD69" s="10">
        <f t="shared" si="15"/>
        <v>2.0757999999999997E-5</v>
      </c>
      <c r="AE69" s="10">
        <f t="shared" si="15"/>
        <v>2.0757999999999997E-5</v>
      </c>
      <c r="AF69" s="10">
        <f t="shared" si="15"/>
        <v>2.0757999999999997E-5</v>
      </c>
      <c r="AG69" s="10">
        <f t="shared" si="15"/>
        <v>2.0757999999999997E-5</v>
      </c>
      <c r="AH69" s="10">
        <f t="shared" si="15"/>
        <v>2.0757999999999997E-5</v>
      </c>
      <c r="AI69" s="10">
        <f t="shared" si="15"/>
        <v>2.0757999999999997E-5</v>
      </c>
      <c r="AJ69" s="10">
        <f t="shared" si="15"/>
        <v>2.0757999999999997E-5</v>
      </c>
      <c r="AK69" s="10">
        <f t="shared" si="15"/>
        <v>2.0757999999999997E-5</v>
      </c>
      <c r="AL69" s="12">
        <f t="shared" si="15"/>
        <v>2.0757999999999997E-5</v>
      </c>
      <c r="AM69" s="10">
        <f t="shared" si="15"/>
        <v>0.16180335800000001</v>
      </c>
      <c r="AN69" s="10">
        <f t="shared" si="15"/>
        <v>3.1816357999999996E-2</v>
      </c>
      <c r="AO69" s="10">
        <f t="shared" si="15"/>
        <v>3.1816357999999996E-2</v>
      </c>
      <c r="AP69" s="12">
        <f t="shared" si="15"/>
        <v>1.1109220000000001E-3</v>
      </c>
      <c r="AQ69" s="10">
        <f t="shared" si="15"/>
        <v>1.2999999999999999E-3</v>
      </c>
      <c r="AR69" s="10">
        <f t="shared" si="15"/>
        <v>1.2999999999999999E-3</v>
      </c>
      <c r="AS69" s="10">
        <f t="shared" si="15"/>
        <v>1.2999999999999999E-3</v>
      </c>
      <c r="AT69" s="10">
        <f t="shared" si="15"/>
        <v>1.2999999999999999E-3</v>
      </c>
      <c r="AU69" s="10">
        <f t="shared" si="15"/>
        <v>1.1905760999999999E-3</v>
      </c>
      <c r="AV69" s="10">
        <f t="shared" si="15"/>
        <v>1.1905760999999999E-3</v>
      </c>
      <c r="AW69" s="10">
        <f t="shared" si="15"/>
        <v>1.1905760999999999E-3</v>
      </c>
      <c r="AX69" s="10">
        <f t="shared" si="15"/>
        <v>1.1905760999999999E-3</v>
      </c>
      <c r="AY69" s="10">
        <v>3.3E-3</v>
      </c>
      <c r="AZ69" s="10">
        <v>3.3E-3</v>
      </c>
      <c r="BA69" s="10">
        <f t="shared" ref="BA69:CH69" si="16">BA104</f>
        <v>1.2999999999999999E-3</v>
      </c>
      <c r="BB69" s="10">
        <f t="shared" si="16"/>
        <v>1.1905760999999999E-3</v>
      </c>
      <c r="BC69" s="10">
        <f t="shared" si="16"/>
        <v>1.1905760999999999E-3</v>
      </c>
      <c r="BD69" s="10">
        <f t="shared" si="16"/>
        <v>3.3E-3</v>
      </c>
      <c r="BE69" s="12">
        <f t="shared" si="16"/>
        <v>1.1905760999999999E-3</v>
      </c>
      <c r="BF69" s="10">
        <f t="shared" si="16"/>
        <v>6.9819999999999995E-4</v>
      </c>
      <c r="BG69" s="10">
        <f t="shared" si="16"/>
        <v>6.9819999999999995E-4</v>
      </c>
      <c r="BH69" s="10">
        <f t="shared" si="16"/>
        <v>6.9819999999999995E-4</v>
      </c>
      <c r="BI69" s="10">
        <f t="shared" si="16"/>
        <v>6.9819999999999995E-4</v>
      </c>
      <c r="BJ69" s="10">
        <f t="shared" si="16"/>
        <v>6.9819999999999995E-4</v>
      </c>
      <c r="BK69" s="10">
        <f t="shared" si="16"/>
        <v>6.9819999999999995E-4</v>
      </c>
      <c r="BL69" s="10">
        <f t="shared" si="16"/>
        <v>6.9819999999999995E-4</v>
      </c>
      <c r="BM69" s="10">
        <f t="shared" si="16"/>
        <v>6.9819999999999995E-4</v>
      </c>
      <c r="BN69" s="10">
        <f t="shared" si="16"/>
        <v>6.9819999999999995E-4</v>
      </c>
      <c r="BO69" s="12">
        <f t="shared" si="16"/>
        <v>6.9819999999999995E-4</v>
      </c>
      <c r="BP69" s="10">
        <f t="shared" si="16"/>
        <v>6.9819999999999995E-4</v>
      </c>
      <c r="BQ69" s="10">
        <f t="shared" si="16"/>
        <v>6.9819999999999995E-4</v>
      </c>
      <c r="BR69" s="10">
        <f t="shared" si="16"/>
        <v>6.9819999999999995E-4</v>
      </c>
      <c r="BS69" s="12">
        <f t="shared" si="16"/>
        <v>6.9819999999999995E-4</v>
      </c>
      <c r="BT69" s="10">
        <f t="shared" si="16"/>
        <v>1.2664069260000002E-4</v>
      </c>
      <c r="BU69" s="10">
        <f t="shared" si="16"/>
        <v>1.2664069260000002E-4</v>
      </c>
      <c r="BV69" s="10">
        <f t="shared" si="16"/>
        <v>1.2664069260000002E-4</v>
      </c>
      <c r="BW69" s="10">
        <f t="shared" si="16"/>
        <v>1.2664069260000002E-4</v>
      </c>
      <c r="BX69" s="10">
        <f t="shared" si="16"/>
        <v>1.2664069260000002E-4</v>
      </c>
      <c r="BY69" s="10">
        <f t="shared" si="16"/>
        <v>1.2664069260000002E-4</v>
      </c>
      <c r="BZ69" s="10">
        <f t="shared" si="16"/>
        <v>1.2664069260000002E-4</v>
      </c>
      <c r="CA69" s="10">
        <f t="shared" si="16"/>
        <v>1.2664069260000002E-4</v>
      </c>
      <c r="CB69" s="10">
        <f t="shared" si="16"/>
        <v>1.2664069260000002E-4</v>
      </c>
      <c r="CC69" s="10">
        <f t="shared" si="16"/>
        <v>1.2664069260000002E-4</v>
      </c>
      <c r="CD69" s="10">
        <f t="shared" si="16"/>
        <v>1.2664069260000002E-4</v>
      </c>
      <c r="CE69" s="10">
        <f t="shared" si="16"/>
        <v>1.2664069260000002E-4</v>
      </c>
      <c r="CF69" s="10">
        <f t="shared" si="16"/>
        <v>1.2664069260000002E-4</v>
      </c>
      <c r="CG69" s="10">
        <f t="shared" si="16"/>
        <v>1.2664069260000002E-4</v>
      </c>
      <c r="CH69" s="9">
        <f t="shared" si="16"/>
        <v>1.2664069260000002E-4</v>
      </c>
    </row>
    <row r="70" spans="1:86">
      <c r="A70" s="13" t="s">
        <v>583</v>
      </c>
      <c r="B70" s="10">
        <v>3.8000000000000002E-4</v>
      </c>
      <c r="C70" s="10">
        <v>3.8000000000000002E-4</v>
      </c>
      <c r="D70" s="10">
        <v>3.8000000000000002E-4</v>
      </c>
      <c r="E70" s="10">
        <v>3.8000000000000002E-4</v>
      </c>
      <c r="F70" s="10">
        <v>3.8000000000000002E-4</v>
      </c>
      <c r="G70" s="10">
        <v>3.8000000000000002E-4</v>
      </c>
      <c r="H70" s="10">
        <v>3.8000000000000002E-4</v>
      </c>
      <c r="I70" s="10">
        <v>3.8000000000000002E-4</v>
      </c>
      <c r="J70" s="10">
        <v>3.8000000000000002E-4</v>
      </c>
      <c r="K70" s="10">
        <v>3.8000000000000002E-4</v>
      </c>
      <c r="L70" s="10">
        <v>3.8000000000000002E-4</v>
      </c>
      <c r="M70" s="10">
        <v>3.8000000000000002E-4</v>
      </c>
      <c r="N70" s="10">
        <v>3.8000000000000002E-4</v>
      </c>
      <c r="O70" s="10">
        <v>3.8000000000000002E-4</v>
      </c>
      <c r="P70" s="10">
        <v>3.8000000000000002E-4</v>
      </c>
      <c r="Q70" s="10">
        <v>3.8000000000000002E-4</v>
      </c>
      <c r="R70" s="10">
        <v>3.8000000000000002E-4</v>
      </c>
      <c r="S70" s="10">
        <v>3.8000000000000002E-4</v>
      </c>
      <c r="T70" s="10">
        <v>3.8000000000000002E-4</v>
      </c>
      <c r="U70" s="10">
        <v>3.8000000000000002E-4</v>
      </c>
      <c r="V70" s="10">
        <v>3.8000000000000002E-4</v>
      </c>
      <c r="W70" s="10">
        <v>3.8000000000000002E-4</v>
      </c>
      <c r="X70" s="10">
        <v>3.8000000000000002E-4</v>
      </c>
      <c r="Y70" s="10">
        <v>3.8000000000000002E-4</v>
      </c>
      <c r="Z70" s="10">
        <v>3.8000000000000002E-4</v>
      </c>
      <c r="AA70" s="10">
        <v>3.8000000000000002E-4</v>
      </c>
      <c r="AB70" s="10">
        <v>3.8000000000000002E-4</v>
      </c>
      <c r="AC70" s="10">
        <v>3.8000000000000002E-4</v>
      </c>
      <c r="AD70" s="10">
        <v>3.8000000000000002E-4</v>
      </c>
      <c r="AE70" s="10">
        <v>3.8000000000000002E-4</v>
      </c>
      <c r="AF70" s="10">
        <v>3.8000000000000002E-4</v>
      </c>
      <c r="AG70" s="10">
        <v>3.8000000000000002E-4</v>
      </c>
      <c r="AH70" s="10">
        <v>3.8000000000000002E-4</v>
      </c>
      <c r="AI70" s="10">
        <v>3.8000000000000002E-4</v>
      </c>
      <c r="AJ70" s="10">
        <v>3.8000000000000002E-4</v>
      </c>
      <c r="AK70" s="10">
        <v>3.8000000000000002E-4</v>
      </c>
      <c r="AL70" s="12">
        <v>3.8000000000000002E-4</v>
      </c>
      <c r="AM70" s="10">
        <v>3.8000000000000002E-4</v>
      </c>
      <c r="AN70" s="10">
        <v>3.8000000000000002E-4</v>
      </c>
      <c r="AO70" s="10">
        <v>3.8000000000000002E-4</v>
      </c>
      <c r="AP70" s="12">
        <v>3.8000000000000002E-4</v>
      </c>
      <c r="AQ70" s="10"/>
      <c r="AR70" s="10"/>
      <c r="AS70" s="10"/>
      <c r="AT70" s="10"/>
      <c r="AU70" s="10"/>
      <c r="AV70" s="10"/>
      <c r="AW70" s="10"/>
      <c r="AX70" s="10"/>
      <c r="AY70" s="10"/>
      <c r="AZ70" s="10"/>
      <c r="BA70" s="10"/>
      <c r="BB70" s="10"/>
      <c r="BC70" s="10"/>
      <c r="BD70" s="10"/>
      <c r="BE70" s="12"/>
      <c r="BF70" s="15"/>
      <c r="BG70" s="15"/>
      <c r="BH70" s="15"/>
      <c r="BI70" s="15"/>
      <c r="BJ70" s="15"/>
      <c r="BK70" s="15"/>
      <c r="BL70" s="15"/>
      <c r="BM70" s="15"/>
      <c r="BN70" s="15"/>
      <c r="BO70" s="20"/>
      <c r="BP70" s="15"/>
      <c r="BQ70" s="15"/>
      <c r="BR70" s="15"/>
      <c r="BS70" s="15"/>
      <c r="BT70" s="11">
        <v>3.1999999999999999E-5</v>
      </c>
      <c r="BU70" s="10">
        <v>3.1999999999999999E-5</v>
      </c>
      <c r="BV70" s="10">
        <v>3.1999999999999999E-5</v>
      </c>
      <c r="BW70" s="10">
        <v>3.1999999999999999E-5</v>
      </c>
      <c r="BX70" s="10">
        <v>3.1999999999999999E-5</v>
      </c>
      <c r="BY70" s="10">
        <v>3.1999999999999999E-5</v>
      </c>
      <c r="BZ70" s="10">
        <v>3.1999999999999999E-5</v>
      </c>
      <c r="CA70" s="10">
        <v>3.1999999999999999E-5</v>
      </c>
      <c r="CB70" s="10">
        <v>3.1999999999999999E-5</v>
      </c>
      <c r="CC70" s="10">
        <v>3.1999999999999999E-5</v>
      </c>
      <c r="CD70" s="10">
        <v>3.1999999999999999E-5</v>
      </c>
      <c r="CE70" s="10">
        <v>3.1999999999999999E-5</v>
      </c>
      <c r="CF70" s="10">
        <v>3.1999999999999999E-5</v>
      </c>
      <c r="CG70" s="10">
        <v>3.1999999999999999E-5</v>
      </c>
      <c r="CH70" s="9">
        <v>3.1999999999999999E-5</v>
      </c>
    </row>
    <row r="71" spans="1:86">
      <c r="A71" s="13" t="s">
        <v>103</v>
      </c>
      <c r="B71" s="10">
        <v>1.2999999999999999E-3</v>
      </c>
      <c r="C71" s="10">
        <v>1.2999999999999999E-3</v>
      </c>
      <c r="D71" s="10">
        <v>1.2999999999999999E-3</v>
      </c>
      <c r="E71" s="10">
        <v>1.2999999999999999E-3</v>
      </c>
      <c r="F71" s="10">
        <v>1.2999999999999999E-3</v>
      </c>
      <c r="G71" s="10">
        <v>1.2999999999999999E-3</v>
      </c>
      <c r="H71" s="10">
        <v>1.2999999999999999E-3</v>
      </c>
      <c r="I71" s="10">
        <v>1.2999999999999999E-3</v>
      </c>
      <c r="J71" s="10">
        <v>1.2999999999999999E-3</v>
      </c>
      <c r="K71" s="10">
        <v>1.2999999999999999E-3</v>
      </c>
      <c r="L71" s="10">
        <v>1.2999999999999999E-3</v>
      </c>
      <c r="M71" s="10">
        <v>1.2999999999999999E-3</v>
      </c>
      <c r="N71" s="10">
        <v>1.2999999999999999E-3</v>
      </c>
      <c r="O71" s="10">
        <v>1.2999999999999999E-3</v>
      </c>
      <c r="P71" s="10">
        <v>1.2999999999999999E-3</v>
      </c>
      <c r="Q71" s="10">
        <v>1.2999999999999999E-3</v>
      </c>
      <c r="R71" s="10">
        <v>1.2999999999999999E-3</v>
      </c>
      <c r="S71" s="10">
        <v>1.2999999999999999E-3</v>
      </c>
      <c r="T71" s="10">
        <v>1.2999999999999999E-3</v>
      </c>
      <c r="U71" s="10">
        <v>1.2999999999999999E-3</v>
      </c>
      <c r="V71" s="10">
        <v>1.2999999999999999E-3</v>
      </c>
      <c r="W71" s="10">
        <v>1.2999999999999999E-3</v>
      </c>
      <c r="X71" s="10">
        <v>1.2999999999999999E-3</v>
      </c>
      <c r="Y71" s="10">
        <v>1.2999999999999999E-3</v>
      </c>
      <c r="Z71" s="10">
        <v>1.2999999999999999E-3</v>
      </c>
      <c r="AA71" s="10">
        <v>1.2999999999999999E-3</v>
      </c>
      <c r="AB71" s="10">
        <v>1.2999999999999999E-3</v>
      </c>
      <c r="AC71" s="10">
        <v>1.2999999999999999E-3</v>
      </c>
      <c r="AD71" s="10">
        <v>1.2999999999999999E-3</v>
      </c>
      <c r="AE71" s="10">
        <v>1.2999999999999999E-3</v>
      </c>
      <c r="AF71" s="10">
        <v>1.2999999999999999E-3</v>
      </c>
      <c r="AG71" s="10">
        <v>1.2999999999999999E-3</v>
      </c>
      <c r="AH71" s="10">
        <v>1.2999999999999999E-3</v>
      </c>
      <c r="AI71" s="10">
        <v>1.2999999999999999E-3</v>
      </c>
      <c r="AJ71" s="10">
        <v>1.2999999999999999E-3</v>
      </c>
      <c r="AK71" s="10">
        <v>1.2999999999999999E-3</v>
      </c>
      <c r="AL71" s="12">
        <v>1.2999999999999999E-3</v>
      </c>
      <c r="AM71" s="10">
        <v>1.2999999999999999E-3</v>
      </c>
      <c r="AN71" s="10">
        <v>1.2999999999999999E-3</v>
      </c>
      <c r="AO71" s="10">
        <v>1.2999999999999999E-3</v>
      </c>
      <c r="AP71" s="12">
        <v>1.2999999999999999E-3</v>
      </c>
      <c r="AQ71" s="10">
        <v>6.8300000000000001E-4</v>
      </c>
      <c r="AR71" s="10">
        <v>6.8300000000000001E-4</v>
      </c>
      <c r="AS71" s="10">
        <v>6.8300000000000001E-4</v>
      </c>
      <c r="AT71" s="10">
        <v>6.8300000000000001E-4</v>
      </c>
      <c r="AU71" s="10">
        <v>1.4999999999999999E-8</v>
      </c>
      <c r="AV71" s="10">
        <v>1.4999999999999999E-8</v>
      </c>
      <c r="AW71" s="10">
        <v>1.4999999999999999E-8</v>
      </c>
      <c r="AX71" s="10">
        <v>1.4999999999999999E-8</v>
      </c>
      <c r="AY71" s="10">
        <v>1.4999999999999999E-8</v>
      </c>
      <c r="AZ71" s="10">
        <v>1.4999999999999999E-8</v>
      </c>
      <c r="BA71" s="10">
        <v>6.8300000000000001E-4</v>
      </c>
      <c r="BB71" s="10">
        <v>1.4999999999999999E-8</v>
      </c>
      <c r="BC71" s="10">
        <v>1.4999999999999999E-8</v>
      </c>
      <c r="BD71" s="10">
        <v>1.4999999999999999E-8</v>
      </c>
      <c r="BE71" s="12">
        <v>1.4999999999999999E-8</v>
      </c>
      <c r="BF71" s="10">
        <v>2.4000000000000001E-5</v>
      </c>
      <c r="BG71" s="10">
        <v>2.4000000000000001E-5</v>
      </c>
      <c r="BH71" s="10">
        <v>2.4000000000000001E-5</v>
      </c>
      <c r="BI71" s="10">
        <v>2.4000000000000001E-5</v>
      </c>
      <c r="BJ71" s="10">
        <v>2.4000000000000001E-5</v>
      </c>
      <c r="BK71" s="10">
        <v>2.4000000000000001E-5</v>
      </c>
      <c r="BL71" s="10">
        <v>2.4000000000000001E-5</v>
      </c>
      <c r="BM71" s="10">
        <v>2.4000000000000001E-5</v>
      </c>
      <c r="BN71" s="10">
        <v>2.4000000000000001E-5</v>
      </c>
      <c r="BO71" s="12">
        <v>2.4000000000000001E-5</v>
      </c>
      <c r="BP71" s="10">
        <v>2.4000000000000001E-5</v>
      </c>
      <c r="BQ71" s="10">
        <v>2.4000000000000001E-5</v>
      </c>
      <c r="BR71" s="10">
        <v>2.4000000000000001E-5</v>
      </c>
      <c r="BS71" s="10">
        <v>2.4000000000000001E-5</v>
      </c>
      <c r="BT71" s="11">
        <v>2.7999999999999999E-6</v>
      </c>
      <c r="BU71" s="10">
        <v>2.7999999999999999E-6</v>
      </c>
      <c r="BV71" s="10">
        <v>2.7999999999999999E-6</v>
      </c>
      <c r="BW71" s="10">
        <v>2.7999999999999999E-6</v>
      </c>
      <c r="BX71" s="10">
        <v>2.7999999999999999E-6</v>
      </c>
      <c r="BY71" s="10">
        <v>2.7999999999999999E-6</v>
      </c>
      <c r="BZ71" s="10">
        <v>2.7999999999999999E-6</v>
      </c>
      <c r="CA71" s="10">
        <v>2.7999999999999999E-6</v>
      </c>
      <c r="CB71" s="10">
        <v>2.7999999999999999E-6</v>
      </c>
      <c r="CC71" s="10">
        <v>2.7999999999999999E-6</v>
      </c>
      <c r="CD71" s="10">
        <v>2.7999999999999999E-6</v>
      </c>
      <c r="CE71" s="10">
        <v>2.7999999999999999E-6</v>
      </c>
      <c r="CF71" s="10">
        <v>2.7999999999999999E-6</v>
      </c>
      <c r="CG71" s="10">
        <v>2.7999999999999999E-6</v>
      </c>
      <c r="CH71" s="9">
        <v>2.7999999999999999E-6</v>
      </c>
    </row>
    <row r="72" spans="1:86">
      <c r="A72" s="13" t="s">
        <v>584</v>
      </c>
      <c r="B72" s="10">
        <v>2.5000000000000001E-5</v>
      </c>
      <c r="C72" s="10">
        <v>2.5000000000000001E-5</v>
      </c>
      <c r="D72" s="10">
        <v>2.5000000000000001E-5</v>
      </c>
      <c r="E72" s="10">
        <v>2.5000000000000001E-5</v>
      </c>
      <c r="F72" s="10">
        <v>2.5000000000000001E-5</v>
      </c>
      <c r="G72" s="10">
        <v>2.5000000000000001E-5</v>
      </c>
      <c r="H72" s="10">
        <v>2.5000000000000001E-5</v>
      </c>
      <c r="I72" s="10">
        <v>2.5000000000000001E-5</v>
      </c>
      <c r="J72" s="10">
        <v>2.5000000000000001E-5</v>
      </c>
      <c r="K72" s="10">
        <v>2.5000000000000001E-5</v>
      </c>
      <c r="L72" s="10">
        <v>2.5000000000000001E-5</v>
      </c>
      <c r="M72" s="10">
        <v>2.5000000000000001E-5</v>
      </c>
      <c r="N72" s="10">
        <v>2.5000000000000001E-5</v>
      </c>
      <c r="O72" s="10">
        <v>2.5000000000000001E-5</v>
      </c>
      <c r="P72" s="10">
        <v>2.5000000000000001E-5</v>
      </c>
      <c r="Q72" s="10">
        <v>2.5000000000000001E-5</v>
      </c>
      <c r="R72" s="10">
        <v>2.5000000000000001E-5</v>
      </c>
      <c r="S72" s="10">
        <v>2.5000000000000001E-5</v>
      </c>
      <c r="T72" s="10">
        <v>2.5000000000000001E-5</v>
      </c>
      <c r="U72" s="10">
        <v>2.5000000000000001E-5</v>
      </c>
      <c r="V72" s="10">
        <v>2.5000000000000001E-5</v>
      </c>
      <c r="W72" s="10">
        <v>2.5000000000000001E-5</v>
      </c>
      <c r="X72" s="10">
        <v>2.5000000000000001E-5</v>
      </c>
      <c r="Y72" s="10">
        <v>2.5000000000000001E-5</v>
      </c>
      <c r="Z72" s="10">
        <v>2.5000000000000001E-5</v>
      </c>
      <c r="AA72" s="10">
        <v>2.5000000000000001E-5</v>
      </c>
      <c r="AB72" s="10">
        <v>2.5000000000000001E-5</v>
      </c>
      <c r="AC72" s="10">
        <v>2.5000000000000001E-5</v>
      </c>
      <c r="AD72" s="10">
        <v>2.5000000000000001E-5</v>
      </c>
      <c r="AE72" s="10">
        <v>2.5000000000000001E-5</v>
      </c>
      <c r="AF72" s="10">
        <v>2.5000000000000001E-5</v>
      </c>
      <c r="AG72" s="10">
        <v>2.5000000000000001E-5</v>
      </c>
      <c r="AH72" s="10">
        <v>2.5000000000000001E-5</v>
      </c>
      <c r="AI72" s="10">
        <v>2.5000000000000001E-5</v>
      </c>
      <c r="AJ72" s="10">
        <v>2.5000000000000001E-5</v>
      </c>
      <c r="AK72" s="10">
        <v>2.5000000000000001E-5</v>
      </c>
      <c r="AL72" s="12">
        <v>2.5000000000000001E-5</v>
      </c>
      <c r="AM72" s="10">
        <v>2.5000000000000001E-5</v>
      </c>
      <c r="AN72" s="10">
        <v>2.5000000000000001E-5</v>
      </c>
      <c r="AO72" s="10">
        <v>2.5000000000000001E-5</v>
      </c>
      <c r="AP72" s="12">
        <v>2.5000000000000001E-5</v>
      </c>
      <c r="AQ72" s="10"/>
      <c r="AR72" s="10"/>
      <c r="AS72" s="10"/>
      <c r="AT72" s="10"/>
      <c r="AU72" s="10"/>
      <c r="AV72" s="10"/>
      <c r="AW72" s="10"/>
      <c r="AX72" s="10"/>
      <c r="AY72" s="10"/>
      <c r="AZ72" s="10"/>
      <c r="BA72" s="10"/>
      <c r="BB72" s="10"/>
      <c r="BC72" s="10"/>
      <c r="BD72" s="10"/>
      <c r="BE72" s="12"/>
      <c r="BF72" s="15"/>
      <c r="BG72" s="15"/>
      <c r="BH72" s="15"/>
      <c r="BI72" s="15"/>
      <c r="BJ72" s="15"/>
      <c r="BK72" s="15"/>
      <c r="BL72" s="15"/>
      <c r="BM72" s="15"/>
      <c r="BN72" s="15"/>
      <c r="BO72" s="20"/>
      <c r="BP72" s="15"/>
      <c r="BQ72" s="15"/>
      <c r="BR72" s="15"/>
      <c r="BS72" s="15"/>
      <c r="BT72" s="11">
        <v>1.9E-3</v>
      </c>
      <c r="BU72" s="10">
        <v>1.9E-3</v>
      </c>
      <c r="BV72" s="10">
        <v>1.9E-3</v>
      </c>
      <c r="BW72" s="10">
        <v>1.9E-3</v>
      </c>
      <c r="BX72" s="10">
        <v>1.9E-3</v>
      </c>
      <c r="BY72" s="10">
        <v>1.9E-3</v>
      </c>
      <c r="BZ72" s="10">
        <v>1.9E-3</v>
      </c>
      <c r="CA72" s="10">
        <v>1.9E-3</v>
      </c>
      <c r="CB72" s="10">
        <v>1.9E-3</v>
      </c>
      <c r="CC72" s="10">
        <v>1.9E-3</v>
      </c>
      <c r="CD72" s="10">
        <v>1.9E-3</v>
      </c>
      <c r="CE72" s="10">
        <v>1.9E-3</v>
      </c>
      <c r="CF72" s="10">
        <v>1.9E-3</v>
      </c>
      <c r="CG72" s="10">
        <v>1.9E-3</v>
      </c>
      <c r="CH72" s="9">
        <v>1.9E-3</v>
      </c>
    </row>
    <row r="73" spans="1:86">
      <c r="A73" s="13" t="s">
        <v>585</v>
      </c>
      <c r="B73" s="10">
        <v>4.3000000000000002E-5</v>
      </c>
      <c r="C73" s="10">
        <v>4.3000000000000002E-5</v>
      </c>
      <c r="D73" s="10">
        <v>4.3000000000000002E-5</v>
      </c>
      <c r="E73" s="10">
        <v>4.3000000000000002E-5</v>
      </c>
      <c r="F73" s="10">
        <v>4.3000000000000002E-5</v>
      </c>
      <c r="G73" s="10">
        <v>4.3000000000000002E-5</v>
      </c>
      <c r="H73" s="10">
        <v>4.3000000000000002E-5</v>
      </c>
      <c r="I73" s="10">
        <v>4.3000000000000002E-5</v>
      </c>
      <c r="J73" s="10">
        <v>4.3000000000000002E-5</v>
      </c>
      <c r="K73" s="10">
        <v>4.3000000000000002E-5</v>
      </c>
      <c r="L73" s="10">
        <v>4.3000000000000002E-5</v>
      </c>
      <c r="M73" s="10">
        <v>4.3000000000000002E-5</v>
      </c>
      <c r="N73" s="10">
        <v>4.3000000000000002E-5</v>
      </c>
      <c r="O73" s="10">
        <v>4.3000000000000002E-5</v>
      </c>
      <c r="P73" s="10">
        <v>4.3000000000000002E-5</v>
      </c>
      <c r="Q73" s="10">
        <v>4.3000000000000002E-5</v>
      </c>
      <c r="R73" s="10">
        <v>4.3000000000000002E-5</v>
      </c>
      <c r="S73" s="10">
        <v>4.3000000000000002E-5</v>
      </c>
      <c r="T73" s="10">
        <v>4.3000000000000002E-5</v>
      </c>
      <c r="U73" s="10">
        <v>4.3000000000000002E-5</v>
      </c>
      <c r="V73" s="10">
        <v>4.3000000000000002E-5</v>
      </c>
      <c r="W73" s="10">
        <v>4.3000000000000002E-5</v>
      </c>
      <c r="X73" s="10">
        <v>4.3000000000000002E-5</v>
      </c>
      <c r="Y73" s="10">
        <v>4.3000000000000002E-5</v>
      </c>
      <c r="Z73" s="10">
        <v>4.3000000000000002E-5</v>
      </c>
      <c r="AA73" s="10">
        <v>4.3000000000000002E-5</v>
      </c>
      <c r="AB73" s="10">
        <v>4.3000000000000002E-5</v>
      </c>
      <c r="AC73" s="10">
        <v>4.3000000000000002E-5</v>
      </c>
      <c r="AD73" s="10">
        <v>4.3000000000000002E-5</v>
      </c>
      <c r="AE73" s="10">
        <v>4.3000000000000002E-5</v>
      </c>
      <c r="AF73" s="10">
        <v>4.3000000000000002E-5</v>
      </c>
      <c r="AG73" s="10">
        <v>4.3000000000000002E-5</v>
      </c>
      <c r="AH73" s="10">
        <v>4.3000000000000002E-5</v>
      </c>
      <c r="AI73" s="10">
        <v>4.3000000000000002E-5</v>
      </c>
      <c r="AJ73" s="10">
        <v>4.3000000000000002E-5</v>
      </c>
      <c r="AK73" s="10">
        <v>4.3000000000000002E-5</v>
      </c>
      <c r="AL73" s="12">
        <v>4.3000000000000002E-5</v>
      </c>
      <c r="AM73" s="10">
        <v>4.3000000000000002E-5</v>
      </c>
      <c r="AN73" s="10">
        <v>4.3000000000000002E-5</v>
      </c>
      <c r="AO73" s="10">
        <v>4.3000000000000002E-5</v>
      </c>
      <c r="AP73" s="12">
        <v>4.3000000000000002E-5</v>
      </c>
      <c r="AQ73" s="10"/>
      <c r="AR73" s="10"/>
      <c r="AS73" s="10"/>
      <c r="AT73" s="10"/>
      <c r="AU73" s="10"/>
      <c r="AV73" s="10"/>
      <c r="AW73" s="10"/>
      <c r="AX73" s="10"/>
      <c r="AY73" s="10"/>
      <c r="AZ73" s="10"/>
      <c r="BA73" s="10"/>
      <c r="BB73" s="10"/>
      <c r="BC73" s="10"/>
      <c r="BD73" s="10"/>
      <c r="BE73" s="12"/>
      <c r="BF73" s="15"/>
      <c r="BG73" s="15"/>
      <c r="BH73" s="15"/>
      <c r="BI73" s="15"/>
      <c r="BJ73" s="15"/>
      <c r="BK73" s="15"/>
      <c r="BL73" s="15"/>
      <c r="BM73" s="15"/>
      <c r="BN73" s="15"/>
      <c r="BO73" s="20"/>
      <c r="BP73" s="15"/>
      <c r="BQ73" s="15"/>
      <c r="BR73" s="15"/>
      <c r="BS73" s="15"/>
      <c r="BT73" s="11"/>
      <c r="BU73" s="10"/>
      <c r="BV73" s="10"/>
      <c r="BW73" s="10"/>
      <c r="BX73" s="10"/>
      <c r="BY73" s="10"/>
      <c r="BZ73" s="10"/>
      <c r="CA73" s="10"/>
      <c r="CB73" s="10"/>
      <c r="CC73" s="10"/>
      <c r="CD73" s="10"/>
      <c r="CE73" s="10"/>
      <c r="CF73" s="10"/>
      <c r="CG73" s="10"/>
      <c r="CH73" s="9"/>
    </row>
    <row r="74" spans="1:86">
      <c r="A74" s="13" t="s">
        <v>104</v>
      </c>
      <c r="B74" s="10">
        <v>2.4000000000000001E-4</v>
      </c>
      <c r="C74" s="10">
        <v>2.4000000000000001E-4</v>
      </c>
      <c r="D74" s="10">
        <v>2.4000000000000001E-4</v>
      </c>
      <c r="E74" s="10">
        <v>2.4000000000000001E-4</v>
      </c>
      <c r="F74" s="10">
        <v>2.4000000000000001E-4</v>
      </c>
      <c r="G74" s="10">
        <v>2.4000000000000001E-4</v>
      </c>
      <c r="H74" s="10">
        <v>2.4000000000000001E-4</v>
      </c>
      <c r="I74" s="10">
        <v>2.4000000000000001E-4</v>
      </c>
      <c r="J74" s="10">
        <v>2.4000000000000001E-4</v>
      </c>
      <c r="K74" s="10">
        <v>2.4000000000000001E-4</v>
      </c>
      <c r="L74" s="10">
        <v>2.4000000000000001E-4</v>
      </c>
      <c r="M74" s="10">
        <v>2.4000000000000001E-4</v>
      </c>
      <c r="N74" s="10">
        <v>2.4000000000000001E-4</v>
      </c>
      <c r="O74" s="10">
        <v>2.4000000000000001E-4</v>
      </c>
      <c r="P74" s="10">
        <v>2.4000000000000001E-4</v>
      </c>
      <c r="Q74" s="10">
        <v>2.4000000000000001E-4</v>
      </c>
      <c r="R74" s="10">
        <v>2.4000000000000001E-4</v>
      </c>
      <c r="S74" s="10">
        <v>2.4000000000000001E-4</v>
      </c>
      <c r="T74" s="10">
        <v>2.4000000000000001E-4</v>
      </c>
      <c r="U74" s="10">
        <v>2.4000000000000001E-4</v>
      </c>
      <c r="V74" s="10">
        <v>2.4000000000000001E-4</v>
      </c>
      <c r="W74" s="10">
        <v>2.4000000000000001E-4</v>
      </c>
      <c r="X74" s="10">
        <v>2.4000000000000001E-4</v>
      </c>
      <c r="Y74" s="10">
        <v>2.4000000000000001E-4</v>
      </c>
      <c r="Z74" s="10">
        <v>2.4000000000000001E-4</v>
      </c>
      <c r="AA74" s="10">
        <v>2.4000000000000001E-4</v>
      </c>
      <c r="AB74" s="10">
        <v>2.4000000000000001E-4</v>
      </c>
      <c r="AC74" s="10">
        <v>2.4000000000000001E-4</v>
      </c>
      <c r="AD74" s="10">
        <v>2.4000000000000001E-4</v>
      </c>
      <c r="AE74" s="10">
        <v>2.4000000000000001E-4</v>
      </c>
      <c r="AF74" s="10">
        <v>2.4000000000000001E-4</v>
      </c>
      <c r="AG74" s="10">
        <v>2.4000000000000001E-4</v>
      </c>
      <c r="AH74" s="10">
        <v>2.4000000000000001E-4</v>
      </c>
      <c r="AI74" s="10">
        <v>2.4000000000000001E-4</v>
      </c>
      <c r="AJ74" s="10">
        <v>2.4000000000000001E-4</v>
      </c>
      <c r="AK74" s="10">
        <v>2.4000000000000001E-4</v>
      </c>
      <c r="AL74" s="12">
        <v>2.4000000000000001E-4</v>
      </c>
      <c r="AM74" s="10">
        <v>2.4000000000000001E-4</v>
      </c>
      <c r="AN74" s="10">
        <v>2.4000000000000001E-4</v>
      </c>
      <c r="AO74" s="10">
        <v>2.4000000000000001E-4</v>
      </c>
      <c r="AP74" s="12">
        <v>2.4000000000000001E-4</v>
      </c>
      <c r="AQ74" s="10">
        <v>6.1999999999999998E-3</v>
      </c>
      <c r="AR74" s="10">
        <v>6.1999999999999998E-3</v>
      </c>
      <c r="AS74" s="10">
        <v>6.1999999999999998E-3</v>
      </c>
      <c r="AT74" s="10">
        <v>6.1999999999999998E-3</v>
      </c>
      <c r="AU74" s="10">
        <v>6.1999999999999998E-3</v>
      </c>
      <c r="AV74" s="10">
        <v>6.1999999999999998E-3</v>
      </c>
      <c r="AW74" s="10">
        <v>6.1999999999999998E-3</v>
      </c>
      <c r="AX74" s="10">
        <v>6.1999999999999998E-3</v>
      </c>
      <c r="AY74" s="10">
        <v>6.1999999999999998E-3</v>
      </c>
      <c r="AZ74" s="10">
        <v>6.1999999999999998E-3</v>
      </c>
      <c r="BA74" s="10">
        <v>6.1999999999999998E-3</v>
      </c>
      <c r="BB74" s="10">
        <v>6.1999999999999998E-3</v>
      </c>
      <c r="BC74" s="10">
        <v>6.1999999999999998E-3</v>
      </c>
      <c r="BD74" s="10">
        <v>6.1999999999999998E-3</v>
      </c>
      <c r="BE74" s="12">
        <v>6.1999999999999998E-3</v>
      </c>
      <c r="BF74" s="10">
        <v>3.3999999999999998E-3</v>
      </c>
      <c r="BG74" s="10">
        <v>3.3999999999999998E-3</v>
      </c>
      <c r="BH74" s="10">
        <v>3.3999999999999998E-3</v>
      </c>
      <c r="BI74" s="10">
        <v>3.3999999999999998E-3</v>
      </c>
      <c r="BJ74" s="10">
        <v>3.3999999999999998E-3</v>
      </c>
      <c r="BK74" s="10">
        <v>3.3999999999999998E-3</v>
      </c>
      <c r="BL74" s="10">
        <v>3.3999999999999998E-3</v>
      </c>
      <c r="BM74" s="10">
        <v>3.3999999999999998E-3</v>
      </c>
      <c r="BN74" s="10">
        <v>3.3999999999999998E-3</v>
      </c>
      <c r="BO74" s="12">
        <v>3.3999999999999998E-3</v>
      </c>
      <c r="BP74" s="10">
        <v>3.3999999999999998E-3</v>
      </c>
      <c r="BQ74" s="10">
        <v>3.3999999999999998E-3</v>
      </c>
      <c r="BR74" s="10">
        <v>3.3999999999999998E-3</v>
      </c>
      <c r="BS74" s="10">
        <v>3.3999999999999998E-3</v>
      </c>
      <c r="BT74" s="11">
        <v>9.2000000000000003E-4</v>
      </c>
      <c r="BU74" s="10">
        <v>9.2000000000000003E-4</v>
      </c>
      <c r="BV74" s="10">
        <v>9.2000000000000003E-4</v>
      </c>
      <c r="BW74" s="10">
        <v>9.2000000000000003E-4</v>
      </c>
      <c r="BX74" s="10">
        <v>9.2000000000000003E-4</v>
      </c>
      <c r="BY74" s="10">
        <v>9.2000000000000003E-4</v>
      </c>
      <c r="BZ74" s="10">
        <v>9.2000000000000003E-4</v>
      </c>
      <c r="CA74" s="10">
        <v>9.2000000000000003E-4</v>
      </c>
      <c r="CB74" s="10">
        <v>9.2000000000000003E-4</v>
      </c>
      <c r="CC74" s="10">
        <v>9.2000000000000003E-4</v>
      </c>
      <c r="CD74" s="10">
        <v>9.2000000000000003E-4</v>
      </c>
      <c r="CE74" s="10">
        <v>9.2000000000000003E-4</v>
      </c>
      <c r="CF74" s="10">
        <v>9.2000000000000003E-4</v>
      </c>
      <c r="CG74" s="10">
        <v>9.2000000000000003E-4</v>
      </c>
      <c r="CH74" s="9">
        <v>9.2000000000000003E-4</v>
      </c>
    </row>
    <row r="75" spans="1:86">
      <c r="A75" s="13" t="s">
        <v>586</v>
      </c>
      <c r="B75" s="10">
        <v>7.6000000000000001E-6</v>
      </c>
      <c r="C75" s="10">
        <v>7.6000000000000001E-6</v>
      </c>
      <c r="D75" s="10">
        <v>7.6000000000000001E-6</v>
      </c>
      <c r="E75" s="10">
        <v>7.6000000000000001E-6</v>
      </c>
      <c r="F75" s="10">
        <v>7.6000000000000001E-6</v>
      </c>
      <c r="G75" s="10">
        <v>7.6000000000000001E-6</v>
      </c>
      <c r="H75" s="10">
        <v>7.6000000000000001E-6</v>
      </c>
      <c r="I75" s="10">
        <v>7.6000000000000001E-6</v>
      </c>
      <c r="J75" s="10">
        <v>7.6000000000000001E-6</v>
      </c>
      <c r="K75" s="10">
        <v>7.6000000000000001E-6</v>
      </c>
      <c r="L75" s="10">
        <v>7.6000000000000001E-6</v>
      </c>
      <c r="M75" s="10">
        <v>7.6000000000000001E-6</v>
      </c>
      <c r="N75" s="10">
        <v>7.6000000000000001E-6</v>
      </c>
      <c r="O75" s="10">
        <v>7.6000000000000001E-6</v>
      </c>
      <c r="P75" s="10">
        <v>7.6000000000000001E-6</v>
      </c>
      <c r="Q75" s="10">
        <v>7.6000000000000001E-6</v>
      </c>
      <c r="R75" s="10">
        <v>7.6000000000000001E-6</v>
      </c>
      <c r="S75" s="10">
        <v>7.6000000000000001E-6</v>
      </c>
      <c r="T75" s="10">
        <v>7.6000000000000001E-6</v>
      </c>
      <c r="U75" s="10">
        <v>7.6000000000000001E-6</v>
      </c>
      <c r="V75" s="10">
        <v>7.6000000000000001E-6</v>
      </c>
      <c r="W75" s="10">
        <v>7.6000000000000001E-6</v>
      </c>
      <c r="X75" s="10">
        <v>7.6000000000000001E-6</v>
      </c>
      <c r="Y75" s="10">
        <v>7.6000000000000001E-6</v>
      </c>
      <c r="Z75" s="10">
        <v>7.6000000000000001E-6</v>
      </c>
      <c r="AA75" s="10">
        <v>7.6000000000000001E-6</v>
      </c>
      <c r="AB75" s="10">
        <v>7.6000000000000001E-6</v>
      </c>
      <c r="AC75" s="10">
        <v>7.6000000000000001E-6</v>
      </c>
      <c r="AD75" s="10">
        <v>7.6000000000000001E-6</v>
      </c>
      <c r="AE75" s="10">
        <v>7.6000000000000001E-6</v>
      </c>
      <c r="AF75" s="10">
        <v>7.6000000000000001E-6</v>
      </c>
      <c r="AG75" s="10">
        <v>7.6000000000000001E-6</v>
      </c>
      <c r="AH75" s="10">
        <v>7.6000000000000001E-6</v>
      </c>
      <c r="AI75" s="10">
        <v>7.6000000000000001E-6</v>
      </c>
      <c r="AJ75" s="10">
        <v>7.6000000000000001E-6</v>
      </c>
      <c r="AK75" s="10">
        <v>7.6000000000000001E-6</v>
      </c>
      <c r="AL75" s="12">
        <v>7.6000000000000001E-6</v>
      </c>
      <c r="AM75" s="10">
        <v>7.6000000000000001E-6</v>
      </c>
      <c r="AN75" s="10">
        <v>7.6000000000000001E-6</v>
      </c>
      <c r="AO75" s="10">
        <v>7.6000000000000001E-6</v>
      </c>
      <c r="AP75" s="12">
        <v>7.6000000000000001E-6</v>
      </c>
      <c r="AQ75" s="10"/>
      <c r="AR75" s="10"/>
      <c r="AS75" s="10"/>
      <c r="AT75" s="10"/>
      <c r="AU75" s="10"/>
      <c r="AV75" s="10"/>
      <c r="AW75" s="10"/>
      <c r="AX75" s="10"/>
      <c r="AY75" s="10"/>
      <c r="AZ75" s="10"/>
      <c r="BA75" s="10"/>
      <c r="BB75" s="10"/>
      <c r="BC75" s="10"/>
      <c r="BD75" s="10"/>
      <c r="BE75" s="12"/>
      <c r="BF75" s="15"/>
      <c r="BG75" s="15"/>
      <c r="BH75" s="15"/>
      <c r="BI75" s="15"/>
      <c r="BJ75" s="15"/>
      <c r="BK75" s="15"/>
      <c r="BL75" s="15"/>
      <c r="BM75" s="15"/>
      <c r="BN75" s="15"/>
      <c r="BO75" s="20"/>
      <c r="BP75" s="15"/>
      <c r="BQ75" s="15"/>
      <c r="BR75" s="15"/>
      <c r="BS75" s="15"/>
      <c r="BT75" s="11"/>
      <c r="BU75" s="10"/>
      <c r="BV75" s="10"/>
      <c r="BW75" s="10"/>
      <c r="BX75" s="10"/>
      <c r="BY75" s="10"/>
      <c r="BZ75" s="10"/>
      <c r="CA75" s="10"/>
      <c r="CB75" s="10"/>
      <c r="CC75" s="10"/>
      <c r="CD75" s="10"/>
      <c r="CE75" s="10"/>
      <c r="CF75" s="10"/>
      <c r="CG75" s="10"/>
      <c r="CH75" s="9"/>
    </row>
    <row r="76" spans="1:86">
      <c r="A76" s="13" t="s">
        <v>587</v>
      </c>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2"/>
      <c r="AM76" s="10"/>
      <c r="AN76" s="10"/>
      <c r="AO76" s="10"/>
      <c r="AP76" s="12"/>
      <c r="AQ76" s="10"/>
      <c r="AR76" s="10"/>
      <c r="AS76" s="10"/>
      <c r="AT76" s="10"/>
      <c r="AU76" s="10"/>
      <c r="AV76" s="10"/>
      <c r="AW76" s="10"/>
      <c r="AX76" s="10"/>
      <c r="AY76" s="10"/>
      <c r="AZ76" s="10"/>
      <c r="BA76" s="10"/>
      <c r="BB76" s="10"/>
      <c r="BC76" s="10"/>
      <c r="BD76" s="10"/>
      <c r="BE76" s="12"/>
      <c r="BF76" s="15"/>
      <c r="BG76" s="15"/>
      <c r="BH76" s="15"/>
      <c r="BI76" s="15"/>
      <c r="BJ76" s="15"/>
      <c r="BK76" s="15"/>
      <c r="BL76" s="15"/>
      <c r="BM76" s="15"/>
      <c r="BN76" s="15"/>
      <c r="BO76" s="20"/>
      <c r="BP76" s="15"/>
      <c r="BQ76" s="15"/>
      <c r="BR76" s="15"/>
      <c r="BS76" s="15"/>
      <c r="BT76" s="11">
        <v>1.8E-5</v>
      </c>
      <c r="BU76" s="10">
        <v>1.8E-5</v>
      </c>
      <c r="BV76" s="10">
        <v>1.8E-5</v>
      </c>
      <c r="BW76" s="10">
        <v>1.8E-5</v>
      </c>
      <c r="BX76" s="10">
        <v>1.8E-5</v>
      </c>
      <c r="BY76" s="10">
        <v>1.8E-5</v>
      </c>
      <c r="BZ76" s="10">
        <v>1.8E-5</v>
      </c>
      <c r="CA76" s="10">
        <v>1.8E-5</v>
      </c>
      <c r="CB76" s="10">
        <v>1.8E-5</v>
      </c>
      <c r="CC76" s="10">
        <v>1.8E-5</v>
      </c>
      <c r="CD76" s="10">
        <v>1.8E-5</v>
      </c>
      <c r="CE76" s="10">
        <v>1.8E-5</v>
      </c>
      <c r="CF76" s="10">
        <v>1.8E-5</v>
      </c>
      <c r="CG76" s="10">
        <v>1.8E-5</v>
      </c>
      <c r="CH76" s="9">
        <v>1.8E-5</v>
      </c>
    </row>
    <row r="77" spans="1:86">
      <c r="A77" s="13" t="s">
        <v>588</v>
      </c>
      <c r="B77" s="10">
        <v>3.6999999999999998E-5</v>
      </c>
      <c r="C77" s="10">
        <v>3.6999999999999998E-5</v>
      </c>
      <c r="D77" s="10">
        <v>3.6999999999999998E-5</v>
      </c>
      <c r="E77" s="10">
        <v>3.6999999999999998E-5</v>
      </c>
      <c r="F77" s="10">
        <v>3.6999999999999998E-5</v>
      </c>
      <c r="G77" s="10">
        <v>3.6999999999999998E-5</v>
      </c>
      <c r="H77" s="10">
        <v>3.6999999999999998E-5</v>
      </c>
      <c r="I77" s="10">
        <v>3.6999999999999998E-5</v>
      </c>
      <c r="J77" s="10">
        <v>3.6999999999999998E-5</v>
      </c>
      <c r="K77" s="10">
        <v>3.6999999999999998E-5</v>
      </c>
      <c r="L77" s="10">
        <v>3.6999999999999998E-5</v>
      </c>
      <c r="M77" s="10">
        <v>3.6999999999999998E-5</v>
      </c>
      <c r="N77" s="10">
        <v>3.6999999999999998E-5</v>
      </c>
      <c r="O77" s="10">
        <v>3.6999999999999998E-5</v>
      </c>
      <c r="P77" s="10">
        <v>3.6999999999999998E-5</v>
      </c>
      <c r="Q77" s="10">
        <v>3.6999999999999998E-5</v>
      </c>
      <c r="R77" s="10">
        <v>3.6999999999999998E-5</v>
      </c>
      <c r="S77" s="10">
        <v>3.6999999999999998E-5</v>
      </c>
      <c r="T77" s="10">
        <v>3.6999999999999998E-5</v>
      </c>
      <c r="U77" s="10">
        <v>3.6999999999999998E-5</v>
      </c>
      <c r="V77" s="10">
        <v>3.6999999999999998E-5</v>
      </c>
      <c r="W77" s="10">
        <v>3.6999999999999998E-5</v>
      </c>
      <c r="X77" s="10">
        <v>3.6999999999999998E-5</v>
      </c>
      <c r="Y77" s="10">
        <v>3.6999999999999998E-5</v>
      </c>
      <c r="Z77" s="10">
        <v>3.6999999999999998E-5</v>
      </c>
      <c r="AA77" s="10">
        <v>3.6999999999999998E-5</v>
      </c>
      <c r="AB77" s="10">
        <v>3.6999999999999998E-5</v>
      </c>
      <c r="AC77" s="10">
        <v>3.6999999999999998E-5</v>
      </c>
      <c r="AD77" s="10">
        <v>3.6999999999999998E-5</v>
      </c>
      <c r="AE77" s="10">
        <v>3.6999999999999998E-5</v>
      </c>
      <c r="AF77" s="10">
        <v>3.6999999999999998E-5</v>
      </c>
      <c r="AG77" s="10">
        <v>3.6999999999999998E-5</v>
      </c>
      <c r="AH77" s="10">
        <v>3.6999999999999998E-5</v>
      </c>
      <c r="AI77" s="10">
        <v>3.6999999999999998E-5</v>
      </c>
      <c r="AJ77" s="10">
        <v>3.6999999999999998E-5</v>
      </c>
      <c r="AK77" s="10">
        <v>3.6999999999999998E-5</v>
      </c>
      <c r="AL77" s="12">
        <v>3.6999999999999998E-5</v>
      </c>
      <c r="AM77" s="10">
        <v>3.6999999999999998E-5</v>
      </c>
      <c r="AN77" s="10">
        <v>3.6999999999999998E-5</v>
      </c>
      <c r="AO77" s="10">
        <v>3.6999999999999998E-5</v>
      </c>
      <c r="AP77" s="12">
        <v>3.6999999999999998E-5</v>
      </c>
      <c r="AQ77" s="10">
        <v>1.0900000000000001E-4</v>
      </c>
      <c r="AR77" s="10">
        <v>1.0900000000000001E-4</v>
      </c>
      <c r="AS77" s="10">
        <v>1.0900000000000001E-4</v>
      </c>
      <c r="AT77" s="10">
        <v>1.0900000000000001E-4</v>
      </c>
      <c r="AU77" s="10">
        <v>1.0900000000000001E-4</v>
      </c>
      <c r="AV77" s="10">
        <v>1.0900000000000001E-4</v>
      </c>
      <c r="AW77" s="10">
        <v>1.0900000000000001E-4</v>
      </c>
      <c r="AX77" s="10">
        <v>1.0900000000000001E-4</v>
      </c>
      <c r="AY77" s="10">
        <v>1.0900000000000001E-4</v>
      </c>
      <c r="AZ77" s="10">
        <v>1.0900000000000001E-4</v>
      </c>
      <c r="BA77" s="10">
        <v>1.0900000000000001E-4</v>
      </c>
      <c r="BB77" s="10">
        <v>1.0900000000000001E-4</v>
      </c>
      <c r="BC77" s="10">
        <v>1.0900000000000001E-4</v>
      </c>
      <c r="BD77" s="10">
        <v>1.0900000000000001E-4</v>
      </c>
      <c r="BE77" s="12">
        <v>1.0900000000000001E-4</v>
      </c>
      <c r="BF77" s="15"/>
      <c r="BG77" s="15"/>
      <c r="BH77" s="15"/>
      <c r="BI77" s="15"/>
      <c r="BJ77" s="15"/>
      <c r="BK77" s="15"/>
      <c r="BL77" s="15"/>
      <c r="BM77" s="15"/>
      <c r="BN77" s="15"/>
      <c r="BO77" s="20"/>
      <c r="BP77" s="15"/>
      <c r="BQ77" s="15"/>
      <c r="BR77" s="15"/>
      <c r="BS77" s="15"/>
      <c r="BT77" s="11">
        <v>2.5000000000000001E-5</v>
      </c>
      <c r="BU77" s="10">
        <v>2.5000000000000001E-5</v>
      </c>
      <c r="BV77" s="10">
        <v>2.5000000000000001E-5</v>
      </c>
      <c r="BW77" s="10">
        <v>2.5000000000000001E-5</v>
      </c>
      <c r="BX77" s="10">
        <v>2.5000000000000001E-5</v>
      </c>
      <c r="BY77" s="10">
        <v>2.5000000000000001E-5</v>
      </c>
      <c r="BZ77" s="10">
        <v>2.5000000000000001E-5</v>
      </c>
      <c r="CA77" s="10">
        <v>2.5000000000000001E-5</v>
      </c>
      <c r="CB77" s="10">
        <v>2.5000000000000001E-5</v>
      </c>
      <c r="CC77" s="10">
        <v>2.5000000000000001E-5</v>
      </c>
      <c r="CD77" s="10">
        <v>2.5000000000000001E-5</v>
      </c>
      <c r="CE77" s="10">
        <v>2.5000000000000001E-5</v>
      </c>
      <c r="CF77" s="10">
        <v>2.5000000000000001E-5</v>
      </c>
      <c r="CG77" s="10">
        <v>2.5000000000000001E-5</v>
      </c>
      <c r="CH77" s="9">
        <v>2.5000000000000001E-5</v>
      </c>
    </row>
    <row r="78" spans="1:86">
      <c r="A78" s="21" t="s">
        <v>589</v>
      </c>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20"/>
      <c r="AM78" s="10"/>
      <c r="AN78" s="10"/>
      <c r="AO78" s="10"/>
      <c r="AP78" s="12"/>
      <c r="AQ78" s="15"/>
      <c r="AR78" s="15"/>
      <c r="AS78" s="15"/>
      <c r="AT78" s="15"/>
      <c r="AU78" s="15"/>
      <c r="AV78" s="15"/>
      <c r="AW78" s="15"/>
      <c r="AX78" s="15"/>
      <c r="AY78" s="15"/>
      <c r="AZ78" s="15"/>
      <c r="BA78" s="15"/>
      <c r="BB78" s="15"/>
      <c r="BC78" s="15"/>
      <c r="BD78" s="15"/>
      <c r="BE78" s="20"/>
      <c r="BF78" s="15"/>
      <c r="BG78" s="15"/>
      <c r="BH78" s="15"/>
      <c r="BI78" s="15"/>
      <c r="BJ78" s="15"/>
      <c r="BK78" s="15"/>
      <c r="BL78" s="15"/>
      <c r="BM78" s="15"/>
      <c r="BN78" s="15"/>
      <c r="BO78" s="20"/>
      <c r="BP78" s="15"/>
      <c r="BQ78" s="15"/>
      <c r="BR78" s="15"/>
      <c r="BS78" s="20"/>
      <c r="BT78" s="15"/>
      <c r="BU78" s="15"/>
      <c r="BV78" s="15"/>
      <c r="BW78" s="15"/>
      <c r="BX78" s="15"/>
      <c r="BY78" s="15"/>
      <c r="BZ78" s="15"/>
      <c r="CA78" s="15"/>
      <c r="CB78" s="15"/>
      <c r="CC78" s="15"/>
      <c r="CD78" s="15"/>
      <c r="CE78" s="15"/>
      <c r="CF78" s="15"/>
      <c r="CG78" s="15"/>
      <c r="CH78" s="19"/>
    </row>
    <row r="79" spans="1:86">
      <c r="A79" s="13" t="s">
        <v>407</v>
      </c>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2"/>
      <c r="AM79" s="10"/>
      <c r="AN79" s="10"/>
      <c r="AO79" s="10"/>
      <c r="AP79" s="12"/>
      <c r="AQ79" s="10"/>
      <c r="AR79" s="10"/>
      <c r="AS79" s="10"/>
      <c r="AT79" s="10"/>
      <c r="AU79" s="10"/>
      <c r="AV79" s="10"/>
      <c r="AW79" s="10"/>
      <c r="AX79" s="10"/>
      <c r="AY79" s="10"/>
      <c r="AZ79" s="10"/>
      <c r="BA79" s="10"/>
      <c r="BB79" s="10"/>
      <c r="BC79" s="10"/>
      <c r="BD79" s="10"/>
      <c r="BE79" s="12"/>
      <c r="BF79" s="10">
        <v>2.4000000000000001E-5</v>
      </c>
      <c r="BG79" s="10">
        <v>2.4000000000000001E-5</v>
      </c>
      <c r="BH79" s="10">
        <v>2.4000000000000001E-5</v>
      </c>
      <c r="BI79" s="10">
        <v>2.4000000000000001E-5</v>
      </c>
      <c r="BJ79" s="10">
        <v>2.4000000000000001E-5</v>
      </c>
      <c r="BK79" s="10">
        <v>2.4000000000000001E-5</v>
      </c>
      <c r="BL79" s="10">
        <v>2.4000000000000001E-5</v>
      </c>
      <c r="BM79" s="10">
        <v>2.4000000000000001E-5</v>
      </c>
      <c r="BN79" s="10">
        <v>2.4000000000000001E-5</v>
      </c>
      <c r="BO79" s="12">
        <v>2.4000000000000001E-5</v>
      </c>
      <c r="BP79" s="10">
        <v>2.4000000000000001E-5</v>
      </c>
      <c r="BQ79" s="10">
        <v>2.4000000000000001E-5</v>
      </c>
      <c r="BR79" s="10">
        <v>2.4000000000000001E-5</v>
      </c>
      <c r="BS79" s="10">
        <v>2.4000000000000001E-5</v>
      </c>
      <c r="BT79" s="11">
        <v>1.6E-7</v>
      </c>
      <c r="BU79" s="10">
        <v>1.6E-7</v>
      </c>
      <c r="BV79" s="10">
        <v>1.6E-7</v>
      </c>
      <c r="BW79" s="10">
        <v>1.6E-7</v>
      </c>
      <c r="BX79" s="10">
        <v>1.6E-7</v>
      </c>
      <c r="BY79" s="10">
        <v>1.6E-7</v>
      </c>
      <c r="BZ79" s="10">
        <v>1.6E-7</v>
      </c>
      <c r="CA79" s="10">
        <v>1.6E-7</v>
      </c>
      <c r="CB79" s="10">
        <v>1.6E-7</v>
      </c>
      <c r="CC79" s="10">
        <v>1.6E-7</v>
      </c>
      <c r="CD79" s="10">
        <v>1.6E-7</v>
      </c>
      <c r="CE79" s="10">
        <v>1.6E-7</v>
      </c>
      <c r="CF79" s="10">
        <v>1.6E-7</v>
      </c>
      <c r="CG79" s="10">
        <v>1.6E-7</v>
      </c>
      <c r="CH79" s="9">
        <v>1.6E-7</v>
      </c>
    </row>
    <row r="80" spans="1:86">
      <c r="A80" s="13" t="s">
        <v>590</v>
      </c>
      <c r="B80" s="10">
        <v>2.1999999999999998E-8</v>
      </c>
      <c r="C80" s="10">
        <v>2.1999999999999998E-8</v>
      </c>
      <c r="D80" s="10">
        <v>2.1999999999999998E-8</v>
      </c>
      <c r="E80" s="10">
        <v>2.1999999999999998E-8</v>
      </c>
      <c r="F80" s="10">
        <v>2.1999999999999998E-8</v>
      </c>
      <c r="G80" s="10">
        <v>2.1999999999999998E-8</v>
      </c>
      <c r="H80" s="10">
        <v>2.1999999999999998E-8</v>
      </c>
      <c r="I80" s="10">
        <v>2.1999999999999998E-8</v>
      </c>
      <c r="J80" s="10">
        <v>2.1999999999999998E-8</v>
      </c>
      <c r="K80" s="10">
        <v>2.1999999999999998E-8</v>
      </c>
      <c r="L80" s="10">
        <v>2.1999999999999998E-8</v>
      </c>
      <c r="M80" s="10">
        <v>2.1999999999999998E-8</v>
      </c>
      <c r="N80" s="10">
        <v>2.1999999999999998E-8</v>
      </c>
      <c r="O80" s="10">
        <v>2.1999999999999998E-8</v>
      </c>
      <c r="P80" s="10">
        <v>2.1999999999999998E-8</v>
      </c>
      <c r="Q80" s="10">
        <v>2.1999999999999998E-8</v>
      </c>
      <c r="R80" s="10">
        <v>2.1999999999999998E-8</v>
      </c>
      <c r="S80" s="10">
        <v>2.1999999999999998E-8</v>
      </c>
      <c r="T80" s="10">
        <v>2.1999999999999998E-8</v>
      </c>
      <c r="U80" s="10">
        <v>2.1999999999999998E-8</v>
      </c>
      <c r="V80" s="10">
        <v>2.1999999999999998E-8</v>
      </c>
      <c r="W80" s="10">
        <v>2.1999999999999998E-8</v>
      </c>
      <c r="X80" s="10">
        <v>2.1999999999999998E-8</v>
      </c>
      <c r="Y80" s="10">
        <v>2.1999999999999998E-8</v>
      </c>
      <c r="Z80" s="10">
        <v>2.1999999999999998E-8</v>
      </c>
      <c r="AA80" s="10">
        <v>2.1999999999999998E-8</v>
      </c>
      <c r="AB80" s="10">
        <v>2.1999999999999998E-8</v>
      </c>
      <c r="AC80" s="10">
        <v>2.1999999999999998E-8</v>
      </c>
      <c r="AD80" s="10">
        <v>2.1999999999999998E-8</v>
      </c>
      <c r="AE80" s="10">
        <v>2.1999999999999998E-8</v>
      </c>
      <c r="AF80" s="10">
        <v>2.1999999999999998E-8</v>
      </c>
      <c r="AG80" s="10">
        <v>2.1999999999999998E-8</v>
      </c>
      <c r="AH80" s="10">
        <v>2.1999999999999998E-8</v>
      </c>
      <c r="AI80" s="10">
        <v>2.1999999999999998E-8</v>
      </c>
      <c r="AJ80" s="10">
        <v>2.1999999999999998E-8</v>
      </c>
      <c r="AK80" s="10">
        <v>2.1999999999999998E-8</v>
      </c>
      <c r="AL80" s="12">
        <v>2.1999999999999998E-8</v>
      </c>
      <c r="AM80" s="10">
        <v>2.1999999999999998E-8</v>
      </c>
      <c r="AN80" s="10">
        <v>2.1999999999999998E-8</v>
      </c>
      <c r="AO80" s="10">
        <v>2.1999999999999998E-8</v>
      </c>
      <c r="AP80" s="12">
        <v>2.1999999999999998E-8</v>
      </c>
      <c r="AQ80" s="10"/>
      <c r="AR80" s="10"/>
      <c r="AS80" s="10"/>
      <c r="AT80" s="10"/>
      <c r="AU80" s="10"/>
      <c r="AV80" s="10"/>
      <c r="AW80" s="10"/>
      <c r="AX80" s="10"/>
      <c r="AY80" s="10"/>
      <c r="AZ80" s="10"/>
      <c r="BA80" s="10"/>
      <c r="BB80" s="10"/>
      <c r="BC80" s="10"/>
      <c r="BD80" s="10"/>
      <c r="BE80" s="12"/>
      <c r="BF80" s="17">
        <v>1.7999999999999999E-6</v>
      </c>
      <c r="BG80" s="17">
        <v>1.7999999999999999E-6</v>
      </c>
      <c r="BH80" s="17">
        <v>1.7999999999999999E-6</v>
      </c>
      <c r="BI80" s="17">
        <v>1.7999999999999999E-6</v>
      </c>
      <c r="BJ80" s="17">
        <v>1.7999999999999999E-6</v>
      </c>
      <c r="BK80" s="17">
        <v>1.7999999999999999E-6</v>
      </c>
      <c r="BL80" s="17">
        <v>1.7999999999999999E-6</v>
      </c>
      <c r="BM80" s="17">
        <v>1.7999999999999999E-6</v>
      </c>
      <c r="BN80" s="17">
        <v>1.7999999999999999E-6</v>
      </c>
      <c r="BO80" s="18">
        <v>1.7999999999999999E-6</v>
      </c>
      <c r="BP80" s="17">
        <v>1.7999999999999999E-6</v>
      </c>
      <c r="BQ80" s="17">
        <v>1.7999999999999999E-6</v>
      </c>
      <c r="BR80" s="17">
        <v>1.7999999999999999E-6</v>
      </c>
      <c r="BS80" s="17">
        <v>1.7999999999999999E-6</v>
      </c>
      <c r="BT80" s="11"/>
      <c r="BU80" s="10"/>
      <c r="BV80" s="10"/>
      <c r="BW80" s="10"/>
      <c r="BX80" s="10"/>
      <c r="BY80" s="10"/>
      <c r="BZ80" s="10"/>
      <c r="CA80" s="10"/>
      <c r="CB80" s="10"/>
      <c r="CC80" s="10"/>
      <c r="CD80" s="10"/>
      <c r="CE80" s="10"/>
      <c r="CF80" s="10"/>
      <c r="CG80" s="10"/>
      <c r="CH80" s="9"/>
    </row>
    <row r="81" spans="1:192">
      <c r="A81" s="13" t="s">
        <v>591</v>
      </c>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2"/>
      <c r="AM81" s="10"/>
      <c r="AN81" s="10"/>
      <c r="AO81" s="10"/>
      <c r="AP81" s="12"/>
      <c r="AQ81" s="10"/>
      <c r="AR81" s="10"/>
      <c r="AS81" s="10"/>
      <c r="AT81" s="10"/>
      <c r="AU81" s="10"/>
      <c r="AV81" s="10"/>
      <c r="AW81" s="10"/>
      <c r="AX81" s="10"/>
      <c r="AY81" s="10"/>
      <c r="AZ81" s="10"/>
      <c r="BA81" s="10"/>
      <c r="BB81" s="10"/>
      <c r="BC81" s="10"/>
      <c r="BD81" s="10"/>
      <c r="BE81" s="12"/>
      <c r="BF81" s="10">
        <v>1.5999999999999999E-5</v>
      </c>
      <c r="BG81" s="10">
        <v>1.5999999999999999E-5</v>
      </c>
      <c r="BH81" s="10">
        <v>1.5999999999999999E-5</v>
      </c>
      <c r="BI81" s="10">
        <v>1.5999999999999999E-5</v>
      </c>
      <c r="BJ81" s="10">
        <v>1.5999999999999999E-5</v>
      </c>
      <c r="BK81" s="10">
        <v>1.5999999999999999E-5</v>
      </c>
      <c r="BL81" s="10">
        <v>1.5999999999999999E-5</v>
      </c>
      <c r="BM81" s="10">
        <v>1.5999999999999999E-5</v>
      </c>
      <c r="BN81" s="10">
        <v>1.5999999999999999E-5</v>
      </c>
      <c r="BO81" s="12">
        <v>1.5999999999999999E-5</v>
      </c>
      <c r="BP81" s="10">
        <v>1.5999999999999999E-5</v>
      </c>
      <c r="BQ81" s="10">
        <v>1.5999999999999999E-5</v>
      </c>
      <c r="BR81" s="10">
        <v>1.5999999999999999E-5</v>
      </c>
      <c r="BS81" s="10">
        <v>1.5999999999999999E-5</v>
      </c>
      <c r="BT81" s="11"/>
      <c r="BU81" s="10"/>
      <c r="BV81" s="10"/>
      <c r="BW81" s="10"/>
      <c r="BX81" s="10"/>
      <c r="BY81" s="10"/>
      <c r="BZ81" s="10"/>
      <c r="CA81" s="10"/>
      <c r="CB81" s="10"/>
      <c r="CC81" s="10"/>
      <c r="CD81" s="10"/>
      <c r="CE81" s="10"/>
      <c r="CF81" s="10"/>
      <c r="CG81" s="10"/>
      <c r="CH81" s="9"/>
    </row>
    <row r="82" spans="1:192">
      <c r="A82" s="13" t="s">
        <v>408</v>
      </c>
      <c r="B82" s="10">
        <v>5.0999999999999999E-7</v>
      </c>
      <c r="C82" s="10">
        <v>5.0999999999999999E-7</v>
      </c>
      <c r="D82" s="10">
        <v>5.0999999999999999E-7</v>
      </c>
      <c r="E82" s="10">
        <v>5.0999999999999999E-7</v>
      </c>
      <c r="F82" s="10">
        <v>5.0999999999999999E-7</v>
      </c>
      <c r="G82" s="10">
        <v>5.0999999999999999E-7</v>
      </c>
      <c r="H82" s="10">
        <v>5.0999999999999999E-7</v>
      </c>
      <c r="I82" s="10">
        <v>5.0999999999999999E-7</v>
      </c>
      <c r="J82" s="10">
        <v>5.0999999999999999E-7</v>
      </c>
      <c r="K82" s="10">
        <v>5.0999999999999999E-7</v>
      </c>
      <c r="L82" s="10">
        <v>5.0999999999999999E-7</v>
      </c>
      <c r="M82" s="10">
        <v>5.0999999999999999E-7</v>
      </c>
      <c r="N82" s="10">
        <v>5.0999999999999999E-7</v>
      </c>
      <c r="O82" s="10">
        <v>5.0999999999999999E-7</v>
      </c>
      <c r="P82" s="10">
        <v>5.0999999999999999E-7</v>
      </c>
      <c r="Q82" s="10">
        <v>5.0999999999999999E-7</v>
      </c>
      <c r="R82" s="10">
        <v>5.0999999999999999E-7</v>
      </c>
      <c r="S82" s="10">
        <v>5.0999999999999999E-7</v>
      </c>
      <c r="T82" s="10">
        <v>5.0999999999999999E-7</v>
      </c>
      <c r="U82" s="10">
        <v>5.0999999999999999E-7</v>
      </c>
      <c r="V82" s="10">
        <v>5.0999999999999999E-7</v>
      </c>
      <c r="W82" s="10">
        <v>5.0999999999999999E-7</v>
      </c>
      <c r="X82" s="10">
        <v>5.0999999999999999E-7</v>
      </c>
      <c r="Y82" s="10">
        <v>5.0999999999999999E-7</v>
      </c>
      <c r="Z82" s="10">
        <v>5.0999999999999999E-7</v>
      </c>
      <c r="AA82" s="10">
        <v>5.0999999999999999E-7</v>
      </c>
      <c r="AB82" s="10">
        <v>5.0999999999999999E-7</v>
      </c>
      <c r="AC82" s="10">
        <v>5.0999999999999999E-7</v>
      </c>
      <c r="AD82" s="10">
        <v>5.0999999999999999E-7</v>
      </c>
      <c r="AE82" s="10">
        <v>5.0999999999999999E-7</v>
      </c>
      <c r="AF82" s="10">
        <v>5.0999999999999999E-7</v>
      </c>
      <c r="AG82" s="10">
        <v>5.0999999999999999E-7</v>
      </c>
      <c r="AH82" s="10">
        <v>5.0999999999999999E-7</v>
      </c>
      <c r="AI82" s="10">
        <v>5.0999999999999999E-7</v>
      </c>
      <c r="AJ82" s="10">
        <v>5.0999999999999999E-7</v>
      </c>
      <c r="AK82" s="10">
        <v>5.0999999999999999E-7</v>
      </c>
      <c r="AL82" s="12">
        <v>5.0999999999999999E-7</v>
      </c>
      <c r="AM82" s="10">
        <v>5.0999999999999999E-7</v>
      </c>
      <c r="AN82" s="10">
        <v>5.0999999999999999E-7</v>
      </c>
      <c r="AO82" s="10">
        <v>5.0999999999999999E-7</v>
      </c>
      <c r="AP82" s="12">
        <v>2.1999999999999999E-5</v>
      </c>
      <c r="AQ82" s="10">
        <v>2.1100000000000001E-5</v>
      </c>
      <c r="AR82" s="10">
        <v>2.1100000000000001E-5</v>
      </c>
      <c r="AS82" s="10">
        <v>2.1100000000000001E-5</v>
      </c>
      <c r="AT82" s="10">
        <v>2.1100000000000001E-5</v>
      </c>
      <c r="AU82" s="10">
        <v>2.1100000000000001E-5</v>
      </c>
      <c r="AV82" s="10">
        <v>2.1100000000000001E-5</v>
      </c>
      <c r="AW82" s="10">
        <v>2.1100000000000001E-5</v>
      </c>
      <c r="AX82" s="10">
        <v>2.1100000000000001E-5</v>
      </c>
      <c r="AY82" s="10">
        <v>2.1100000000000001E-5</v>
      </c>
      <c r="AZ82" s="10">
        <v>2.1100000000000001E-5</v>
      </c>
      <c r="BA82" s="10">
        <v>2.1100000000000001E-5</v>
      </c>
      <c r="BB82" s="10">
        <v>2.1100000000000001E-5</v>
      </c>
      <c r="BC82" s="10">
        <v>2.1100000000000001E-5</v>
      </c>
      <c r="BD82" s="10">
        <v>2.1100000000000001E-5</v>
      </c>
      <c r="BE82" s="12">
        <v>2.1100000000000001E-5</v>
      </c>
      <c r="BF82" s="10">
        <v>1.7999999999999999E-6</v>
      </c>
      <c r="BG82" s="10">
        <v>1.7999999999999999E-6</v>
      </c>
      <c r="BH82" s="10">
        <v>1.7999999999999999E-6</v>
      </c>
      <c r="BI82" s="10">
        <v>1.7999999999999999E-6</v>
      </c>
      <c r="BJ82" s="10">
        <v>1.7999999999999999E-6</v>
      </c>
      <c r="BK82" s="10">
        <v>1.7999999999999999E-6</v>
      </c>
      <c r="BL82" s="10">
        <v>1.7999999999999999E-6</v>
      </c>
      <c r="BM82" s="10">
        <v>1.7999999999999999E-6</v>
      </c>
      <c r="BN82" s="10">
        <v>1.7999999999999999E-6</v>
      </c>
      <c r="BO82" s="12">
        <v>1.7999999999999999E-6</v>
      </c>
      <c r="BP82" s="10">
        <v>1.7999999999999999E-6</v>
      </c>
      <c r="BQ82" s="10">
        <v>1.7999999999999999E-6</v>
      </c>
      <c r="BR82" s="10">
        <v>1.7999999999999999E-6</v>
      </c>
      <c r="BS82" s="10">
        <v>1.7999999999999999E-6</v>
      </c>
      <c r="BT82" s="11">
        <v>9.0999999999999997E-7</v>
      </c>
      <c r="BU82" s="10">
        <v>9.0999999999999997E-7</v>
      </c>
      <c r="BV82" s="10">
        <v>9.0999999999999997E-7</v>
      </c>
      <c r="BW82" s="10">
        <v>9.0999999999999997E-7</v>
      </c>
      <c r="BX82" s="10">
        <v>9.0999999999999997E-7</v>
      </c>
      <c r="BY82" s="10">
        <v>9.0999999999999997E-7</v>
      </c>
      <c r="BZ82" s="10">
        <v>9.0999999999999997E-7</v>
      </c>
      <c r="CA82" s="10">
        <v>9.0999999999999997E-7</v>
      </c>
      <c r="CB82" s="10">
        <v>9.0999999999999997E-7</v>
      </c>
      <c r="CC82" s="10">
        <v>9.0999999999999997E-7</v>
      </c>
      <c r="CD82" s="10">
        <v>9.0999999999999997E-7</v>
      </c>
      <c r="CE82" s="10">
        <v>9.0999999999999997E-7</v>
      </c>
      <c r="CF82" s="10">
        <v>9.0999999999999997E-7</v>
      </c>
      <c r="CG82" s="10">
        <v>9.0999999999999997E-7</v>
      </c>
      <c r="CH82" s="9">
        <v>9.0999999999999997E-7</v>
      </c>
    </row>
    <row r="83" spans="1:192">
      <c r="A83" s="13" t="s">
        <v>409</v>
      </c>
      <c r="B83" s="10">
        <v>2.4999999999999999E-7</v>
      </c>
      <c r="C83" s="10">
        <v>2.4999999999999999E-7</v>
      </c>
      <c r="D83" s="10">
        <v>2.4999999999999999E-7</v>
      </c>
      <c r="E83" s="10">
        <v>2.4999999999999999E-7</v>
      </c>
      <c r="F83" s="10">
        <v>2.4999999999999999E-7</v>
      </c>
      <c r="G83" s="10">
        <v>2.4999999999999999E-7</v>
      </c>
      <c r="H83" s="10">
        <v>2.4999999999999999E-7</v>
      </c>
      <c r="I83" s="10">
        <v>2.4999999999999999E-7</v>
      </c>
      <c r="J83" s="10">
        <v>2.4999999999999999E-7</v>
      </c>
      <c r="K83" s="10">
        <v>2.4999999999999999E-7</v>
      </c>
      <c r="L83" s="10">
        <v>2.4999999999999999E-7</v>
      </c>
      <c r="M83" s="10">
        <v>2.4999999999999999E-7</v>
      </c>
      <c r="N83" s="10">
        <v>2.4999999999999999E-7</v>
      </c>
      <c r="O83" s="10">
        <v>2.4999999999999999E-7</v>
      </c>
      <c r="P83" s="10">
        <v>2.4999999999999999E-7</v>
      </c>
      <c r="Q83" s="10">
        <v>2.4999999999999999E-7</v>
      </c>
      <c r="R83" s="10">
        <v>2.4999999999999999E-7</v>
      </c>
      <c r="S83" s="10">
        <v>2.4999999999999999E-7</v>
      </c>
      <c r="T83" s="10">
        <v>2.4999999999999999E-7</v>
      </c>
      <c r="U83" s="10">
        <v>2.4999999999999999E-7</v>
      </c>
      <c r="V83" s="10">
        <v>2.4999999999999999E-7</v>
      </c>
      <c r="W83" s="10">
        <v>2.4999999999999999E-7</v>
      </c>
      <c r="X83" s="10">
        <v>2.4999999999999999E-7</v>
      </c>
      <c r="Y83" s="10">
        <v>2.4999999999999999E-7</v>
      </c>
      <c r="Z83" s="10">
        <v>2.4999999999999999E-7</v>
      </c>
      <c r="AA83" s="10">
        <v>2.4999999999999999E-7</v>
      </c>
      <c r="AB83" s="10">
        <v>2.4999999999999999E-7</v>
      </c>
      <c r="AC83" s="10">
        <v>2.4999999999999999E-7</v>
      </c>
      <c r="AD83" s="10">
        <v>2.4999999999999999E-7</v>
      </c>
      <c r="AE83" s="10">
        <v>2.4999999999999999E-7</v>
      </c>
      <c r="AF83" s="10">
        <v>2.4999999999999999E-7</v>
      </c>
      <c r="AG83" s="10">
        <v>2.4999999999999999E-7</v>
      </c>
      <c r="AH83" s="10">
        <v>2.4999999999999999E-7</v>
      </c>
      <c r="AI83" s="10">
        <v>2.4999999999999999E-7</v>
      </c>
      <c r="AJ83" s="10">
        <v>2.4999999999999999E-7</v>
      </c>
      <c r="AK83" s="10">
        <v>2.4999999999999999E-7</v>
      </c>
      <c r="AL83" s="12">
        <v>2.4999999999999999E-7</v>
      </c>
      <c r="AM83" s="10">
        <v>2.4999999999999999E-7</v>
      </c>
      <c r="AN83" s="10">
        <v>2.4999999999999999E-7</v>
      </c>
      <c r="AO83" s="10">
        <v>2.4999999999999999E-7</v>
      </c>
      <c r="AP83" s="12">
        <v>8.6000000000000003E-5</v>
      </c>
      <c r="AQ83" s="10">
        <v>2.53E-7</v>
      </c>
      <c r="AR83" s="10">
        <v>2.53E-7</v>
      </c>
      <c r="AS83" s="10">
        <v>2.53E-7</v>
      </c>
      <c r="AT83" s="10">
        <v>2.53E-7</v>
      </c>
      <c r="AU83" s="10">
        <v>2.53E-7</v>
      </c>
      <c r="AV83" s="10">
        <v>2.53E-7</v>
      </c>
      <c r="AW83" s="10">
        <v>2.53E-7</v>
      </c>
      <c r="AX83" s="10">
        <v>2.53E-7</v>
      </c>
      <c r="AY83" s="10">
        <v>2.53E-7</v>
      </c>
      <c r="AZ83" s="10">
        <v>2.53E-7</v>
      </c>
      <c r="BA83" s="10">
        <v>2.53E-7</v>
      </c>
      <c r="BB83" s="10">
        <v>2.53E-7</v>
      </c>
      <c r="BC83" s="10">
        <v>2.53E-7</v>
      </c>
      <c r="BD83" s="10">
        <v>2.53E-7</v>
      </c>
      <c r="BE83" s="12">
        <v>2.53E-7</v>
      </c>
      <c r="BF83" s="10">
        <v>1.7999999999999999E-6</v>
      </c>
      <c r="BG83" s="10">
        <v>1.7999999999999999E-6</v>
      </c>
      <c r="BH83" s="10">
        <v>1.7999999999999999E-6</v>
      </c>
      <c r="BI83" s="10">
        <v>1.7999999999999999E-6</v>
      </c>
      <c r="BJ83" s="10">
        <v>1.7999999999999999E-6</v>
      </c>
      <c r="BK83" s="10">
        <v>1.7999999999999999E-6</v>
      </c>
      <c r="BL83" s="10">
        <v>1.7999999999999999E-6</v>
      </c>
      <c r="BM83" s="10">
        <v>1.7999999999999999E-6</v>
      </c>
      <c r="BN83" s="10">
        <v>1.7999999999999999E-6</v>
      </c>
      <c r="BO83" s="12">
        <v>1.7999999999999999E-6</v>
      </c>
      <c r="BP83" s="10">
        <v>1.7999999999999999E-6</v>
      </c>
      <c r="BQ83" s="10">
        <v>1.7999999999999999E-6</v>
      </c>
      <c r="BR83" s="10">
        <v>1.7999999999999999E-6</v>
      </c>
      <c r="BS83" s="10">
        <v>1.7999999999999999E-6</v>
      </c>
      <c r="BT83" s="11">
        <v>5.0000000000000004E-6</v>
      </c>
      <c r="BU83" s="10">
        <v>5.0000000000000004E-6</v>
      </c>
      <c r="BV83" s="10">
        <v>5.0000000000000004E-6</v>
      </c>
      <c r="BW83" s="10">
        <v>5.0000000000000004E-6</v>
      </c>
      <c r="BX83" s="10">
        <v>5.0000000000000004E-6</v>
      </c>
      <c r="BY83" s="10">
        <v>5.0000000000000004E-6</v>
      </c>
      <c r="BZ83" s="10">
        <v>5.0000000000000004E-6</v>
      </c>
      <c r="CA83" s="10">
        <v>5.0000000000000004E-6</v>
      </c>
      <c r="CB83" s="10">
        <v>5.0000000000000004E-6</v>
      </c>
      <c r="CC83" s="10">
        <v>5.0000000000000004E-6</v>
      </c>
      <c r="CD83" s="10">
        <v>5.0000000000000004E-6</v>
      </c>
      <c r="CE83" s="10">
        <v>5.0000000000000004E-6</v>
      </c>
      <c r="CF83" s="10">
        <v>5.0000000000000004E-6</v>
      </c>
      <c r="CG83" s="10">
        <v>5.0000000000000004E-6</v>
      </c>
      <c r="CH83" s="9">
        <v>5.0000000000000004E-6</v>
      </c>
    </row>
    <row r="84" spans="1:192">
      <c r="A84" s="13" t="s">
        <v>410</v>
      </c>
      <c r="B84" s="10">
        <v>2.1E-7</v>
      </c>
      <c r="C84" s="10">
        <v>2.1E-7</v>
      </c>
      <c r="D84" s="10">
        <v>2.1E-7</v>
      </c>
      <c r="E84" s="10">
        <v>2.1E-7</v>
      </c>
      <c r="F84" s="10">
        <v>2.1E-7</v>
      </c>
      <c r="G84" s="10">
        <v>2.1E-7</v>
      </c>
      <c r="H84" s="10">
        <v>2.1E-7</v>
      </c>
      <c r="I84" s="10">
        <v>2.1E-7</v>
      </c>
      <c r="J84" s="10">
        <v>2.1E-7</v>
      </c>
      <c r="K84" s="10">
        <v>2.1E-7</v>
      </c>
      <c r="L84" s="10">
        <v>2.1E-7</v>
      </c>
      <c r="M84" s="10">
        <v>2.1E-7</v>
      </c>
      <c r="N84" s="10">
        <v>2.1E-7</v>
      </c>
      <c r="O84" s="10">
        <v>2.1E-7</v>
      </c>
      <c r="P84" s="10">
        <v>2.1E-7</v>
      </c>
      <c r="Q84" s="10">
        <v>2.1E-7</v>
      </c>
      <c r="R84" s="10">
        <v>2.1E-7</v>
      </c>
      <c r="S84" s="10">
        <v>2.1E-7</v>
      </c>
      <c r="T84" s="10">
        <v>2.1E-7</v>
      </c>
      <c r="U84" s="10">
        <v>2.1E-7</v>
      </c>
      <c r="V84" s="10">
        <v>2.1E-7</v>
      </c>
      <c r="W84" s="10">
        <v>2.1E-7</v>
      </c>
      <c r="X84" s="10">
        <v>2.1E-7</v>
      </c>
      <c r="Y84" s="10">
        <v>2.1E-7</v>
      </c>
      <c r="Z84" s="10">
        <v>2.1E-7</v>
      </c>
      <c r="AA84" s="10">
        <v>2.1E-7</v>
      </c>
      <c r="AB84" s="10">
        <v>2.1E-7</v>
      </c>
      <c r="AC84" s="10">
        <v>2.1E-7</v>
      </c>
      <c r="AD84" s="10">
        <v>2.1E-7</v>
      </c>
      <c r="AE84" s="10">
        <v>2.1E-7</v>
      </c>
      <c r="AF84" s="10">
        <v>2.1E-7</v>
      </c>
      <c r="AG84" s="10">
        <v>2.1E-7</v>
      </c>
      <c r="AH84" s="10">
        <v>2.1E-7</v>
      </c>
      <c r="AI84" s="10">
        <v>2.1E-7</v>
      </c>
      <c r="AJ84" s="10">
        <v>2.1E-7</v>
      </c>
      <c r="AK84" s="10">
        <v>2.1E-7</v>
      </c>
      <c r="AL84" s="12">
        <v>2.1E-7</v>
      </c>
      <c r="AM84" s="10">
        <v>2.1E-7</v>
      </c>
      <c r="AN84" s="10">
        <v>2.1E-7</v>
      </c>
      <c r="AO84" s="10">
        <v>2.1E-7</v>
      </c>
      <c r="AP84" s="12">
        <v>2.5000000000000001E-5</v>
      </c>
      <c r="AQ84" s="10">
        <v>1.22E-6</v>
      </c>
      <c r="AR84" s="10">
        <v>1.22E-6</v>
      </c>
      <c r="AS84" s="10">
        <v>1.22E-6</v>
      </c>
      <c r="AT84" s="10">
        <v>1.22E-6</v>
      </c>
      <c r="AU84" s="10">
        <v>1.22E-6</v>
      </c>
      <c r="AV84" s="10">
        <v>1.22E-6</v>
      </c>
      <c r="AW84" s="10">
        <v>1.22E-6</v>
      </c>
      <c r="AX84" s="10">
        <v>1.22E-6</v>
      </c>
      <c r="AY84" s="10">
        <v>1.22E-6</v>
      </c>
      <c r="AZ84" s="10">
        <v>1.22E-6</v>
      </c>
      <c r="BA84" s="10">
        <v>1.22E-6</v>
      </c>
      <c r="BB84" s="10">
        <v>1.22E-6</v>
      </c>
      <c r="BC84" s="10">
        <v>1.22E-6</v>
      </c>
      <c r="BD84" s="10">
        <v>1.22E-6</v>
      </c>
      <c r="BE84" s="12">
        <v>1.22E-6</v>
      </c>
      <c r="BF84" s="10">
        <v>2.3999999999999999E-6</v>
      </c>
      <c r="BG84" s="10">
        <v>2.3999999999999999E-6</v>
      </c>
      <c r="BH84" s="10">
        <v>2.3999999999999999E-6</v>
      </c>
      <c r="BI84" s="10">
        <v>2.3999999999999999E-6</v>
      </c>
      <c r="BJ84" s="10">
        <v>2.3999999999999999E-6</v>
      </c>
      <c r="BK84" s="10">
        <v>2.3999999999999999E-6</v>
      </c>
      <c r="BL84" s="10">
        <v>2.3999999999999999E-6</v>
      </c>
      <c r="BM84" s="10">
        <v>2.3999999999999999E-6</v>
      </c>
      <c r="BN84" s="10">
        <v>2.3999999999999999E-6</v>
      </c>
      <c r="BO84" s="12">
        <v>2.3999999999999999E-6</v>
      </c>
      <c r="BP84" s="10">
        <v>2.3999999999999999E-6</v>
      </c>
      <c r="BQ84" s="10">
        <v>2.3999999999999999E-6</v>
      </c>
      <c r="BR84" s="10">
        <v>2.3999999999999999E-6</v>
      </c>
      <c r="BS84" s="10">
        <v>2.3999999999999999E-6</v>
      </c>
      <c r="BT84" s="11">
        <v>3.0000000000000001E-6</v>
      </c>
      <c r="BU84" s="10">
        <v>3.0000000000000001E-6</v>
      </c>
      <c r="BV84" s="10">
        <v>3.0000000000000001E-6</v>
      </c>
      <c r="BW84" s="10">
        <v>3.0000000000000001E-6</v>
      </c>
      <c r="BX84" s="10">
        <v>3.0000000000000001E-6</v>
      </c>
      <c r="BY84" s="10">
        <v>3.0000000000000001E-6</v>
      </c>
      <c r="BZ84" s="10">
        <v>3.0000000000000001E-6</v>
      </c>
      <c r="CA84" s="10">
        <v>3.0000000000000001E-6</v>
      </c>
      <c r="CB84" s="10">
        <v>3.0000000000000001E-6</v>
      </c>
      <c r="CC84" s="10">
        <v>3.0000000000000001E-6</v>
      </c>
      <c r="CD84" s="10">
        <v>3.0000000000000001E-6</v>
      </c>
      <c r="CE84" s="10">
        <v>3.0000000000000001E-6</v>
      </c>
      <c r="CF84" s="10">
        <v>3.0000000000000001E-6</v>
      </c>
      <c r="CG84" s="10">
        <v>3.0000000000000001E-6</v>
      </c>
      <c r="CH84" s="9">
        <v>3.0000000000000001E-6</v>
      </c>
    </row>
    <row r="85" spans="1:192">
      <c r="A85" s="13" t="s">
        <v>592</v>
      </c>
      <c r="B85" s="10">
        <v>8.0000000000000002E-8</v>
      </c>
      <c r="C85" s="10">
        <v>8.0000000000000002E-8</v>
      </c>
      <c r="D85" s="10">
        <v>8.0000000000000002E-8</v>
      </c>
      <c r="E85" s="10">
        <v>8.0000000000000002E-8</v>
      </c>
      <c r="F85" s="10">
        <v>8.0000000000000002E-8</v>
      </c>
      <c r="G85" s="10">
        <v>8.0000000000000002E-8</v>
      </c>
      <c r="H85" s="10">
        <v>8.0000000000000002E-8</v>
      </c>
      <c r="I85" s="10">
        <v>8.0000000000000002E-8</v>
      </c>
      <c r="J85" s="10">
        <v>8.0000000000000002E-8</v>
      </c>
      <c r="K85" s="10">
        <v>8.0000000000000002E-8</v>
      </c>
      <c r="L85" s="10">
        <v>8.0000000000000002E-8</v>
      </c>
      <c r="M85" s="10">
        <v>8.0000000000000002E-8</v>
      </c>
      <c r="N85" s="10">
        <v>8.0000000000000002E-8</v>
      </c>
      <c r="O85" s="10">
        <v>8.0000000000000002E-8</v>
      </c>
      <c r="P85" s="10">
        <v>8.0000000000000002E-8</v>
      </c>
      <c r="Q85" s="10">
        <v>8.0000000000000002E-8</v>
      </c>
      <c r="R85" s="10">
        <v>8.0000000000000002E-8</v>
      </c>
      <c r="S85" s="10">
        <v>8.0000000000000002E-8</v>
      </c>
      <c r="T85" s="10">
        <v>8.0000000000000002E-8</v>
      </c>
      <c r="U85" s="10">
        <v>8.0000000000000002E-8</v>
      </c>
      <c r="V85" s="10">
        <v>8.0000000000000002E-8</v>
      </c>
      <c r="W85" s="10">
        <v>8.0000000000000002E-8</v>
      </c>
      <c r="X85" s="10">
        <v>8.0000000000000002E-8</v>
      </c>
      <c r="Y85" s="10">
        <v>8.0000000000000002E-8</v>
      </c>
      <c r="Z85" s="10">
        <v>8.0000000000000002E-8</v>
      </c>
      <c r="AA85" s="10">
        <v>8.0000000000000002E-8</v>
      </c>
      <c r="AB85" s="10">
        <v>8.0000000000000002E-8</v>
      </c>
      <c r="AC85" s="10">
        <v>8.0000000000000002E-8</v>
      </c>
      <c r="AD85" s="10">
        <v>8.0000000000000002E-8</v>
      </c>
      <c r="AE85" s="10">
        <v>8.0000000000000002E-8</v>
      </c>
      <c r="AF85" s="10">
        <v>8.0000000000000002E-8</v>
      </c>
      <c r="AG85" s="10">
        <v>8.0000000000000002E-8</v>
      </c>
      <c r="AH85" s="10">
        <v>8.0000000000000002E-8</v>
      </c>
      <c r="AI85" s="10">
        <v>8.0000000000000002E-8</v>
      </c>
      <c r="AJ85" s="10">
        <v>8.0000000000000002E-8</v>
      </c>
      <c r="AK85" s="10">
        <v>8.0000000000000002E-8</v>
      </c>
      <c r="AL85" s="12">
        <v>8.0000000000000002E-8</v>
      </c>
      <c r="AM85" s="10">
        <v>8.0000000000000002E-8</v>
      </c>
      <c r="AN85" s="10">
        <v>8.0000000000000002E-8</v>
      </c>
      <c r="AO85" s="10">
        <v>8.0000000000000002E-8</v>
      </c>
      <c r="AP85" s="12">
        <v>7.1000000000000005E-5</v>
      </c>
      <c r="AQ85" s="10">
        <v>4.0099999999999997E-6</v>
      </c>
      <c r="AR85" s="10">
        <v>4.0099999999999997E-6</v>
      </c>
      <c r="AS85" s="10">
        <v>4.0099999999999997E-6</v>
      </c>
      <c r="AT85" s="10">
        <v>4.0099999999999997E-6</v>
      </c>
      <c r="AU85" s="10">
        <v>4.0099999999999997E-6</v>
      </c>
      <c r="AV85" s="10">
        <v>4.0099999999999997E-6</v>
      </c>
      <c r="AW85" s="10">
        <v>4.0099999999999997E-6</v>
      </c>
      <c r="AX85" s="10">
        <v>4.0099999999999997E-6</v>
      </c>
      <c r="AY85" s="10">
        <v>4.0099999999999997E-6</v>
      </c>
      <c r="AZ85" s="10">
        <v>4.0099999999999997E-6</v>
      </c>
      <c r="BA85" s="10">
        <v>4.0099999999999997E-6</v>
      </c>
      <c r="BB85" s="10">
        <v>4.0099999999999997E-6</v>
      </c>
      <c r="BC85" s="10">
        <v>4.0099999999999997E-6</v>
      </c>
      <c r="BD85" s="10">
        <v>4.0099999999999997E-6</v>
      </c>
      <c r="BE85" s="12">
        <v>4.0099999999999997E-6</v>
      </c>
      <c r="BF85" s="10">
        <v>1.7999999999999999E-6</v>
      </c>
      <c r="BG85" s="10">
        <v>1.7999999999999999E-6</v>
      </c>
      <c r="BH85" s="10">
        <v>1.7999999999999999E-6</v>
      </c>
      <c r="BI85" s="10">
        <v>1.7999999999999999E-6</v>
      </c>
      <c r="BJ85" s="10">
        <v>1.7999999999999999E-6</v>
      </c>
      <c r="BK85" s="10">
        <v>1.7999999999999999E-6</v>
      </c>
      <c r="BL85" s="10">
        <v>1.7999999999999999E-6</v>
      </c>
      <c r="BM85" s="10">
        <v>1.7999999999999999E-6</v>
      </c>
      <c r="BN85" s="10">
        <v>1.7999999999999999E-6</v>
      </c>
      <c r="BO85" s="12">
        <v>1.7999999999999999E-6</v>
      </c>
      <c r="BP85" s="10">
        <v>1.7999999999999999E-6</v>
      </c>
      <c r="BQ85" s="10">
        <v>1.7999999999999999E-6</v>
      </c>
      <c r="BR85" s="10">
        <v>1.7999999999999999E-6</v>
      </c>
      <c r="BS85" s="10">
        <v>1.7999999999999999E-6</v>
      </c>
      <c r="BT85" s="11">
        <v>6.5E-8</v>
      </c>
      <c r="BU85" s="10">
        <v>6.5E-8</v>
      </c>
      <c r="BV85" s="10">
        <v>6.5E-8</v>
      </c>
      <c r="BW85" s="10">
        <v>6.5E-8</v>
      </c>
      <c r="BX85" s="10">
        <v>6.5E-8</v>
      </c>
      <c r="BY85" s="10">
        <v>6.5E-8</v>
      </c>
      <c r="BZ85" s="10">
        <v>6.5E-8</v>
      </c>
      <c r="CA85" s="10">
        <v>6.5E-8</v>
      </c>
      <c r="CB85" s="10">
        <v>6.5E-8</v>
      </c>
      <c r="CC85" s="10">
        <v>6.5E-8</v>
      </c>
      <c r="CD85" s="10">
        <v>6.5E-8</v>
      </c>
      <c r="CE85" s="10">
        <v>6.5E-8</v>
      </c>
      <c r="CF85" s="10">
        <v>6.5E-8</v>
      </c>
      <c r="CG85" s="10">
        <v>6.5E-8</v>
      </c>
      <c r="CH85" s="9">
        <v>6.5E-8</v>
      </c>
    </row>
    <row r="86" spans="1:192">
      <c r="A86" s="16" t="s">
        <v>411</v>
      </c>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2"/>
      <c r="AM86" s="10"/>
      <c r="AN86" s="10"/>
      <c r="AO86" s="10"/>
      <c r="AP86" s="12"/>
      <c r="AQ86" s="10"/>
      <c r="AR86" s="10"/>
      <c r="AS86" s="10"/>
      <c r="AT86" s="10"/>
      <c r="AU86" s="10"/>
      <c r="AV86" s="10"/>
      <c r="AW86" s="10"/>
      <c r="AX86" s="10"/>
      <c r="AY86" s="10"/>
      <c r="AZ86" s="10"/>
      <c r="BA86" s="10"/>
      <c r="BB86" s="10"/>
      <c r="BC86" s="10"/>
      <c r="BD86" s="10"/>
      <c r="BE86" s="12"/>
      <c r="BF86" s="15"/>
      <c r="BG86" s="10"/>
      <c r="BH86" s="10"/>
      <c r="BI86" s="10"/>
      <c r="BJ86" s="10"/>
      <c r="BK86" s="10"/>
      <c r="BL86" s="10"/>
      <c r="BM86" s="10"/>
      <c r="BN86" s="10"/>
      <c r="BO86" s="12"/>
      <c r="BP86" s="10"/>
      <c r="BQ86" s="10"/>
      <c r="BR86" s="10"/>
      <c r="BS86" s="10"/>
      <c r="BT86" s="11">
        <v>9.9999999999999995E-8</v>
      </c>
      <c r="BU86" s="10">
        <v>9.9999999999999995E-8</v>
      </c>
      <c r="BV86" s="10">
        <v>9.9999999999999995E-8</v>
      </c>
      <c r="BW86" s="10">
        <v>9.9999999999999995E-8</v>
      </c>
      <c r="BX86" s="10">
        <v>9.9999999999999995E-8</v>
      </c>
      <c r="BY86" s="10">
        <v>9.9999999999999995E-8</v>
      </c>
      <c r="BZ86" s="10">
        <v>9.9999999999999995E-8</v>
      </c>
      <c r="CA86" s="10">
        <v>9.9999999999999995E-8</v>
      </c>
      <c r="CB86" s="10">
        <v>9.9999999999999995E-8</v>
      </c>
      <c r="CC86" s="10">
        <v>9.9999999999999995E-8</v>
      </c>
      <c r="CD86" s="10">
        <v>9.9999999999999995E-8</v>
      </c>
      <c r="CE86" s="10">
        <v>9.9999999999999995E-8</v>
      </c>
      <c r="CF86" s="10">
        <v>9.9999999999999995E-8</v>
      </c>
      <c r="CG86" s="10">
        <v>9.9999999999999995E-8</v>
      </c>
      <c r="CH86" s="9">
        <v>9.9999999999999995E-8</v>
      </c>
    </row>
    <row r="87" spans="1:192">
      <c r="A87" s="16" t="s">
        <v>593</v>
      </c>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2"/>
      <c r="AM87" s="10"/>
      <c r="AN87" s="10"/>
      <c r="AO87" s="10"/>
      <c r="AP87" s="12">
        <v>6.1999999999999999E-6</v>
      </c>
      <c r="AQ87" s="10"/>
      <c r="AR87" s="10"/>
      <c r="AS87" s="10"/>
      <c r="AT87" s="10"/>
      <c r="AU87" s="10"/>
      <c r="AV87" s="10"/>
      <c r="AW87" s="10"/>
      <c r="AX87" s="10"/>
      <c r="AY87" s="10"/>
      <c r="AZ87" s="10"/>
      <c r="BA87" s="10"/>
      <c r="BB87" s="10"/>
      <c r="BC87" s="10"/>
      <c r="BD87" s="10"/>
      <c r="BE87" s="12"/>
      <c r="BF87" s="15"/>
      <c r="BG87" s="10"/>
      <c r="BH87" s="10"/>
      <c r="BI87" s="10"/>
      <c r="BJ87" s="10"/>
      <c r="BK87" s="10"/>
      <c r="BL87" s="10"/>
      <c r="BM87" s="10"/>
      <c r="BN87" s="10"/>
      <c r="BO87" s="12"/>
      <c r="BP87" s="10"/>
      <c r="BQ87" s="10"/>
      <c r="BR87" s="10"/>
      <c r="BS87" s="10"/>
      <c r="BT87" s="11">
        <v>2.6000000000000001E-9</v>
      </c>
      <c r="BU87" s="10">
        <v>2.6000000000000001E-9</v>
      </c>
      <c r="BV87" s="10">
        <v>2.6000000000000001E-9</v>
      </c>
      <c r="BW87" s="10">
        <v>2.6000000000000001E-9</v>
      </c>
      <c r="BX87" s="10">
        <v>2.6000000000000001E-9</v>
      </c>
      <c r="BY87" s="10">
        <v>2.6000000000000001E-9</v>
      </c>
      <c r="BZ87" s="10">
        <v>2.6000000000000001E-9</v>
      </c>
      <c r="CA87" s="10">
        <v>2.6000000000000001E-9</v>
      </c>
      <c r="CB87" s="10">
        <v>2.6000000000000001E-9</v>
      </c>
      <c r="CC87" s="10">
        <v>2.6000000000000001E-9</v>
      </c>
      <c r="CD87" s="10">
        <v>2.6000000000000001E-9</v>
      </c>
      <c r="CE87" s="10">
        <v>2.6000000000000001E-9</v>
      </c>
      <c r="CF87" s="10">
        <v>2.6000000000000001E-9</v>
      </c>
      <c r="CG87" s="10">
        <v>2.6000000000000001E-9</v>
      </c>
      <c r="CH87" s="9">
        <v>2.6000000000000001E-9</v>
      </c>
    </row>
    <row r="88" spans="1:192">
      <c r="A88" s="13" t="s">
        <v>594</v>
      </c>
      <c r="B88" s="10">
        <v>2.7E-8</v>
      </c>
      <c r="C88" s="10">
        <v>2.7E-8</v>
      </c>
      <c r="D88" s="10">
        <v>2.7E-8</v>
      </c>
      <c r="E88" s="10">
        <v>2.7E-8</v>
      </c>
      <c r="F88" s="10">
        <v>2.7E-8</v>
      </c>
      <c r="G88" s="10">
        <v>2.7E-8</v>
      </c>
      <c r="H88" s="10">
        <v>2.7E-8</v>
      </c>
      <c r="I88" s="10">
        <v>2.7E-8</v>
      </c>
      <c r="J88" s="10">
        <v>2.7E-8</v>
      </c>
      <c r="K88" s="10">
        <v>2.7E-8</v>
      </c>
      <c r="L88" s="10">
        <v>2.7E-8</v>
      </c>
      <c r="M88" s="10">
        <v>2.7E-8</v>
      </c>
      <c r="N88" s="10">
        <v>2.7E-8</v>
      </c>
      <c r="O88" s="10">
        <v>2.7E-8</v>
      </c>
      <c r="P88" s="10">
        <v>2.7E-8</v>
      </c>
      <c r="Q88" s="10">
        <v>2.7E-8</v>
      </c>
      <c r="R88" s="10">
        <v>2.7E-8</v>
      </c>
      <c r="S88" s="10">
        <v>2.7E-8</v>
      </c>
      <c r="T88" s="10">
        <v>2.7E-8</v>
      </c>
      <c r="U88" s="10">
        <v>2.7E-8</v>
      </c>
      <c r="V88" s="10">
        <v>2.7E-8</v>
      </c>
      <c r="W88" s="10">
        <v>2.7E-8</v>
      </c>
      <c r="X88" s="10">
        <v>2.7E-8</v>
      </c>
      <c r="Y88" s="10">
        <v>2.7E-8</v>
      </c>
      <c r="Z88" s="10">
        <v>2.7E-8</v>
      </c>
      <c r="AA88" s="10">
        <v>2.7E-8</v>
      </c>
      <c r="AB88" s="10">
        <v>2.7E-8</v>
      </c>
      <c r="AC88" s="10">
        <v>2.7E-8</v>
      </c>
      <c r="AD88" s="10">
        <v>2.7E-8</v>
      </c>
      <c r="AE88" s="10">
        <v>2.7E-8</v>
      </c>
      <c r="AF88" s="10">
        <v>2.7E-8</v>
      </c>
      <c r="AG88" s="10">
        <v>2.7E-8</v>
      </c>
      <c r="AH88" s="10">
        <v>2.7E-8</v>
      </c>
      <c r="AI88" s="10">
        <v>2.7E-8</v>
      </c>
      <c r="AJ88" s="10">
        <v>2.7E-8</v>
      </c>
      <c r="AK88" s="10">
        <v>2.7E-8</v>
      </c>
      <c r="AL88" s="12">
        <v>2.7E-8</v>
      </c>
      <c r="AM88" s="10">
        <v>2.7E-8</v>
      </c>
      <c r="AN88" s="10">
        <v>2.7E-8</v>
      </c>
      <c r="AO88" s="10">
        <v>2.7E-8</v>
      </c>
      <c r="AP88" s="12">
        <v>5.4999999999999999E-6</v>
      </c>
      <c r="AQ88" s="10">
        <v>2.26E-6</v>
      </c>
      <c r="AR88" s="10">
        <v>2.26E-6</v>
      </c>
      <c r="AS88" s="10">
        <v>2.26E-6</v>
      </c>
      <c r="AT88" s="10">
        <v>2.26E-6</v>
      </c>
      <c r="AU88" s="10">
        <v>2.26E-6</v>
      </c>
      <c r="AV88" s="10">
        <v>2.26E-6</v>
      </c>
      <c r="AW88" s="10">
        <v>2.26E-6</v>
      </c>
      <c r="AX88" s="10">
        <v>2.26E-6</v>
      </c>
      <c r="AY88" s="10">
        <v>2.26E-6</v>
      </c>
      <c r="AZ88" s="10">
        <v>2.26E-6</v>
      </c>
      <c r="BA88" s="10">
        <v>2.26E-6</v>
      </c>
      <c r="BB88" s="10">
        <v>2.26E-6</v>
      </c>
      <c r="BC88" s="10">
        <v>2.26E-6</v>
      </c>
      <c r="BD88" s="10">
        <v>2.26E-6</v>
      </c>
      <c r="BE88" s="12">
        <v>2.26E-6</v>
      </c>
      <c r="BF88" s="10">
        <v>1.1999999999999999E-6</v>
      </c>
      <c r="BG88" s="10">
        <v>1.1999999999999999E-6</v>
      </c>
      <c r="BH88" s="10">
        <v>1.1999999999999999E-6</v>
      </c>
      <c r="BI88" s="10">
        <v>1.1999999999999999E-6</v>
      </c>
      <c r="BJ88" s="10">
        <v>1.1999999999999999E-6</v>
      </c>
      <c r="BK88" s="10">
        <v>1.1999999999999999E-6</v>
      </c>
      <c r="BL88" s="10">
        <v>1.1999999999999999E-6</v>
      </c>
      <c r="BM88" s="10">
        <v>1.1999999999999999E-6</v>
      </c>
      <c r="BN88" s="10">
        <v>1.1999999999999999E-6</v>
      </c>
      <c r="BO88" s="12">
        <v>1.1999999999999999E-6</v>
      </c>
      <c r="BP88" s="10">
        <v>1.1999999999999999E-6</v>
      </c>
      <c r="BQ88" s="10">
        <v>1.1999999999999999E-6</v>
      </c>
      <c r="BR88" s="10">
        <v>1.1999999999999999E-6</v>
      </c>
      <c r="BS88" s="10">
        <v>1.1999999999999999E-6</v>
      </c>
      <c r="BT88" s="11">
        <v>9.2999999999999999E-8</v>
      </c>
      <c r="BU88" s="10">
        <v>9.2999999999999999E-8</v>
      </c>
      <c r="BV88" s="10">
        <v>9.2999999999999999E-8</v>
      </c>
      <c r="BW88" s="10">
        <v>9.2999999999999999E-8</v>
      </c>
      <c r="BX88" s="10">
        <v>9.2999999999999999E-8</v>
      </c>
      <c r="BY88" s="10">
        <v>9.2999999999999999E-8</v>
      </c>
      <c r="BZ88" s="10">
        <v>9.2999999999999999E-8</v>
      </c>
      <c r="CA88" s="10">
        <v>9.2999999999999999E-8</v>
      </c>
      <c r="CB88" s="10">
        <v>9.2999999999999999E-8</v>
      </c>
      <c r="CC88" s="10">
        <v>9.2999999999999999E-8</v>
      </c>
      <c r="CD88" s="10">
        <v>9.2999999999999999E-8</v>
      </c>
      <c r="CE88" s="10">
        <v>9.2999999999999999E-8</v>
      </c>
      <c r="CF88" s="10">
        <v>9.2999999999999999E-8</v>
      </c>
      <c r="CG88" s="10">
        <v>9.2999999999999999E-8</v>
      </c>
      <c r="CH88" s="9">
        <v>9.2999999999999999E-8</v>
      </c>
    </row>
    <row r="89" spans="1:192">
      <c r="A89" s="16" t="s">
        <v>411</v>
      </c>
      <c r="B89" s="10">
        <v>1.1000000000000001E-7</v>
      </c>
      <c r="C89" s="10">
        <v>1.1000000000000001E-7</v>
      </c>
      <c r="D89" s="10">
        <v>1.1000000000000001E-7</v>
      </c>
      <c r="E89" s="10">
        <v>1.1000000000000001E-7</v>
      </c>
      <c r="F89" s="10">
        <v>1.1000000000000001E-7</v>
      </c>
      <c r="G89" s="10">
        <v>1.1000000000000001E-7</v>
      </c>
      <c r="H89" s="10">
        <v>1.1000000000000001E-7</v>
      </c>
      <c r="I89" s="10">
        <v>1.1000000000000001E-7</v>
      </c>
      <c r="J89" s="10">
        <v>1.1000000000000001E-7</v>
      </c>
      <c r="K89" s="10">
        <v>1.1000000000000001E-7</v>
      </c>
      <c r="L89" s="10">
        <v>1.1000000000000001E-7</v>
      </c>
      <c r="M89" s="10">
        <v>1.1000000000000001E-7</v>
      </c>
      <c r="N89" s="10">
        <v>1.1000000000000001E-7</v>
      </c>
      <c r="O89" s="10">
        <v>1.1000000000000001E-7</v>
      </c>
      <c r="P89" s="10">
        <v>1.1000000000000001E-7</v>
      </c>
      <c r="Q89" s="10">
        <v>1.1000000000000001E-7</v>
      </c>
      <c r="R89" s="10">
        <v>1.1000000000000001E-7</v>
      </c>
      <c r="S89" s="10">
        <v>1.1000000000000001E-7</v>
      </c>
      <c r="T89" s="10">
        <v>1.1000000000000001E-7</v>
      </c>
      <c r="U89" s="10">
        <v>1.1000000000000001E-7</v>
      </c>
      <c r="V89" s="10">
        <v>1.1000000000000001E-7</v>
      </c>
      <c r="W89" s="10">
        <v>1.1000000000000001E-7</v>
      </c>
      <c r="X89" s="10">
        <v>1.1000000000000001E-7</v>
      </c>
      <c r="Y89" s="10">
        <v>1.1000000000000001E-7</v>
      </c>
      <c r="Z89" s="10">
        <v>1.1000000000000001E-7</v>
      </c>
      <c r="AA89" s="10">
        <v>1.1000000000000001E-7</v>
      </c>
      <c r="AB89" s="10">
        <v>1.1000000000000001E-7</v>
      </c>
      <c r="AC89" s="10">
        <v>1.1000000000000001E-7</v>
      </c>
      <c r="AD89" s="10">
        <v>1.1000000000000001E-7</v>
      </c>
      <c r="AE89" s="10">
        <v>1.1000000000000001E-7</v>
      </c>
      <c r="AF89" s="10">
        <v>1.1000000000000001E-7</v>
      </c>
      <c r="AG89" s="10">
        <v>1.1000000000000001E-7</v>
      </c>
      <c r="AH89" s="10">
        <v>1.1000000000000001E-7</v>
      </c>
      <c r="AI89" s="10">
        <v>1.1000000000000001E-7</v>
      </c>
      <c r="AJ89" s="10">
        <v>1.1000000000000001E-7</v>
      </c>
      <c r="AK89" s="10">
        <v>1.1000000000000001E-7</v>
      </c>
      <c r="AL89" s="12">
        <v>1.1000000000000001E-7</v>
      </c>
      <c r="AM89" s="10">
        <v>1.1000000000000001E-7</v>
      </c>
      <c r="AN89" s="10">
        <v>1.1000000000000001E-7</v>
      </c>
      <c r="AO89" s="10">
        <v>1.1000000000000001E-7</v>
      </c>
      <c r="AP89" s="12">
        <v>2.5000000000000001E-5</v>
      </c>
      <c r="AQ89" s="10">
        <v>1.48E-6</v>
      </c>
      <c r="AR89" s="10">
        <v>1.48E-6</v>
      </c>
      <c r="AS89" s="10">
        <v>1.48E-6</v>
      </c>
      <c r="AT89" s="10">
        <v>1.48E-6</v>
      </c>
      <c r="AU89" s="10">
        <v>1.48E-6</v>
      </c>
      <c r="AV89" s="10">
        <v>1.48E-6</v>
      </c>
      <c r="AW89" s="10">
        <v>1.48E-6</v>
      </c>
      <c r="AX89" s="10">
        <v>1.48E-6</v>
      </c>
      <c r="AY89" s="10">
        <v>1.48E-6</v>
      </c>
      <c r="AZ89" s="10">
        <v>1.48E-6</v>
      </c>
      <c r="BA89" s="10">
        <v>1.48E-6</v>
      </c>
      <c r="BB89" s="10">
        <v>1.48E-6</v>
      </c>
      <c r="BC89" s="10">
        <v>1.48E-6</v>
      </c>
      <c r="BD89" s="10">
        <v>1.48E-6</v>
      </c>
      <c r="BE89" s="12">
        <v>1.48E-6</v>
      </c>
      <c r="BF89" s="10">
        <v>1.7999999999999999E-6</v>
      </c>
      <c r="BG89" s="10">
        <v>1.7999999999999999E-6</v>
      </c>
      <c r="BH89" s="10">
        <v>1.7999999999999999E-6</v>
      </c>
      <c r="BI89" s="10">
        <v>1.7999999999999999E-6</v>
      </c>
      <c r="BJ89" s="10">
        <v>1.7999999999999999E-6</v>
      </c>
      <c r="BK89" s="10">
        <v>1.7999999999999999E-6</v>
      </c>
      <c r="BL89" s="10">
        <v>1.7999999999999999E-6</v>
      </c>
      <c r="BM89" s="10">
        <v>1.7999999999999999E-6</v>
      </c>
      <c r="BN89" s="10">
        <v>1.7999999999999999E-6</v>
      </c>
      <c r="BO89" s="12">
        <v>1.7999999999999999E-6</v>
      </c>
      <c r="BP89" s="10">
        <v>1.7999999999999999E-6</v>
      </c>
      <c r="BQ89" s="10">
        <v>1.7999999999999999E-6</v>
      </c>
      <c r="BR89" s="10">
        <v>1.7999999999999999E-6</v>
      </c>
      <c r="BS89" s="10">
        <v>1.7999999999999999E-6</v>
      </c>
      <c r="BT89" s="11">
        <v>1.6E-7</v>
      </c>
      <c r="BU89" s="10">
        <v>1.6E-7</v>
      </c>
      <c r="BV89" s="10">
        <v>1.6E-7</v>
      </c>
      <c r="BW89" s="10">
        <v>1.6E-7</v>
      </c>
      <c r="BX89" s="10">
        <v>1.6E-7</v>
      </c>
      <c r="BY89" s="10">
        <v>1.6E-7</v>
      </c>
      <c r="BZ89" s="10">
        <v>1.6E-7</v>
      </c>
      <c r="CA89" s="10">
        <v>1.6E-7</v>
      </c>
      <c r="CB89" s="10">
        <v>1.6E-7</v>
      </c>
      <c r="CC89" s="10">
        <v>1.6E-7</v>
      </c>
      <c r="CD89" s="10">
        <v>1.6E-7</v>
      </c>
      <c r="CE89" s="10">
        <v>1.6E-7</v>
      </c>
      <c r="CF89" s="10">
        <v>1.6E-7</v>
      </c>
      <c r="CG89" s="10">
        <v>1.6E-7</v>
      </c>
      <c r="CH89" s="9">
        <v>1.6E-7</v>
      </c>
    </row>
    <row r="90" spans="1:192">
      <c r="A90" s="13" t="s">
        <v>412</v>
      </c>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2"/>
      <c r="AM90" s="10"/>
      <c r="AN90" s="10"/>
      <c r="AO90" s="10"/>
      <c r="AP90" s="12"/>
      <c r="AQ90" s="10"/>
      <c r="AR90" s="10"/>
      <c r="AS90" s="10"/>
      <c r="AT90" s="10"/>
      <c r="AU90" s="10"/>
      <c r="AV90" s="10"/>
      <c r="AW90" s="10"/>
      <c r="AX90" s="10"/>
      <c r="AY90" s="10"/>
      <c r="AZ90" s="10"/>
      <c r="BA90" s="10"/>
      <c r="BB90" s="10"/>
      <c r="BC90" s="10"/>
      <c r="BD90" s="10"/>
      <c r="BE90" s="12"/>
      <c r="BF90" s="10">
        <v>1.7999999999999999E-6</v>
      </c>
      <c r="BG90" s="10">
        <v>1.7999999999999999E-6</v>
      </c>
      <c r="BH90" s="10">
        <v>1.7999999999999999E-6</v>
      </c>
      <c r="BI90" s="10">
        <v>1.7999999999999999E-6</v>
      </c>
      <c r="BJ90" s="10">
        <v>1.7999999999999999E-6</v>
      </c>
      <c r="BK90" s="10">
        <v>1.7999999999999999E-6</v>
      </c>
      <c r="BL90" s="10">
        <v>1.7999999999999999E-6</v>
      </c>
      <c r="BM90" s="10">
        <v>1.7999999999999999E-6</v>
      </c>
      <c r="BN90" s="10">
        <v>1.7999999999999999E-6</v>
      </c>
      <c r="BO90" s="12">
        <v>1.7999999999999999E-6</v>
      </c>
      <c r="BP90" s="10">
        <v>1.7999999999999999E-6</v>
      </c>
      <c r="BQ90" s="10">
        <v>1.7999999999999999E-6</v>
      </c>
      <c r="BR90" s="10">
        <v>1.7999999999999999E-6</v>
      </c>
      <c r="BS90" s="10">
        <v>1.7999999999999999E-6</v>
      </c>
      <c r="BT90" s="11">
        <v>3.5999999999999998E-8</v>
      </c>
      <c r="BU90" s="10">
        <v>3.5999999999999998E-8</v>
      </c>
      <c r="BV90" s="10">
        <v>3.5999999999999998E-8</v>
      </c>
      <c r="BW90" s="10">
        <v>3.5999999999999998E-8</v>
      </c>
      <c r="BX90" s="10">
        <v>3.5999999999999998E-8</v>
      </c>
      <c r="BY90" s="10">
        <v>3.5999999999999998E-8</v>
      </c>
      <c r="BZ90" s="10">
        <v>3.5999999999999998E-8</v>
      </c>
      <c r="CA90" s="10">
        <v>3.5999999999999998E-8</v>
      </c>
      <c r="CB90" s="10">
        <v>3.5999999999999998E-8</v>
      </c>
      <c r="CC90" s="10">
        <v>3.5999999999999998E-8</v>
      </c>
      <c r="CD90" s="10">
        <v>3.5999999999999998E-8</v>
      </c>
      <c r="CE90" s="10">
        <v>3.5999999999999998E-8</v>
      </c>
      <c r="CF90" s="10">
        <v>3.5999999999999998E-8</v>
      </c>
      <c r="CG90" s="10">
        <v>3.5999999999999998E-8</v>
      </c>
      <c r="CH90" s="9">
        <v>3.5999999999999998E-8</v>
      </c>
    </row>
    <row r="91" spans="1:192">
      <c r="A91" s="13" t="s">
        <v>595</v>
      </c>
      <c r="B91" s="10">
        <v>3.8000000000000003E-8</v>
      </c>
      <c r="C91" s="10">
        <v>3.8000000000000003E-8</v>
      </c>
      <c r="D91" s="10">
        <v>3.8000000000000003E-8</v>
      </c>
      <c r="E91" s="10">
        <v>3.8000000000000003E-8</v>
      </c>
      <c r="F91" s="10">
        <v>3.8000000000000003E-8</v>
      </c>
      <c r="G91" s="10">
        <v>3.8000000000000003E-8</v>
      </c>
      <c r="H91" s="10">
        <v>3.8000000000000003E-8</v>
      </c>
      <c r="I91" s="10">
        <v>3.8000000000000003E-8</v>
      </c>
      <c r="J91" s="10">
        <v>3.8000000000000003E-8</v>
      </c>
      <c r="K91" s="10">
        <v>3.8000000000000003E-8</v>
      </c>
      <c r="L91" s="10">
        <v>3.8000000000000003E-8</v>
      </c>
      <c r="M91" s="10">
        <v>3.8000000000000003E-8</v>
      </c>
      <c r="N91" s="10">
        <v>3.8000000000000003E-8</v>
      </c>
      <c r="O91" s="10">
        <v>3.8000000000000003E-8</v>
      </c>
      <c r="P91" s="10">
        <v>3.8000000000000003E-8</v>
      </c>
      <c r="Q91" s="10">
        <v>3.8000000000000003E-8</v>
      </c>
      <c r="R91" s="10">
        <v>3.8000000000000003E-8</v>
      </c>
      <c r="S91" s="10">
        <v>3.8000000000000003E-8</v>
      </c>
      <c r="T91" s="10">
        <v>3.8000000000000003E-8</v>
      </c>
      <c r="U91" s="10">
        <v>3.8000000000000003E-8</v>
      </c>
      <c r="V91" s="10">
        <v>3.8000000000000003E-8</v>
      </c>
      <c r="W91" s="10">
        <v>3.8000000000000003E-8</v>
      </c>
      <c r="X91" s="10">
        <v>3.8000000000000003E-8</v>
      </c>
      <c r="Y91" s="10">
        <v>3.8000000000000003E-8</v>
      </c>
      <c r="Z91" s="10">
        <v>3.8000000000000003E-8</v>
      </c>
      <c r="AA91" s="10">
        <v>3.8000000000000003E-8</v>
      </c>
      <c r="AB91" s="10">
        <v>3.8000000000000003E-8</v>
      </c>
      <c r="AC91" s="10">
        <v>3.8000000000000003E-8</v>
      </c>
      <c r="AD91" s="10">
        <v>3.8000000000000003E-8</v>
      </c>
      <c r="AE91" s="10">
        <v>3.8000000000000003E-8</v>
      </c>
      <c r="AF91" s="10">
        <v>3.8000000000000003E-8</v>
      </c>
      <c r="AG91" s="10">
        <v>3.8000000000000003E-8</v>
      </c>
      <c r="AH91" s="10">
        <v>3.8000000000000003E-8</v>
      </c>
      <c r="AI91" s="10">
        <v>3.8000000000000003E-8</v>
      </c>
      <c r="AJ91" s="10">
        <v>3.8000000000000003E-8</v>
      </c>
      <c r="AK91" s="10">
        <v>3.8000000000000003E-8</v>
      </c>
      <c r="AL91" s="12">
        <v>3.8000000000000003E-8</v>
      </c>
      <c r="AM91" s="10">
        <v>3.8000000000000003E-8</v>
      </c>
      <c r="AN91" s="10">
        <v>3.8000000000000003E-8</v>
      </c>
      <c r="AO91" s="10">
        <v>3.8000000000000003E-8</v>
      </c>
      <c r="AP91" s="12">
        <v>5.3000000000000001E-6</v>
      </c>
      <c r="AQ91" s="10"/>
      <c r="AR91" s="10"/>
      <c r="AS91" s="10"/>
      <c r="AT91" s="10"/>
      <c r="AU91" s="10"/>
      <c r="AV91" s="10"/>
      <c r="AW91" s="10"/>
      <c r="AX91" s="10"/>
      <c r="AY91" s="10"/>
      <c r="AZ91" s="10"/>
      <c r="BA91" s="10"/>
      <c r="BB91" s="10"/>
      <c r="BC91" s="10"/>
      <c r="BD91" s="10"/>
      <c r="BE91" s="12"/>
      <c r="BF91" s="10">
        <v>1.1999999999999999E-6</v>
      </c>
      <c r="BG91" s="10">
        <v>1.1999999999999999E-6</v>
      </c>
      <c r="BH91" s="10">
        <v>1.1999999999999999E-6</v>
      </c>
      <c r="BI91" s="10">
        <v>1.1999999999999999E-6</v>
      </c>
      <c r="BJ91" s="10">
        <v>1.1999999999999999E-6</v>
      </c>
      <c r="BK91" s="10">
        <v>1.1999999999999999E-6</v>
      </c>
      <c r="BL91" s="10">
        <v>1.1999999999999999E-6</v>
      </c>
      <c r="BM91" s="10">
        <v>1.1999999999999999E-6</v>
      </c>
      <c r="BN91" s="10">
        <v>1.1999999999999999E-6</v>
      </c>
      <c r="BO91" s="12">
        <v>1.1999999999999999E-6</v>
      </c>
      <c r="BP91" s="10">
        <v>1.1999999999999999E-6</v>
      </c>
      <c r="BQ91" s="10">
        <v>1.1999999999999999E-6</v>
      </c>
      <c r="BR91" s="10">
        <v>1.1999999999999999E-6</v>
      </c>
      <c r="BS91" s="10">
        <v>1.1999999999999999E-6</v>
      </c>
      <c r="BT91" s="11">
        <v>2.6000000000000001E-6</v>
      </c>
      <c r="BU91" s="10">
        <v>2.6000000000000001E-6</v>
      </c>
      <c r="BV91" s="10">
        <v>2.6000000000000001E-6</v>
      </c>
      <c r="BW91" s="10">
        <v>2.6000000000000001E-6</v>
      </c>
      <c r="BX91" s="10">
        <v>2.6000000000000001E-6</v>
      </c>
      <c r="BY91" s="10">
        <v>2.6000000000000001E-6</v>
      </c>
      <c r="BZ91" s="10">
        <v>2.6000000000000001E-6</v>
      </c>
      <c r="CA91" s="10">
        <v>2.6000000000000001E-6</v>
      </c>
      <c r="CB91" s="10">
        <v>2.6000000000000001E-6</v>
      </c>
      <c r="CC91" s="10">
        <v>2.6000000000000001E-6</v>
      </c>
      <c r="CD91" s="10">
        <v>2.6000000000000001E-6</v>
      </c>
      <c r="CE91" s="10">
        <v>2.6000000000000001E-6</v>
      </c>
      <c r="CF91" s="10">
        <v>2.6000000000000001E-6</v>
      </c>
      <c r="CG91" s="10">
        <v>2.6000000000000001E-6</v>
      </c>
      <c r="CH91" s="9">
        <v>2.6000000000000001E-6</v>
      </c>
    </row>
    <row r="92" spans="1:192">
      <c r="A92" s="13" t="s">
        <v>596</v>
      </c>
      <c r="B92" s="10">
        <v>1.7E-6</v>
      </c>
      <c r="C92" s="10">
        <v>1.7E-6</v>
      </c>
      <c r="D92" s="10">
        <v>1.7E-6</v>
      </c>
      <c r="E92" s="10">
        <v>1.7E-6</v>
      </c>
      <c r="F92" s="10">
        <v>1.7E-6</v>
      </c>
      <c r="G92" s="10">
        <v>1.7E-6</v>
      </c>
      <c r="H92" s="10">
        <v>1.7E-6</v>
      </c>
      <c r="I92" s="10">
        <v>1.7E-6</v>
      </c>
      <c r="J92" s="10">
        <v>1.7E-6</v>
      </c>
      <c r="K92" s="10">
        <v>1.7E-6</v>
      </c>
      <c r="L92" s="10">
        <v>1.7E-6</v>
      </c>
      <c r="M92" s="10">
        <v>1.7E-6</v>
      </c>
      <c r="N92" s="10">
        <v>1.7E-6</v>
      </c>
      <c r="O92" s="10">
        <v>1.7E-6</v>
      </c>
      <c r="P92" s="10">
        <v>1.7E-6</v>
      </c>
      <c r="Q92" s="10">
        <v>1.7E-6</v>
      </c>
      <c r="R92" s="10">
        <v>1.7E-6</v>
      </c>
      <c r="S92" s="10">
        <v>1.7E-6</v>
      </c>
      <c r="T92" s="10">
        <v>1.7E-6</v>
      </c>
      <c r="U92" s="10">
        <v>1.7E-6</v>
      </c>
      <c r="V92" s="10">
        <v>1.7E-6</v>
      </c>
      <c r="W92" s="10">
        <v>1.7E-6</v>
      </c>
      <c r="X92" s="10">
        <v>1.7E-6</v>
      </c>
      <c r="Y92" s="10">
        <v>1.7E-6</v>
      </c>
      <c r="Z92" s="10">
        <v>1.7E-6</v>
      </c>
      <c r="AA92" s="10">
        <v>1.7E-6</v>
      </c>
      <c r="AB92" s="10">
        <v>1.7E-6</v>
      </c>
      <c r="AC92" s="10">
        <v>1.7E-6</v>
      </c>
      <c r="AD92" s="10">
        <v>1.7E-6</v>
      </c>
      <c r="AE92" s="10">
        <v>1.7E-6</v>
      </c>
      <c r="AF92" s="10">
        <v>1.7E-6</v>
      </c>
      <c r="AG92" s="10">
        <v>1.7E-6</v>
      </c>
      <c r="AH92" s="10">
        <v>1.7E-6</v>
      </c>
      <c r="AI92" s="10">
        <v>1.7E-6</v>
      </c>
      <c r="AJ92" s="10">
        <v>1.7E-6</v>
      </c>
      <c r="AK92" s="10">
        <v>1.7E-6</v>
      </c>
      <c r="AL92" s="12">
        <v>1.7E-6</v>
      </c>
      <c r="AM92" s="10">
        <v>2.5000000000000001E-2</v>
      </c>
      <c r="AN92" s="10">
        <v>2.5000000000000001E-2</v>
      </c>
      <c r="AO92" s="10">
        <v>2.5000000000000001E-2</v>
      </c>
      <c r="AP92" s="12"/>
      <c r="AQ92" s="10"/>
      <c r="AR92" s="10"/>
      <c r="AS92" s="10"/>
      <c r="AT92" s="10"/>
      <c r="AU92" s="10"/>
      <c r="AV92" s="10"/>
      <c r="AW92" s="10"/>
      <c r="AX92" s="10"/>
      <c r="AY92" s="10"/>
      <c r="AZ92" s="10"/>
      <c r="BA92" s="10"/>
      <c r="BB92" s="10"/>
      <c r="BC92" s="10"/>
      <c r="BD92" s="10"/>
      <c r="BE92" s="12"/>
      <c r="BF92" s="15"/>
      <c r="BG92" s="10"/>
      <c r="BH92" s="10"/>
      <c r="BI92" s="10"/>
      <c r="BJ92" s="10"/>
      <c r="BK92" s="10"/>
      <c r="BL92" s="10"/>
      <c r="BM92" s="10"/>
      <c r="BN92" s="10"/>
      <c r="BO92" s="12"/>
      <c r="BP92" s="10"/>
      <c r="BQ92" s="10"/>
      <c r="BR92" s="10"/>
      <c r="BS92" s="10"/>
      <c r="BT92" s="11"/>
      <c r="BU92" s="10"/>
      <c r="BV92" s="10"/>
      <c r="BW92" s="10"/>
      <c r="BX92" s="10"/>
      <c r="BY92" s="10"/>
      <c r="BZ92" s="10"/>
      <c r="CA92" s="10"/>
      <c r="CB92" s="10"/>
      <c r="CC92" s="10"/>
      <c r="CD92" s="10"/>
      <c r="CE92" s="10"/>
      <c r="CF92" s="10"/>
      <c r="CG92" s="10"/>
      <c r="CH92" s="9"/>
    </row>
    <row r="93" spans="1:192">
      <c r="A93" s="13" t="s">
        <v>413</v>
      </c>
      <c r="B93" s="10">
        <v>9.9999999999999995E-8</v>
      </c>
      <c r="C93" s="10">
        <v>9.9999999999999995E-8</v>
      </c>
      <c r="D93" s="10">
        <v>9.9999999999999995E-8</v>
      </c>
      <c r="E93" s="10">
        <v>9.9999999999999995E-8</v>
      </c>
      <c r="F93" s="10">
        <v>9.9999999999999995E-8</v>
      </c>
      <c r="G93" s="10">
        <v>9.9999999999999995E-8</v>
      </c>
      <c r="H93" s="10">
        <v>9.9999999999999995E-8</v>
      </c>
      <c r="I93" s="10">
        <v>9.9999999999999995E-8</v>
      </c>
      <c r="J93" s="10">
        <v>9.9999999999999995E-8</v>
      </c>
      <c r="K93" s="10">
        <v>9.9999999999999995E-8</v>
      </c>
      <c r="L93" s="10">
        <v>9.9999999999999995E-8</v>
      </c>
      <c r="M93" s="10">
        <v>9.9999999999999995E-8</v>
      </c>
      <c r="N93" s="10">
        <v>9.9999999999999995E-8</v>
      </c>
      <c r="O93" s="10">
        <v>9.9999999999999995E-8</v>
      </c>
      <c r="P93" s="10">
        <v>9.9999999999999995E-8</v>
      </c>
      <c r="Q93" s="10">
        <v>9.9999999999999995E-8</v>
      </c>
      <c r="R93" s="10">
        <v>9.9999999999999995E-8</v>
      </c>
      <c r="S93" s="10">
        <v>9.9999999999999995E-8</v>
      </c>
      <c r="T93" s="10">
        <v>9.9999999999999995E-8</v>
      </c>
      <c r="U93" s="10">
        <v>9.9999999999999995E-8</v>
      </c>
      <c r="V93" s="10">
        <v>9.9999999999999995E-8</v>
      </c>
      <c r="W93" s="10">
        <v>9.9999999999999995E-8</v>
      </c>
      <c r="X93" s="10">
        <v>9.9999999999999995E-8</v>
      </c>
      <c r="Y93" s="10">
        <v>9.9999999999999995E-8</v>
      </c>
      <c r="Z93" s="10">
        <v>9.9999999999999995E-8</v>
      </c>
      <c r="AA93" s="10">
        <v>9.9999999999999995E-8</v>
      </c>
      <c r="AB93" s="10">
        <v>9.9999999999999995E-8</v>
      </c>
      <c r="AC93" s="10">
        <v>9.9999999999999995E-8</v>
      </c>
      <c r="AD93" s="10">
        <v>9.9999999999999995E-8</v>
      </c>
      <c r="AE93" s="10">
        <v>9.9999999999999995E-8</v>
      </c>
      <c r="AF93" s="10">
        <v>9.9999999999999995E-8</v>
      </c>
      <c r="AG93" s="10">
        <v>9.9999999999999995E-8</v>
      </c>
      <c r="AH93" s="10">
        <v>9.9999999999999995E-8</v>
      </c>
      <c r="AI93" s="10">
        <v>9.9999999999999995E-8</v>
      </c>
      <c r="AJ93" s="10">
        <v>9.9999999999999995E-8</v>
      </c>
      <c r="AK93" s="10">
        <v>9.9999999999999995E-8</v>
      </c>
      <c r="AL93" s="12">
        <v>9.9999999999999995E-8</v>
      </c>
      <c r="AM93" s="10">
        <v>9.9999999999999995E-8</v>
      </c>
      <c r="AN93" s="10">
        <v>9.9999999999999995E-8</v>
      </c>
      <c r="AO93" s="10">
        <v>9.9999999999999995E-8</v>
      </c>
      <c r="AP93" s="12">
        <v>8.2999999999999998E-5</v>
      </c>
      <c r="AQ93" s="10">
        <v>2.3800000000000001E-6</v>
      </c>
      <c r="AR93" s="10">
        <v>2.3800000000000001E-6</v>
      </c>
      <c r="AS93" s="10">
        <v>2.3800000000000001E-6</v>
      </c>
      <c r="AT93" s="10">
        <v>2.3800000000000001E-6</v>
      </c>
      <c r="AU93" s="10">
        <v>2.3800000000000001E-6</v>
      </c>
      <c r="AV93" s="10">
        <v>2.3800000000000001E-6</v>
      </c>
      <c r="AW93" s="10">
        <v>2.3800000000000001E-6</v>
      </c>
      <c r="AX93" s="10">
        <v>2.3800000000000001E-6</v>
      </c>
      <c r="AY93" s="10">
        <v>2.3800000000000001E-6</v>
      </c>
      <c r="AZ93" s="10">
        <v>2.3800000000000001E-6</v>
      </c>
      <c r="BA93" s="10">
        <v>2.3800000000000001E-6</v>
      </c>
      <c r="BB93" s="10">
        <v>2.3800000000000001E-6</v>
      </c>
      <c r="BC93" s="10">
        <v>2.3800000000000001E-6</v>
      </c>
      <c r="BD93" s="10">
        <v>2.3800000000000001E-6</v>
      </c>
      <c r="BE93" s="12">
        <v>2.3800000000000001E-6</v>
      </c>
      <c r="BF93" s="10">
        <v>1.7999999999999999E-6</v>
      </c>
      <c r="BG93" s="10">
        <v>1.7999999999999999E-6</v>
      </c>
      <c r="BH93" s="10">
        <v>1.7999999999999999E-6</v>
      </c>
      <c r="BI93" s="10">
        <v>1.7999999999999999E-6</v>
      </c>
      <c r="BJ93" s="10">
        <v>1.7999999999999999E-6</v>
      </c>
      <c r="BK93" s="10">
        <v>1.7999999999999999E-6</v>
      </c>
      <c r="BL93" s="10">
        <v>1.7999999999999999E-6</v>
      </c>
      <c r="BM93" s="10">
        <v>1.7999999999999999E-6</v>
      </c>
      <c r="BN93" s="10">
        <v>1.7999999999999999E-6</v>
      </c>
      <c r="BO93" s="12">
        <v>1.7999999999999999E-6</v>
      </c>
      <c r="BP93" s="10">
        <v>1.7999999999999999E-6</v>
      </c>
      <c r="BQ93" s="10">
        <v>1.7999999999999999E-6</v>
      </c>
      <c r="BR93" s="10">
        <v>1.7999999999999999E-6</v>
      </c>
      <c r="BS93" s="10">
        <v>1.7999999999999999E-6</v>
      </c>
      <c r="BT93" s="11">
        <v>3.8000000000000003E-8</v>
      </c>
      <c r="BU93" s="10">
        <v>3.8000000000000003E-8</v>
      </c>
      <c r="BV93" s="10">
        <v>3.8000000000000003E-8</v>
      </c>
      <c r="BW93" s="10">
        <v>3.8000000000000003E-8</v>
      </c>
      <c r="BX93" s="10">
        <v>3.8000000000000003E-8</v>
      </c>
      <c r="BY93" s="10">
        <v>3.8000000000000003E-8</v>
      </c>
      <c r="BZ93" s="10">
        <v>3.8000000000000003E-8</v>
      </c>
      <c r="CA93" s="10">
        <v>3.8000000000000003E-8</v>
      </c>
      <c r="CB93" s="10">
        <v>3.8000000000000003E-8</v>
      </c>
      <c r="CC93" s="10">
        <v>3.8000000000000003E-8</v>
      </c>
      <c r="CD93" s="10">
        <v>3.8000000000000003E-8</v>
      </c>
      <c r="CE93" s="10">
        <v>3.8000000000000003E-8</v>
      </c>
      <c r="CF93" s="10">
        <v>3.8000000000000003E-8</v>
      </c>
      <c r="CG93" s="10">
        <v>3.8000000000000003E-8</v>
      </c>
      <c r="CH93" s="9">
        <v>3.8000000000000003E-8</v>
      </c>
    </row>
    <row r="94" spans="1:192" s="14" customFormat="1">
      <c r="A94" s="13" t="s">
        <v>597</v>
      </c>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2"/>
      <c r="AM94" s="10"/>
      <c r="AN94" s="10"/>
      <c r="AO94" s="10"/>
      <c r="AP94" s="12"/>
      <c r="AQ94" s="10">
        <v>1.6700000000000001E-6</v>
      </c>
      <c r="AR94" s="10">
        <v>1.6700000000000001E-6</v>
      </c>
      <c r="AS94" s="10">
        <v>1.6700000000000001E-6</v>
      </c>
      <c r="AT94" s="10">
        <v>1.6700000000000001E-6</v>
      </c>
      <c r="AU94" s="10">
        <v>1.6700000000000001E-6</v>
      </c>
      <c r="AV94" s="10">
        <v>1.6700000000000001E-6</v>
      </c>
      <c r="AW94" s="10">
        <v>1.6700000000000001E-6</v>
      </c>
      <c r="AX94" s="10">
        <v>1.6700000000000001E-6</v>
      </c>
      <c r="AY94" s="10">
        <v>1.6700000000000001E-6</v>
      </c>
      <c r="AZ94" s="10">
        <v>1.6700000000000001E-6</v>
      </c>
      <c r="BA94" s="10">
        <v>1.6700000000000001E-6</v>
      </c>
      <c r="BB94" s="10">
        <v>1.6700000000000001E-6</v>
      </c>
      <c r="BC94" s="10">
        <v>1.6700000000000001E-6</v>
      </c>
      <c r="BD94" s="10">
        <v>1.6700000000000001E-6</v>
      </c>
      <c r="BE94" s="12">
        <v>1.6700000000000001E-6</v>
      </c>
      <c r="BF94" s="10">
        <v>1.1999999999999999E-6</v>
      </c>
      <c r="BG94" s="10">
        <v>1.1999999999999999E-6</v>
      </c>
      <c r="BH94" s="10">
        <v>1.1999999999999999E-6</v>
      </c>
      <c r="BI94" s="10">
        <v>1.1999999999999999E-6</v>
      </c>
      <c r="BJ94" s="10">
        <v>1.1999999999999999E-6</v>
      </c>
      <c r="BK94" s="10">
        <v>1.1999999999999999E-6</v>
      </c>
      <c r="BL94" s="10">
        <v>1.1999999999999999E-6</v>
      </c>
      <c r="BM94" s="10">
        <v>1.1999999999999999E-6</v>
      </c>
      <c r="BN94" s="10">
        <v>1.1999999999999999E-6</v>
      </c>
      <c r="BO94" s="12">
        <v>1.1999999999999999E-6</v>
      </c>
      <c r="BP94" s="10">
        <v>1.1999999999999999E-6</v>
      </c>
      <c r="BQ94" s="10">
        <v>1.1999999999999999E-6</v>
      </c>
      <c r="BR94" s="10">
        <v>1.1999999999999999E-6</v>
      </c>
      <c r="BS94" s="10">
        <v>1.1999999999999999E-6</v>
      </c>
      <c r="BT94" s="11">
        <v>9.1000000000000004E-9</v>
      </c>
      <c r="BU94" s="10">
        <v>9.1000000000000004E-9</v>
      </c>
      <c r="BV94" s="10">
        <v>9.1000000000000004E-9</v>
      </c>
      <c r="BW94" s="10">
        <v>9.1000000000000004E-9</v>
      </c>
      <c r="BX94" s="10">
        <v>9.1000000000000004E-9</v>
      </c>
      <c r="BY94" s="10">
        <v>9.1000000000000004E-9</v>
      </c>
      <c r="BZ94" s="10">
        <v>9.1000000000000004E-9</v>
      </c>
      <c r="CA94" s="10">
        <v>9.1000000000000004E-9</v>
      </c>
      <c r="CB94" s="10">
        <v>9.1000000000000004E-9</v>
      </c>
      <c r="CC94" s="10">
        <v>9.1000000000000004E-9</v>
      </c>
      <c r="CD94" s="10">
        <v>9.1000000000000004E-9</v>
      </c>
      <c r="CE94" s="10">
        <v>9.1000000000000004E-9</v>
      </c>
      <c r="CF94" s="10">
        <v>9.1000000000000004E-9</v>
      </c>
      <c r="CG94" s="10">
        <v>9.1000000000000004E-9</v>
      </c>
      <c r="CH94" s="9">
        <v>9.1000000000000004E-9</v>
      </c>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row>
    <row r="95" spans="1:192">
      <c r="A95" s="13" t="s">
        <v>598</v>
      </c>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2"/>
      <c r="AM95" s="10"/>
      <c r="AN95" s="10"/>
      <c r="AO95" s="10"/>
      <c r="AP95" s="12"/>
      <c r="AQ95" s="10"/>
      <c r="AR95" s="10"/>
      <c r="AS95" s="10"/>
      <c r="AT95" s="10"/>
      <c r="AU95" s="10"/>
      <c r="AV95" s="10"/>
      <c r="AW95" s="10"/>
      <c r="AX95" s="10"/>
      <c r="AY95" s="10"/>
      <c r="AZ95" s="10"/>
      <c r="BA95" s="10"/>
      <c r="BB95" s="10"/>
      <c r="BC95" s="10"/>
      <c r="BD95" s="10"/>
      <c r="BE95" s="12"/>
      <c r="BF95" s="15"/>
      <c r="BG95" s="10"/>
      <c r="BH95" s="10"/>
      <c r="BI95" s="10"/>
      <c r="BJ95" s="10"/>
      <c r="BK95" s="10"/>
      <c r="BL95" s="10"/>
      <c r="BM95" s="10"/>
      <c r="BN95" s="10"/>
      <c r="BO95" s="12"/>
      <c r="BP95" s="10"/>
      <c r="BQ95" s="10"/>
      <c r="BR95" s="10"/>
      <c r="BS95" s="10"/>
      <c r="BT95" s="11">
        <f>0.000000002+0.00000000024+0.0000016+0.00000000028+0.000000066+0.000000000088+0.0000000015+0.00000000042+0.0000000000086+0.00000000047+0.00000000009+0.00000000075</f>
        <v>1.6718466000000001E-6</v>
      </c>
      <c r="BU95" s="10">
        <v>1.6718466000000001E-6</v>
      </c>
      <c r="BV95" s="10">
        <v>1.6718466000000001E-6</v>
      </c>
      <c r="BW95" s="10">
        <v>1.6718466000000001E-6</v>
      </c>
      <c r="BX95" s="10">
        <v>1.6718466000000001E-6</v>
      </c>
      <c r="BY95" s="10">
        <v>1.6718466000000001E-6</v>
      </c>
      <c r="BZ95" s="10">
        <v>1.6718466000000001E-6</v>
      </c>
      <c r="CA95" s="10">
        <v>1.6718466000000001E-6</v>
      </c>
      <c r="CB95" s="10">
        <v>1.6718466000000001E-6</v>
      </c>
      <c r="CC95" s="10">
        <v>1.6718466000000001E-6</v>
      </c>
      <c r="CD95" s="10">
        <v>1.6718466000000001E-6</v>
      </c>
      <c r="CE95" s="10">
        <v>1.6718466000000001E-6</v>
      </c>
      <c r="CF95" s="10">
        <v>1.6718466000000001E-6</v>
      </c>
      <c r="CG95" s="10">
        <v>1.6718466000000001E-6</v>
      </c>
      <c r="CH95" s="9">
        <v>1.6718466000000001E-6</v>
      </c>
    </row>
    <row r="96" spans="1:192">
      <c r="A96" s="13" t="s">
        <v>414</v>
      </c>
      <c r="B96" s="10">
        <v>7.0999999999999998E-7</v>
      </c>
      <c r="C96" s="10">
        <v>7.0999999999999998E-7</v>
      </c>
      <c r="D96" s="10">
        <v>7.0999999999999998E-7</v>
      </c>
      <c r="E96" s="10">
        <v>7.0999999999999998E-7</v>
      </c>
      <c r="F96" s="10">
        <v>7.0999999999999998E-7</v>
      </c>
      <c r="G96" s="10">
        <v>7.0999999999999998E-7</v>
      </c>
      <c r="H96" s="10">
        <v>7.0999999999999998E-7</v>
      </c>
      <c r="I96" s="10">
        <v>7.0999999999999998E-7</v>
      </c>
      <c r="J96" s="10">
        <v>7.0999999999999998E-7</v>
      </c>
      <c r="K96" s="10">
        <v>7.0999999999999998E-7</v>
      </c>
      <c r="L96" s="10">
        <v>7.0999999999999998E-7</v>
      </c>
      <c r="M96" s="10">
        <v>7.0999999999999998E-7</v>
      </c>
      <c r="N96" s="10">
        <v>7.0999999999999998E-7</v>
      </c>
      <c r="O96" s="10">
        <v>7.0999999999999998E-7</v>
      </c>
      <c r="P96" s="10">
        <v>7.0999999999999998E-7</v>
      </c>
      <c r="Q96" s="10">
        <v>7.0999999999999998E-7</v>
      </c>
      <c r="R96" s="10">
        <v>7.0999999999999998E-7</v>
      </c>
      <c r="S96" s="10">
        <v>7.0999999999999998E-7</v>
      </c>
      <c r="T96" s="10">
        <v>7.0999999999999998E-7</v>
      </c>
      <c r="U96" s="10">
        <v>7.0999999999999998E-7</v>
      </c>
      <c r="V96" s="10">
        <v>7.0999999999999998E-7</v>
      </c>
      <c r="W96" s="10">
        <v>7.0999999999999998E-7</v>
      </c>
      <c r="X96" s="10">
        <v>7.0999999999999998E-7</v>
      </c>
      <c r="Y96" s="10">
        <v>7.0999999999999998E-7</v>
      </c>
      <c r="Z96" s="10">
        <v>7.0999999999999998E-7</v>
      </c>
      <c r="AA96" s="10">
        <v>7.0999999999999998E-7</v>
      </c>
      <c r="AB96" s="10">
        <v>7.0999999999999998E-7</v>
      </c>
      <c r="AC96" s="10">
        <v>7.0999999999999998E-7</v>
      </c>
      <c r="AD96" s="10">
        <v>7.0999999999999998E-7</v>
      </c>
      <c r="AE96" s="10">
        <v>7.0999999999999998E-7</v>
      </c>
      <c r="AF96" s="10">
        <v>7.0999999999999998E-7</v>
      </c>
      <c r="AG96" s="10">
        <v>7.0999999999999998E-7</v>
      </c>
      <c r="AH96" s="10">
        <v>7.0999999999999998E-7</v>
      </c>
      <c r="AI96" s="10">
        <v>7.0999999999999998E-7</v>
      </c>
      <c r="AJ96" s="10">
        <v>7.0999999999999998E-7</v>
      </c>
      <c r="AK96" s="10">
        <v>7.0999999999999998E-7</v>
      </c>
      <c r="AL96" s="12">
        <v>7.0999999999999998E-7</v>
      </c>
      <c r="AM96" s="10">
        <v>7.0999999999999998E-7</v>
      </c>
      <c r="AN96" s="10">
        <v>7.0999999999999998E-7</v>
      </c>
      <c r="AO96" s="10">
        <v>7.0999999999999998E-7</v>
      </c>
      <c r="AP96" s="12">
        <v>1.7000000000000001E-4</v>
      </c>
      <c r="AQ96" s="10">
        <v>4.8400000000000002E-6</v>
      </c>
      <c r="AR96" s="10">
        <v>4.8400000000000002E-6</v>
      </c>
      <c r="AS96" s="10">
        <v>4.8400000000000002E-6</v>
      </c>
      <c r="AT96" s="10">
        <v>4.8400000000000002E-6</v>
      </c>
      <c r="AU96" s="10">
        <v>4.8400000000000002E-6</v>
      </c>
      <c r="AV96" s="10">
        <v>4.8400000000000002E-6</v>
      </c>
      <c r="AW96" s="10">
        <v>4.8400000000000002E-6</v>
      </c>
      <c r="AX96" s="10">
        <v>4.8400000000000002E-6</v>
      </c>
      <c r="AY96" s="10">
        <v>4.8400000000000002E-6</v>
      </c>
      <c r="AZ96" s="10">
        <v>4.8400000000000002E-6</v>
      </c>
      <c r="BA96" s="10">
        <v>4.8400000000000002E-6</v>
      </c>
      <c r="BB96" s="10">
        <v>4.8400000000000002E-6</v>
      </c>
      <c r="BC96" s="10">
        <v>4.8400000000000002E-6</v>
      </c>
      <c r="BD96" s="10">
        <v>4.8400000000000002E-6</v>
      </c>
      <c r="BE96" s="12">
        <v>4.8400000000000002E-6</v>
      </c>
      <c r="BF96" s="10">
        <v>3.0000000000000001E-6</v>
      </c>
      <c r="BG96" s="10">
        <v>3.0000000000000001E-6</v>
      </c>
      <c r="BH96" s="10">
        <v>3.0000000000000001E-6</v>
      </c>
      <c r="BI96" s="10">
        <v>3.0000000000000001E-6</v>
      </c>
      <c r="BJ96" s="10">
        <v>3.0000000000000001E-6</v>
      </c>
      <c r="BK96" s="10">
        <v>3.0000000000000001E-6</v>
      </c>
      <c r="BL96" s="10">
        <v>3.0000000000000001E-6</v>
      </c>
      <c r="BM96" s="10">
        <v>3.0000000000000001E-6</v>
      </c>
      <c r="BN96" s="10">
        <v>3.0000000000000001E-6</v>
      </c>
      <c r="BO96" s="12">
        <v>3.0000000000000001E-6</v>
      </c>
      <c r="BP96" s="10">
        <v>3.0000000000000001E-6</v>
      </c>
      <c r="BQ96" s="10">
        <v>3.0000000000000001E-6</v>
      </c>
      <c r="BR96" s="10">
        <v>3.0000000000000001E-6</v>
      </c>
      <c r="BS96" s="10">
        <v>3.0000000000000001E-6</v>
      </c>
      <c r="BT96" s="11">
        <v>1.5999999999999999E-6</v>
      </c>
      <c r="BU96" s="10">
        <v>1.5999999999999999E-6</v>
      </c>
      <c r="BV96" s="10">
        <v>1.5999999999999999E-6</v>
      </c>
      <c r="BW96" s="10">
        <v>1.5999999999999999E-6</v>
      </c>
      <c r="BX96" s="10">
        <v>1.5999999999999999E-6</v>
      </c>
      <c r="BY96" s="10">
        <v>1.5999999999999999E-6</v>
      </c>
      <c r="BZ96" s="10">
        <v>1.5999999999999999E-6</v>
      </c>
      <c r="CA96" s="10">
        <v>1.5999999999999999E-6</v>
      </c>
      <c r="CB96" s="10">
        <v>1.5999999999999999E-6</v>
      </c>
      <c r="CC96" s="10">
        <v>1.5999999999999999E-6</v>
      </c>
      <c r="CD96" s="10">
        <v>1.5999999999999999E-6</v>
      </c>
      <c r="CE96" s="10">
        <v>1.5999999999999999E-6</v>
      </c>
      <c r="CF96" s="10">
        <v>1.5999999999999999E-6</v>
      </c>
      <c r="CG96" s="10">
        <v>1.5999999999999999E-6</v>
      </c>
      <c r="CH96" s="9">
        <v>1.5999999999999999E-6</v>
      </c>
    </row>
    <row r="97" spans="1:192">
      <c r="A97" s="13" t="s">
        <v>415</v>
      </c>
      <c r="B97" s="10">
        <v>9.0999999999999997E-7</v>
      </c>
      <c r="C97" s="10">
        <v>9.0999999999999997E-7</v>
      </c>
      <c r="D97" s="10">
        <v>9.0999999999999997E-7</v>
      </c>
      <c r="E97" s="10">
        <v>9.0999999999999997E-7</v>
      </c>
      <c r="F97" s="10">
        <v>9.0999999999999997E-7</v>
      </c>
      <c r="G97" s="10">
        <v>9.0999999999999997E-7</v>
      </c>
      <c r="H97" s="10">
        <v>9.0999999999999997E-7</v>
      </c>
      <c r="I97" s="10">
        <v>9.0999999999999997E-7</v>
      </c>
      <c r="J97" s="10">
        <v>9.0999999999999997E-7</v>
      </c>
      <c r="K97" s="10">
        <v>9.0999999999999997E-7</v>
      </c>
      <c r="L97" s="10">
        <v>9.0999999999999997E-7</v>
      </c>
      <c r="M97" s="10">
        <v>9.0999999999999997E-7</v>
      </c>
      <c r="N97" s="10">
        <v>9.0999999999999997E-7</v>
      </c>
      <c r="O97" s="10">
        <v>9.0999999999999997E-7</v>
      </c>
      <c r="P97" s="10">
        <v>9.0999999999999997E-7</v>
      </c>
      <c r="Q97" s="10">
        <v>9.0999999999999997E-7</v>
      </c>
      <c r="R97" s="10">
        <v>9.0999999999999997E-7</v>
      </c>
      <c r="S97" s="10">
        <v>9.0999999999999997E-7</v>
      </c>
      <c r="T97" s="10">
        <v>9.0999999999999997E-7</v>
      </c>
      <c r="U97" s="10">
        <v>9.0999999999999997E-7</v>
      </c>
      <c r="V97" s="10">
        <v>9.0999999999999997E-7</v>
      </c>
      <c r="W97" s="10">
        <v>9.0999999999999997E-7</v>
      </c>
      <c r="X97" s="10">
        <v>9.0999999999999997E-7</v>
      </c>
      <c r="Y97" s="10">
        <v>9.0999999999999997E-7</v>
      </c>
      <c r="Z97" s="10">
        <v>9.0999999999999997E-7</v>
      </c>
      <c r="AA97" s="10">
        <v>9.0999999999999997E-7</v>
      </c>
      <c r="AB97" s="10">
        <v>9.0999999999999997E-7</v>
      </c>
      <c r="AC97" s="10">
        <v>9.0999999999999997E-7</v>
      </c>
      <c r="AD97" s="10">
        <v>9.0999999999999997E-7</v>
      </c>
      <c r="AE97" s="10">
        <v>9.0999999999999997E-7</v>
      </c>
      <c r="AF97" s="10">
        <v>9.0999999999999997E-7</v>
      </c>
      <c r="AG97" s="10">
        <v>9.0999999999999997E-7</v>
      </c>
      <c r="AH97" s="10">
        <v>9.0999999999999997E-7</v>
      </c>
      <c r="AI97" s="10">
        <v>9.0999999999999997E-7</v>
      </c>
      <c r="AJ97" s="10">
        <v>9.0999999999999997E-7</v>
      </c>
      <c r="AK97" s="10">
        <v>9.0999999999999997E-7</v>
      </c>
      <c r="AL97" s="12">
        <v>9.0999999999999997E-7</v>
      </c>
      <c r="AM97" s="10">
        <v>9.0999999999999997E-7</v>
      </c>
      <c r="AN97" s="10">
        <v>9.0999999999999997E-7</v>
      </c>
      <c r="AO97" s="10">
        <v>9.0999999999999997E-7</v>
      </c>
      <c r="AP97" s="12">
        <v>2.5000000000000001E-5</v>
      </c>
      <c r="AQ97" s="10">
        <v>4.4700000000000004E-6</v>
      </c>
      <c r="AR97" s="10">
        <v>4.4700000000000004E-6</v>
      </c>
      <c r="AS97" s="10">
        <v>4.4700000000000004E-6</v>
      </c>
      <c r="AT97" s="10">
        <v>4.4700000000000004E-6</v>
      </c>
      <c r="AU97" s="10">
        <v>4.4700000000000004E-6</v>
      </c>
      <c r="AV97" s="10">
        <v>4.4700000000000004E-6</v>
      </c>
      <c r="AW97" s="10">
        <v>4.4700000000000004E-6</v>
      </c>
      <c r="AX97" s="10">
        <v>4.4700000000000004E-6</v>
      </c>
      <c r="AY97" s="10">
        <v>4.4700000000000004E-6</v>
      </c>
      <c r="AZ97" s="10">
        <v>4.4700000000000004E-6</v>
      </c>
      <c r="BA97" s="10">
        <v>4.4700000000000004E-6</v>
      </c>
      <c r="BB97" s="10">
        <v>4.4700000000000004E-6</v>
      </c>
      <c r="BC97" s="10">
        <v>4.4700000000000004E-6</v>
      </c>
      <c r="BD97" s="10">
        <v>4.4700000000000004E-6</v>
      </c>
      <c r="BE97" s="12">
        <v>4.4700000000000004E-6</v>
      </c>
      <c r="BF97" s="10">
        <v>2.7999999999999999E-6</v>
      </c>
      <c r="BG97" s="10">
        <v>2.7999999999999999E-6</v>
      </c>
      <c r="BH97" s="10">
        <v>2.7999999999999999E-6</v>
      </c>
      <c r="BI97" s="10">
        <v>2.7999999999999999E-6</v>
      </c>
      <c r="BJ97" s="10">
        <v>2.7999999999999999E-6</v>
      </c>
      <c r="BK97" s="10">
        <v>2.7999999999999999E-6</v>
      </c>
      <c r="BL97" s="10">
        <v>2.7999999999999999E-6</v>
      </c>
      <c r="BM97" s="10">
        <v>2.7999999999999999E-6</v>
      </c>
      <c r="BN97" s="10">
        <v>2.7999999999999999E-6</v>
      </c>
      <c r="BO97" s="12">
        <v>2.7999999999999999E-6</v>
      </c>
      <c r="BP97" s="10">
        <v>2.7999999999999999E-6</v>
      </c>
      <c r="BQ97" s="10">
        <v>2.7999999999999999E-6</v>
      </c>
      <c r="BR97" s="10">
        <v>2.7999999999999999E-6</v>
      </c>
      <c r="BS97" s="10">
        <v>2.7999999999999999E-6</v>
      </c>
      <c r="BT97" s="11">
        <v>3.4000000000000001E-6</v>
      </c>
      <c r="BU97" s="10">
        <v>3.4000000000000001E-6</v>
      </c>
      <c r="BV97" s="10">
        <v>3.4000000000000001E-6</v>
      </c>
      <c r="BW97" s="10">
        <v>3.4000000000000001E-6</v>
      </c>
      <c r="BX97" s="10">
        <v>3.4000000000000001E-6</v>
      </c>
      <c r="BY97" s="10">
        <v>3.4000000000000001E-6</v>
      </c>
      <c r="BZ97" s="10">
        <v>3.4000000000000001E-6</v>
      </c>
      <c r="CA97" s="10">
        <v>3.4000000000000001E-6</v>
      </c>
      <c r="CB97" s="10">
        <v>3.4000000000000001E-6</v>
      </c>
      <c r="CC97" s="10">
        <v>3.4000000000000001E-6</v>
      </c>
      <c r="CD97" s="10">
        <v>3.4000000000000001E-6</v>
      </c>
      <c r="CE97" s="10">
        <v>3.4000000000000001E-6</v>
      </c>
      <c r="CF97" s="10">
        <v>3.4000000000000001E-6</v>
      </c>
      <c r="CG97" s="10">
        <v>3.4000000000000001E-6</v>
      </c>
      <c r="CH97" s="9">
        <v>3.4000000000000001E-6</v>
      </c>
    </row>
    <row r="98" spans="1:192">
      <c r="A98" s="13" t="s">
        <v>416</v>
      </c>
      <c r="B98" s="10">
        <v>6.1000000000000004E-8</v>
      </c>
      <c r="C98" s="10">
        <v>6.1000000000000004E-8</v>
      </c>
      <c r="D98" s="10">
        <v>6.1000000000000004E-8</v>
      </c>
      <c r="E98" s="10">
        <v>6.1000000000000004E-8</v>
      </c>
      <c r="F98" s="10">
        <v>6.1000000000000004E-8</v>
      </c>
      <c r="G98" s="10">
        <v>6.1000000000000004E-8</v>
      </c>
      <c r="H98" s="10">
        <v>6.1000000000000004E-8</v>
      </c>
      <c r="I98" s="10">
        <v>6.1000000000000004E-8</v>
      </c>
      <c r="J98" s="10">
        <v>6.1000000000000004E-8</v>
      </c>
      <c r="K98" s="10">
        <v>6.1000000000000004E-8</v>
      </c>
      <c r="L98" s="10">
        <v>6.1000000000000004E-8</v>
      </c>
      <c r="M98" s="10">
        <v>6.1000000000000004E-8</v>
      </c>
      <c r="N98" s="10">
        <v>6.1000000000000004E-8</v>
      </c>
      <c r="O98" s="10">
        <v>6.1000000000000004E-8</v>
      </c>
      <c r="P98" s="10">
        <v>6.1000000000000004E-8</v>
      </c>
      <c r="Q98" s="10">
        <v>6.1000000000000004E-8</v>
      </c>
      <c r="R98" s="10">
        <v>6.1000000000000004E-8</v>
      </c>
      <c r="S98" s="10">
        <v>6.1000000000000004E-8</v>
      </c>
      <c r="T98" s="10">
        <v>6.1000000000000004E-8</v>
      </c>
      <c r="U98" s="10">
        <v>6.1000000000000004E-8</v>
      </c>
      <c r="V98" s="10">
        <v>6.1000000000000004E-8</v>
      </c>
      <c r="W98" s="10">
        <v>6.1000000000000004E-8</v>
      </c>
      <c r="X98" s="10">
        <v>6.1000000000000004E-8</v>
      </c>
      <c r="Y98" s="10">
        <v>6.1000000000000004E-8</v>
      </c>
      <c r="Z98" s="10">
        <v>6.1000000000000004E-8</v>
      </c>
      <c r="AA98" s="10">
        <v>6.1000000000000004E-8</v>
      </c>
      <c r="AB98" s="10">
        <v>6.1000000000000004E-8</v>
      </c>
      <c r="AC98" s="10">
        <v>6.1000000000000004E-8</v>
      </c>
      <c r="AD98" s="10">
        <v>6.1000000000000004E-8</v>
      </c>
      <c r="AE98" s="10">
        <v>6.1000000000000004E-8</v>
      </c>
      <c r="AF98" s="10">
        <v>6.1000000000000004E-8</v>
      </c>
      <c r="AG98" s="10">
        <v>6.1000000000000004E-8</v>
      </c>
      <c r="AH98" s="10">
        <v>6.1000000000000004E-8</v>
      </c>
      <c r="AI98" s="10">
        <v>6.1000000000000004E-8</v>
      </c>
      <c r="AJ98" s="10">
        <v>6.1000000000000004E-8</v>
      </c>
      <c r="AK98" s="10">
        <v>6.1000000000000004E-8</v>
      </c>
      <c r="AL98" s="12">
        <v>6.1000000000000004E-8</v>
      </c>
      <c r="AM98" s="10">
        <v>6.1000000000000004E-8</v>
      </c>
      <c r="AN98" s="10">
        <v>6.1000000000000004E-8</v>
      </c>
      <c r="AO98" s="10">
        <v>6.1000000000000004E-8</v>
      </c>
      <c r="AP98" s="12">
        <v>6.9E-6</v>
      </c>
      <c r="AQ98" s="10">
        <v>2.1399999999999998E-6</v>
      </c>
      <c r="AR98" s="10">
        <v>2.1399999999999998E-6</v>
      </c>
      <c r="AS98" s="10">
        <v>2.1399999999999998E-6</v>
      </c>
      <c r="AT98" s="10">
        <v>2.1399999999999998E-6</v>
      </c>
      <c r="AU98" s="10">
        <v>2.1399999999999998E-6</v>
      </c>
      <c r="AV98" s="10">
        <v>2.1399999999999998E-6</v>
      </c>
      <c r="AW98" s="10">
        <v>2.1399999999999998E-6</v>
      </c>
      <c r="AX98" s="10">
        <v>2.1399999999999998E-6</v>
      </c>
      <c r="AY98" s="10">
        <v>2.1399999999999998E-6</v>
      </c>
      <c r="AZ98" s="10">
        <v>2.1399999999999998E-6</v>
      </c>
      <c r="BA98" s="10">
        <v>2.1399999999999998E-6</v>
      </c>
      <c r="BB98" s="10">
        <v>2.1399999999999998E-6</v>
      </c>
      <c r="BC98" s="10">
        <v>2.1399999999999998E-6</v>
      </c>
      <c r="BD98" s="10">
        <v>2.1399999999999998E-6</v>
      </c>
      <c r="BE98" s="12">
        <v>2.1399999999999998E-6</v>
      </c>
      <c r="BF98" s="10">
        <v>1.7999999999999999E-6</v>
      </c>
      <c r="BG98" s="10">
        <v>1.7999999999999999E-6</v>
      </c>
      <c r="BH98" s="10">
        <v>1.7999999999999999E-6</v>
      </c>
      <c r="BI98" s="10">
        <v>1.7999999999999999E-6</v>
      </c>
      <c r="BJ98" s="10">
        <v>1.7999999999999999E-6</v>
      </c>
      <c r="BK98" s="10">
        <v>1.7999999999999999E-6</v>
      </c>
      <c r="BL98" s="10">
        <v>1.7999999999999999E-6</v>
      </c>
      <c r="BM98" s="10">
        <v>1.7999999999999999E-6</v>
      </c>
      <c r="BN98" s="10">
        <v>1.7999999999999999E-6</v>
      </c>
      <c r="BO98" s="12">
        <v>1.7999999999999999E-6</v>
      </c>
      <c r="BP98" s="10">
        <v>1.7999999999999999E-6</v>
      </c>
      <c r="BQ98" s="10">
        <v>1.7999999999999999E-6</v>
      </c>
      <c r="BR98" s="10">
        <v>1.7999999999999999E-6</v>
      </c>
      <c r="BS98" s="10">
        <v>1.7999999999999999E-6</v>
      </c>
      <c r="BT98" s="11">
        <v>8.6999999999999998E-8</v>
      </c>
      <c r="BU98" s="10">
        <v>8.6999999999999998E-8</v>
      </c>
      <c r="BV98" s="10">
        <v>8.6999999999999998E-8</v>
      </c>
      <c r="BW98" s="10">
        <v>8.6999999999999998E-8</v>
      </c>
      <c r="BX98" s="10">
        <v>8.6999999999999998E-8</v>
      </c>
      <c r="BY98" s="10">
        <v>8.6999999999999998E-8</v>
      </c>
      <c r="BZ98" s="10">
        <v>8.6999999999999998E-8</v>
      </c>
      <c r="CA98" s="10">
        <v>8.6999999999999998E-8</v>
      </c>
      <c r="CB98" s="10">
        <v>8.6999999999999998E-8</v>
      </c>
      <c r="CC98" s="10">
        <v>8.6999999999999998E-8</v>
      </c>
      <c r="CD98" s="10">
        <v>8.6999999999999998E-8</v>
      </c>
      <c r="CE98" s="10">
        <v>8.6999999999999998E-8</v>
      </c>
      <c r="CF98" s="10">
        <v>8.6999999999999998E-8</v>
      </c>
      <c r="CG98" s="10">
        <v>8.6999999999999998E-8</v>
      </c>
      <c r="CH98" s="9">
        <v>8.6999999999999998E-8</v>
      </c>
    </row>
    <row r="99" spans="1:192">
      <c r="A99" s="13" t="s">
        <v>100</v>
      </c>
      <c r="B99" s="10">
        <v>1.2999999999999999E-5</v>
      </c>
      <c r="C99" s="10">
        <v>1.2999999999999999E-5</v>
      </c>
      <c r="D99" s="10">
        <v>1.2999999999999999E-5</v>
      </c>
      <c r="E99" s="10">
        <v>1.2999999999999999E-5</v>
      </c>
      <c r="F99" s="10">
        <v>1.2999999999999999E-5</v>
      </c>
      <c r="G99" s="10">
        <v>1.2999999999999999E-5</v>
      </c>
      <c r="H99" s="10">
        <v>1.2999999999999999E-5</v>
      </c>
      <c r="I99" s="10">
        <v>1.2999999999999999E-5</v>
      </c>
      <c r="J99" s="10">
        <v>1.2999999999999999E-5</v>
      </c>
      <c r="K99" s="10">
        <v>1.2999999999999999E-5</v>
      </c>
      <c r="L99" s="10">
        <v>1.2999999999999999E-5</v>
      </c>
      <c r="M99" s="10">
        <v>1.2999999999999999E-5</v>
      </c>
      <c r="N99" s="10">
        <v>1.2999999999999999E-5</v>
      </c>
      <c r="O99" s="10">
        <v>1.2999999999999999E-5</v>
      </c>
      <c r="P99" s="10">
        <v>1.2999999999999999E-5</v>
      </c>
      <c r="Q99" s="10">
        <v>1.2999999999999999E-5</v>
      </c>
      <c r="R99" s="10">
        <v>1.2999999999999999E-5</v>
      </c>
      <c r="S99" s="10">
        <v>1.2999999999999999E-5</v>
      </c>
      <c r="T99" s="10">
        <v>1.2999999999999999E-5</v>
      </c>
      <c r="U99" s="10">
        <v>1.2999999999999999E-5</v>
      </c>
      <c r="V99" s="10">
        <v>1.2999999999999999E-5</v>
      </c>
      <c r="W99" s="10">
        <v>1.2999999999999999E-5</v>
      </c>
      <c r="X99" s="10">
        <v>1.2999999999999999E-5</v>
      </c>
      <c r="Y99" s="10">
        <v>1.2999999999999999E-5</v>
      </c>
      <c r="Z99" s="10">
        <v>1.2999999999999999E-5</v>
      </c>
      <c r="AA99" s="10">
        <v>1.2999999999999999E-5</v>
      </c>
      <c r="AB99" s="10">
        <v>1.2999999999999999E-5</v>
      </c>
      <c r="AC99" s="10">
        <v>1.2999999999999999E-5</v>
      </c>
      <c r="AD99" s="10">
        <v>1.2999999999999999E-5</v>
      </c>
      <c r="AE99" s="10">
        <v>1.2999999999999999E-5</v>
      </c>
      <c r="AF99" s="10">
        <v>1.2999999999999999E-5</v>
      </c>
      <c r="AG99" s="10">
        <v>1.2999999999999999E-5</v>
      </c>
      <c r="AH99" s="10">
        <v>1.2999999999999999E-5</v>
      </c>
      <c r="AI99" s="10">
        <v>1.2999999999999999E-5</v>
      </c>
      <c r="AJ99" s="10">
        <v>1.2999999999999999E-5</v>
      </c>
      <c r="AK99" s="10">
        <v>1.2999999999999999E-5</v>
      </c>
      <c r="AL99" s="12">
        <v>1.2999999999999999E-5</v>
      </c>
      <c r="AM99" s="10">
        <v>0.13</v>
      </c>
      <c r="AN99" s="10">
        <v>1.2999999999999999E-5</v>
      </c>
      <c r="AO99" s="10">
        <v>1.2999999999999999E-5</v>
      </c>
      <c r="AP99" s="12">
        <v>2.2000000000000001E-4</v>
      </c>
      <c r="AQ99" s="10">
        <v>1.1299999999999999E-3</v>
      </c>
      <c r="AR99" s="10">
        <v>1.1299999999999999E-3</v>
      </c>
      <c r="AS99" s="10">
        <v>1.1299999999999999E-3</v>
      </c>
      <c r="AT99" s="10">
        <v>1.1299999999999999E-3</v>
      </c>
      <c r="AU99" s="10">
        <v>1.1299999999999999E-3</v>
      </c>
      <c r="AV99" s="10">
        <v>1.1299999999999999E-3</v>
      </c>
      <c r="AW99" s="10">
        <v>1.1299999999999999E-3</v>
      </c>
      <c r="AX99" s="10">
        <v>1.1299999999999999E-3</v>
      </c>
      <c r="AY99" s="10">
        <v>1.1299999999999999E-3</v>
      </c>
      <c r="AZ99" s="10">
        <v>1.1299999999999999E-3</v>
      </c>
      <c r="BA99" s="10">
        <v>1.1299999999999999E-3</v>
      </c>
      <c r="BB99" s="10">
        <v>1.1299999999999999E-3</v>
      </c>
      <c r="BC99" s="10">
        <v>1.1299999999999999E-3</v>
      </c>
      <c r="BD99" s="10">
        <v>1.1299999999999999E-3</v>
      </c>
      <c r="BE99" s="12">
        <v>1.1299999999999999E-3</v>
      </c>
      <c r="BF99" s="10">
        <v>6.0999999999999997E-4</v>
      </c>
      <c r="BG99" s="10">
        <v>6.0999999999999997E-4</v>
      </c>
      <c r="BH99" s="10">
        <v>6.0999999999999997E-4</v>
      </c>
      <c r="BI99" s="10">
        <v>6.0999999999999997E-4</v>
      </c>
      <c r="BJ99" s="10">
        <v>6.0999999999999997E-4</v>
      </c>
      <c r="BK99" s="10">
        <v>6.0999999999999997E-4</v>
      </c>
      <c r="BL99" s="10">
        <v>6.0999999999999997E-4</v>
      </c>
      <c r="BM99" s="10">
        <v>6.0999999999999997E-4</v>
      </c>
      <c r="BN99" s="10">
        <v>6.0999999999999997E-4</v>
      </c>
      <c r="BO99" s="12">
        <v>6.0999999999999997E-4</v>
      </c>
      <c r="BP99" s="10">
        <v>6.0999999999999997E-4</v>
      </c>
      <c r="BQ99" s="10">
        <v>6.0999999999999997E-4</v>
      </c>
      <c r="BR99" s="10">
        <v>6.0999999999999997E-4</v>
      </c>
      <c r="BS99" s="10">
        <v>6.0999999999999997E-4</v>
      </c>
      <c r="BT99" s="11">
        <v>9.7E-5</v>
      </c>
      <c r="BU99" s="10">
        <v>9.7E-5</v>
      </c>
      <c r="BV99" s="10">
        <v>9.7E-5</v>
      </c>
      <c r="BW99" s="10">
        <v>9.7E-5</v>
      </c>
      <c r="BX99" s="10">
        <v>9.7E-5</v>
      </c>
      <c r="BY99" s="10">
        <v>9.7E-5</v>
      </c>
      <c r="BZ99" s="10">
        <v>9.7E-5</v>
      </c>
      <c r="CA99" s="10">
        <v>9.7E-5</v>
      </c>
      <c r="CB99" s="10">
        <v>9.7E-5</v>
      </c>
      <c r="CC99" s="10">
        <v>9.7E-5</v>
      </c>
      <c r="CD99" s="10">
        <v>9.7E-5</v>
      </c>
      <c r="CE99" s="10">
        <v>9.7E-5</v>
      </c>
      <c r="CF99" s="10">
        <v>9.7E-5</v>
      </c>
      <c r="CG99" s="10">
        <v>9.7E-5</v>
      </c>
      <c r="CH99" s="9">
        <v>9.7E-5</v>
      </c>
    </row>
    <row r="100" spans="1:192" s="14" customFormat="1">
      <c r="A100" s="13" t="s">
        <v>599</v>
      </c>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2"/>
      <c r="AM100" s="10"/>
      <c r="AN100" s="10"/>
      <c r="AO100" s="10"/>
      <c r="AP100" s="12"/>
      <c r="AQ100" s="10">
        <v>3.1E-9</v>
      </c>
      <c r="AR100" s="10">
        <v>3.1E-9</v>
      </c>
      <c r="AS100" s="10">
        <v>3.1E-9</v>
      </c>
      <c r="AT100" s="10">
        <v>3.1E-9</v>
      </c>
      <c r="AU100" s="10">
        <v>3.1E-9</v>
      </c>
      <c r="AV100" s="10">
        <v>3.1E-9</v>
      </c>
      <c r="AW100" s="10">
        <v>3.1E-9</v>
      </c>
      <c r="AX100" s="10">
        <v>3.1E-9</v>
      </c>
      <c r="AY100" s="10">
        <v>3.1E-9</v>
      </c>
      <c r="AZ100" s="10">
        <v>3.1E-9</v>
      </c>
      <c r="BA100" s="10">
        <v>3.1E-9</v>
      </c>
      <c r="BB100" s="10">
        <v>3.1E-9</v>
      </c>
      <c r="BC100" s="10">
        <v>3.1E-9</v>
      </c>
      <c r="BD100" s="10">
        <v>3.1E-9</v>
      </c>
      <c r="BE100" s="12">
        <v>3.1E-9</v>
      </c>
      <c r="BF100" s="15"/>
      <c r="BG100" s="10"/>
      <c r="BH100" s="10"/>
      <c r="BI100" s="10"/>
      <c r="BJ100" s="10"/>
      <c r="BK100" s="10"/>
      <c r="BL100" s="10"/>
      <c r="BM100" s="10"/>
      <c r="BN100" s="10"/>
      <c r="BO100" s="12"/>
      <c r="BP100" s="10"/>
      <c r="BQ100" s="10"/>
      <c r="BR100" s="10"/>
      <c r="BS100" s="10"/>
      <c r="BT100" s="11"/>
      <c r="BU100" s="10"/>
      <c r="BV100" s="10"/>
      <c r="BW100" s="10"/>
      <c r="BX100" s="10"/>
      <c r="BY100" s="10"/>
      <c r="BZ100" s="10"/>
      <c r="CA100" s="10"/>
      <c r="CB100" s="10"/>
      <c r="CC100" s="10"/>
      <c r="CD100" s="10"/>
      <c r="CE100" s="10"/>
      <c r="CF100" s="10"/>
      <c r="CG100" s="10"/>
      <c r="CH100" s="9"/>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row>
    <row r="101" spans="1:192" s="14" customFormat="1">
      <c r="A101" s="13" t="s">
        <v>600</v>
      </c>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2"/>
      <c r="AM101" s="10"/>
      <c r="AN101" s="10"/>
      <c r="AO101" s="10"/>
      <c r="AP101" s="12"/>
      <c r="AQ101" s="10"/>
      <c r="AR101" s="10"/>
      <c r="AS101" s="10"/>
      <c r="AT101" s="10"/>
      <c r="AU101" s="10"/>
      <c r="AV101" s="10"/>
      <c r="AW101" s="10"/>
      <c r="AX101" s="10"/>
      <c r="AY101" s="10"/>
      <c r="AZ101" s="10"/>
      <c r="BA101" s="10"/>
      <c r="BB101" s="10"/>
      <c r="BC101" s="10"/>
      <c r="BD101" s="10"/>
      <c r="BE101" s="12"/>
      <c r="BF101" s="15"/>
      <c r="BG101" s="10"/>
      <c r="BH101" s="10"/>
      <c r="BI101" s="10"/>
      <c r="BJ101" s="10"/>
      <c r="BK101" s="10"/>
      <c r="BL101" s="10"/>
      <c r="BM101" s="10"/>
      <c r="BN101" s="10"/>
      <c r="BO101" s="12"/>
      <c r="BP101" s="10"/>
      <c r="BQ101" s="10"/>
      <c r="BR101" s="10"/>
      <c r="BS101" s="10"/>
      <c r="BT101" s="11">
        <f>0.00000000027+0.00000000074+0.000000000066+0.00000000055+0.00000000022+0.0000000012+0.0000000025+0.0000000026</f>
        <v>8.1460000000000006E-9</v>
      </c>
      <c r="BU101" s="10">
        <v>8.1460000000000006E-9</v>
      </c>
      <c r="BV101" s="10">
        <v>8.1460000000000006E-9</v>
      </c>
      <c r="BW101" s="10">
        <v>8.1460000000000006E-9</v>
      </c>
      <c r="BX101" s="10">
        <v>8.1460000000000006E-9</v>
      </c>
      <c r="BY101" s="10">
        <v>8.1460000000000006E-9</v>
      </c>
      <c r="BZ101" s="10">
        <v>8.1460000000000006E-9</v>
      </c>
      <c r="CA101" s="10">
        <v>8.1460000000000006E-9</v>
      </c>
      <c r="CB101" s="10">
        <v>8.1460000000000006E-9</v>
      </c>
      <c r="CC101" s="10">
        <v>8.1460000000000006E-9</v>
      </c>
      <c r="CD101" s="10">
        <v>8.1460000000000006E-9</v>
      </c>
      <c r="CE101" s="10">
        <v>8.1460000000000006E-9</v>
      </c>
      <c r="CF101" s="10">
        <v>8.1460000000000006E-9</v>
      </c>
      <c r="CG101" s="10">
        <v>8.1460000000000006E-9</v>
      </c>
      <c r="CH101" s="9">
        <v>8.1460000000000006E-9</v>
      </c>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row>
    <row r="102" spans="1:192">
      <c r="A102" s="13" t="s">
        <v>601</v>
      </c>
      <c r="B102" s="10">
        <v>2.7E-6</v>
      </c>
      <c r="C102" s="10">
        <v>2.7E-6</v>
      </c>
      <c r="D102" s="10">
        <v>2.7E-6</v>
      </c>
      <c r="E102" s="10">
        <v>2.7E-6</v>
      </c>
      <c r="F102" s="10">
        <v>2.7E-6</v>
      </c>
      <c r="G102" s="10">
        <v>2.7E-6</v>
      </c>
      <c r="H102" s="10">
        <v>2.7E-6</v>
      </c>
      <c r="I102" s="10">
        <v>2.7E-6</v>
      </c>
      <c r="J102" s="10">
        <v>2.7E-6</v>
      </c>
      <c r="K102" s="10">
        <v>2.7E-6</v>
      </c>
      <c r="L102" s="10">
        <v>2.7E-6</v>
      </c>
      <c r="M102" s="10">
        <v>2.7E-6</v>
      </c>
      <c r="N102" s="10">
        <v>2.7E-6</v>
      </c>
      <c r="O102" s="10">
        <v>2.7E-6</v>
      </c>
      <c r="P102" s="10">
        <v>2.7E-6</v>
      </c>
      <c r="Q102" s="10">
        <v>2.7E-6</v>
      </c>
      <c r="R102" s="10">
        <v>2.7E-6</v>
      </c>
      <c r="S102" s="10">
        <v>2.7E-6</v>
      </c>
      <c r="T102" s="10">
        <v>2.7E-6</v>
      </c>
      <c r="U102" s="10">
        <v>2.7E-6</v>
      </c>
      <c r="V102" s="10">
        <v>2.7E-6</v>
      </c>
      <c r="W102" s="10">
        <v>2.7E-6</v>
      </c>
      <c r="X102" s="10">
        <v>2.7E-6</v>
      </c>
      <c r="Y102" s="10">
        <v>2.7E-6</v>
      </c>
      <c r="Z102" s="10">
        <v>2.7E-6</v>
      </c>
      <c r="AA102" s="10">
        <v>2.7E-6</v>
      </c>
      <c r="AB102" s="10">
        <v>2.7E-6</v>
      </c>
      <c r="AC102" s="10">
        <v>2.7E-6</v>
      </c>
      <c r="AD102" s="10">
        <v>2.7E-6</v>
      </c>
      <c r="AE102" s="10">
        <v>2.7E-6</v>
      </c>
      <c r="AF102" s="10">
        <v>2.7E-6</v>
      </c>
      <c r="AG102" s="10">
        <v>2.7E-6</v>
      </c>
      <c r="AH102" s="10">
        <v>2.7E-6</v>
      </c>
      <c r="AI102" s="10">
        <v>2.7E-6</v>
      </c>
      <c r="AJ102" s="10">
        <v>2.7E-6</v>
      </c>
      <c r="AK102" s="10">
        <v>2.7E-6</v>
      </c>
      <c r="AL102" s="12">
        <v>2.7E-6</v>
      </c>
      <c r="AM102" s="10">
        <v>6.7999999999999996E-3</v>
      </c>
      <c r="AN102" s="10">
        <v>6.7999999999999996E-3</v>
      </c>
      <c r="AO102" s="10">
        <v>6.7999999999999996E-3</v>
      </c>
      <c r="AP102" s="12">
        <v>2.4000000000000001E-4</v>
      </c>
      <c r="AQ102" s="10">
        <v>1.0499999999999999E-5</v>
      </c>
      <c r="AR102" s="10">
        <v>1.0499999999999999E-5</v>
      </c>
      <c r="AS102" s="10">
        <v>1.0499999999999999E-5</v>
      </c>
      <c r="AT102" s="10">
        <v>1.0499999999999999E-5</v>
      </c>
      <c r="AU102" s="10">
        <v>1.0499999999999999E-5</v>
      </c>
      <c r="AV102" s="10">
        <v>1.0499999999999999E-5</v>
      </c>
      <c r="AW102" s="10">
        <v>1.0499999999999999E-5</v>
      </c>
      <c r="AX102" s="10">
        <v>1.0499999999999999E-5</v>
      </c>
      <c r="AY102" s="10">
        <v>1.0499999999999999E-5</v>
      </c>
      <c r="AZ102" s="10">
        <v>1.0499999999999999E-5</v>
      </c>
      <c r="BA102" s="10">
        <v>1.0499999999999999E-5</v>
      </c>
      <c r="BB102" s="10">
        <v>1.0499999999999999E-5</v>
      </c>
      <c r="BC102" s="10">
        <v>1.0499999999999999E-5</v>
      </c>
      <c r="BD102" s="10">
        <v>1.0499999999999999E-5</v>
      </c>
      <c r="BE102" s="12">
        <v>1.0499999999999999E-5</v>
      </c>
      <c r="BF102" s="10">
        <v>1.7E-5</v>
      </c>
      <c r="BG102" s="10">
        <v>1.7E-5</v>
      </c>
      <c r="BH102" s="10">
        <v>1.7E-5</v>
      </c>
      <c r="BI102" s="10">
        <v>1.7E-5</v>
      </c>
      <c r="BJ102" s="10">
        <v>1.7E-5</v>
      </c>
      <c r="BK102" s="10">
        <v>1.7E-5</v>
      </c>
      <c r="BL102" s="10">
        <v>1.7E-5</v>
      </c>
      <c r="BM102" s="10">
        <v>1.7E-5</v>
      </c>
      <c r="BN102" s="10">
        <v>1.7E-5</v>
      </c>
      <c r="BO102" s="12">
        <v>1.7E-5</v>
      </c>
      <c r="BP102" s="10">
        <v>1.7E-5</v>
      </c>
      <c r="BQ102" s="10">
        <v>1.7E-5</v>
      </c>
      <c r="BR102" s="10">
        <v>1.7E-5</v>
      </c>
      <c r="BS102" s="10">
        <v>1.7E-5</v>
      </c>
      <c r="BT102" s="11">
        <v>6.9999999999999999E-6</v>
      </c>
      <c r="BU102" s="10">
        <v>6.9999999999999999E-6</v>
      </c>
      <c r="BV102" s="10">
        <v>6.9999999999999999E-6</v>
      </c>
      <c r="BW102" s="10">
        <v>6.9999999999999999E-6</v>
      </c>
      <c r="BX102" s="10">
        <v>6.9999999999999999E-6</v>
      </c>
      <c r="BY102" s="10">
        <v>6.9999999999999999E-6</v>
      </c>
      <c r="BZ102" s="10">
        <v>6.9999999999999999E-6</v>
      </c>
      <c r="CA102" s="10">
        <v>6.9999999999999999E-6</v>
      </c>
      <c r="CB102" s="10">
        <v>6.9999999999999999E-6</v>
      </c>
      <c r="CC102" s="10">
        <v>6.9999999999999999E-6</v>
      </c>
      <c r="CD102" s="10">
        <v>6.9999999999999999E-6</v>
      </c>
      <c r="CE102" s="10">
        <v>6.9999999999999999E-6</v>
      </c>
      <c r="CF102" s="10">
        <v>6.9999999999999999E-6</v>
      </c>
      <c r="CG102" s="10">
        <v>6.9999999999999999E-6</v>
      </c>
      <c r="CH102" s="9">
        <v>6.9999999999999999E-6</v>
      </c>
    </row>
    <row r="103" spans="1:192">
      <c r="A103" s="13" t="s">
        <v>417</v>
      </c>
      <c r="B103" s="10">
        <v>3.3000000000000002E-7</v>
      </c>
      <c r="C103" s="10">
        <v>3.3000000000000002E-7</v>
      </c>
      <c r="D103" s="10">
        <v>3.3000000000000002E-7</v>
      </c>
      <c r="E103" s="10">
        <v>3.3000000000000002E-7</v>
      </c>
      <c r="F103" s="10">
        <v>3.3000000000000002E-7</v>
      </c>
      <c r="G103" s="10">
        <v>3.3000000000000002E-7</v>
      </c>
      <c r="H103" s="10">
        <v>3.3000000000000002E-7</v>
      </c>
      <c r="I103" s="10">
        <v>3.3000000000000002E-7</v>
      </c>
      <c r="J103" s="10">
        <v>3.3000000000000002E-7</v>
      </c>
      <c r="K103" s="10">
        <v>3.3000000000000002E-7</v>
      </c>
      <c r="L103" s="10">
        <v>3.3000000000000002E-7</v>
      </c>
      <c r="M103" s="10">
        <v>3.3000000000000002E-7</v>
      </c>
      <c r="N103" s="10">
        <v>3.3000000000000002E-7</v>
      </c>
      <c r="O103" s="10">
        <v>3.3000000000000002E-7</v>
      </c>
      <c r="P103" s="10">
        <v>3.3000000000000002E-7</v>
      </c>
      <c r="Q103" s="10">
        <v>3.3000000000000002E-7</v>
      </c>
      <c r="R103" s="10">
        <v>3.3000000000000002E-7</v>
      </c>
      <c r="S103" s="10">
        <v>3.3000000000000002E-7</v>
      </c>
      <c r="T103" s="10">
        <v>3.3000000000000002E-7</v>
      </c>
      <c r="U103" s="10">
        <v>3.3000000000000002E-7</v>
      </c>
      <c r="V103" s="10">
        <v>3.3000000000000002E-7</v>
      </c>
      <c r="W103" s="10">
        <v>3.3000000000000002E-7</v>
      </c>
      <c r="X103" s="10">
        <v>3.3000000000000002E-7</v>
      </c>
      <c r="Y103" s="10">
        <v>3.3000000000000002E-7</v>
      </c>
      <c r="Z103" s="10">
        <v>3.3000000000000002E-7</v>
      </c>
      <c r="AA103" s="10">
        <v>3.3000000000000002E-7</v>
      </c>
      <c r="AB103" s="10">
        <v>3.3000000000000002E-7</v>
      </c>
      <c r="AC103" s="10">
        <v>3.3000000000000002E-7</v>
      </c>
      <c r="AD103" s="10">
        <v>3.3000000000000002E-7</v>
      </c>
      <c r="AE103" s="10">
        <v>3.3000000000000002E-7</v>
      </c>
      <c r="AF103" s="10">
        <v>3.3000000000000002E-7</v>
      </c>
      <c r="AG103" s="10">
        <v>3.3000000000000002E-7</v>
      </c>
      <c r="AH103" s="10">
        <v>3.3000000000000002E-7</v>
      </c>
      <c r="AI103" s="10">
        <v>3.3000000000000002E-7</v>
      </c>
      <c r="AJ103" s="10">
        <v>3.3000000000000002E-7</v>
      </c>
      <c r="AK103" s="10">
        <v>3.3000000000000002E-7</v>
      </c>
      <c r="AL103" s="12">
        <v>3.3000000000000002E-7</v>
      </c>
      <c r="AM103" s="10">
        <v>3.3000000000000002E-7</v>
      </c>
      <c r="AN103" s="10">
        <v>3.3000000000000002E-7</v>
      </c>
      <c r="AO103" s="10">
        <v>3.3000000000000002E-7</v>
      </c>
      <c r="AP103" s="12">
        <v>1.2E-4</v>
      </c>
      <c r="AQ103" s="10">
        <v>4.25E-6</v>
      </c>
      <c r="AR103" s="10">
        <v>4.25E-6</v>
      </c>
      <c r="AS103" s="10">
        <v>4.25E-6</v>
      </c>
      <c r="AT103" s="10">
        <v>4.25E-6</v>
      </c>
      <c r="AU103" s="10">
        <v>4.25E-6</v>
      </c>
      <c r="AV103" s="10">
        <v>4.25E-6</v>
      </c>
      <c r="AW103" s="10">
        <v>4.25E-6</v>
      </c>
      <c r="AX103" s="10">
        <v>4.25E-6</v>
      </c>
      <c r="AY103" s="10">
        <v>4.25E-6</v>
      </c>
      <c r="AZ103" s="10">
        <v>4.25E-6</v>
      </c>
      <c r="BA103" s="10">
        <v>4.25E-6</v>
      </c>
      <c r="BB103" s="10">
        <v>4.25E-6</v>
      </c>
      <c r="BC103" s="10">
        <v>4.25E-6</v>
      </c>
      <c r="BD103" s="10">
        <v>4.25E-6</v>
      </c>
      <c r="BE103" s="12">
        <v>4.25E-6</v>
      </c>
      <c r="BF103" s="10">
        <v>5.0000000000000004E-6</v>
      </c>
      <c r="BG103" s="10">
        <v>5.0000000000000004E-6</v>
      </c>
      <c r="BH103" s="10">
        <v>5.0000000000000004E-6</v>
      </c>
      <c r="BI103" s="10">
        <v>5.0000000000000004E-6</v>
      </c>
      <c r="BJ103" s="10">
        <v>5.0000000000000004E-6</v>
      </c>
      <c r="BK103" s="10">
        <v>5.0000000000000004E-6</v>
      </c>
      <c r="BL103" s="10">
        <v>5.0000000000000004E-6</v>
      </c>
      <c r="BM103" s="10">
        <v>5.0000000000000004E-6</v>
      </c>
      <c r="BN103" s="10">
        <v>5.0000000000000004E-6</v>
      </c>
      <c r="BO103" s="12">
        <v>5.0000000000000004E-6</v>
      </c>
      <c r="BP103" s="10">
        <v>5.0000000000000004E-6</v>
      </c>
      <c r="BQ103" s="10">
        <v>5.0000000000000004E-6</v>
      </c>
      <c r="BR103" s="10">
        <v>5.0000000000000004E-6</v>
      </c>
      <c r="BS103" s="10">
        <v>5.0000000000000004E-6</v>
      </c>
      <c r="BT103" s="11">
        <v>3.7000000000000002E-6</v>
      </c>
      <c r="BU103" s="10">
        <v>3.7000000000000002E-6</v>
      </c>
      <c r="BV103" s="10">
        <v>3.7000000000000002E-6</v>
      </c>
      <c r="BW103" s="10">
        <v>3.7000000000000002E-6</v>
      </c>
      <c r="BX103" s="10">
        <v>3.7000000000000002E-6</v>
      </c>
      <c r="BY103" s="10">
        <v>3.7000000000000002E-6</v>
      </c>
      <c r="BZ103" s="10">
        <v>3.7000000000000002E-6</v>
      </c>
      <c r="CA103" s="10">
        <v>3.7000000000000002E-6</v>
      </c>
      <c r="CB103" s="10">
        <v>3.7000000000000002E-6</v>
      </c>
      <c r="CC103" s="10">
        <v>3.7000000000000002E-6</v>
      </c>
      <c r="CD103" s="10">
        <v>3.7000000000000002E-6</v>
      </c>
      <c r="CE103" s="10">
        <v>3.7000000000000002E-6</v>
      </c>
      <c r="CF103" s="10">
        <v>3.7000000000000002E-6</v>
      </c>
      <c r="CG103" s="10">
        <v>3.7000000000000002E-6</v>
      </c>
      <c r="CH103" s="9">
        <v>3.7000000000000002E-6</v>
      </c>
    </row>
    <row r="104" spans="1:192" ht="15" thickBot="1">
      <c r="A104" s="8" t="s">
        <v>602</v>
      </c>
      <c r="B104" s="6">
        <f t="shared" ref="B104:AP104" si="17">SUM(B79:B103)</f>
        <v>2.0757999999999997E-5</v>
      </c>
      <c r="C104" s="5">
        <f t="shared" si="17"/>
        <v>2.0757999999999997E-5</v>
      </c>
      <c r="D104" s="5">
        <f t="shared" si="17"/>
        <v>2.0757999999999997E-5</v>
      </c>
      <c r="E104" s="5">
        <f t="shared" si="17"/>
        <v>2.0757999999999997E-5</v>
      </c>
      <c r="F104" s="5">
        <f t="shared" si="17"/>
        <v>2.0757999999999997E-5</v>
      </c>
      <c r="G104" s="5">
        <f t="shared" si="17"/>
        <v>2.0757999999999997E-5</v>
      </c>
      <c r="H104" s="5">
        <f t="shared" si="17"/>
        <v>2.0757999999999997E-5</v>
      </c>
      <c r="I104" s="5">
        <f t="shared" si="17"/>
        <v>2.0757999999999997E-5</v>
      </c>
      <c r="J104" s="5">
        <f t="shared" si="17"/>
        <v>2.0757999999999997E-5</v>
      </c>
      <c r="K104" s="5">
        <f t="shared" si="17"/>
        <v>2.0757999999999997E-5</v>
      </c>
      <c r="L104" s="5">
        <f t="shared" si="17"/>
        <v>2.0757999999999997E-5</v>
      </c>
      <c r="M104" s="5">
        <f t="shared" si="17"/>
        <v>2.0757999999999997E-5</v>
      </c>
      <c r="N104" s="5">
        <f t="shared" si="17"/>
        <v>2.0757999999999997E-5</v>
      </c>
      <c r="O104" s="5">
        <f t="shared" si="17"/>
        <v>2.0757999999999997E-5</v>
      </c>
      <c r="P104" s="5">
        <f t="shared" si="17"/>
        <v>2.0757999999999997E-5</v>
      </c>
      <c r="Q104" s="5">
        <f t="shared" si="17"/>
        <v>2.0757999999999997E-5</v>
      </c>
      <c r="R104" s="5">
        <f t="shared" si="17"/>
        <v>2.0757999999999997E-5</v>
      </c>
      <c r="S104" s="5">
        <f t="shared" si="17"/>
        <v>2.0757999999999997E-5</v>
      </c>
      <c r="T104" s="5">
        <f t="shared" si="17"/>
        <v>2.0757999999999997E-5</v>
      </c>
      <c r="U104" s="5">
        <f t="shared" si="17"/>
        <v>2.0757999999999997E-5</v>
      </c>
      <c r="V104" s="5">
        <f t="shared" si="17"/>
        <v>2.0757999999999997E-5</v>
      </c>
      <c r="W104" s="5">
        <f t="shared" si="17"/>
        <v>2.0757999999999997E-5</v>
      </c>
      <c r="X104" s="5">
        <f t="shared" si="17"/>
        <v>2.0757999999999997E-5</v>
      </c>
      <c r="Y104" s="5">
        <f t="shared" si="17"/>
        <v>2.0757999999999997E-5</v>
      </c>
      <c r="Z104" s="5">
        <f t="shared" si="17"/>
        <v>2.0757999999999997E-5</v>
      </c>
      <c r="AA104" s="5">
        <f t="shared" si="17"/>
        <v>2.0757999999999997E-5</v>
      </c>
      <c r="AB104" s="5">
        <f t="shared" si="17"/>
        <v>2.0757999999999997E-5</v>
      </c>
      <c r="AC104" s="5">
        <f t="shared" si="17"/>
        <v>2.0757999999999997E-5</v>
      </c>
      <c r="AD104" s="5">
        <f t="shared" si="17"/>
        <v>2.0757999999999997E-5</v>
      </c>
      <c r="AE104" s="5">
        <f t="shared" si="17"/>
        <v>2.0757999999999997E-5</v>
      </c>
      <c r="AF104" s="5">
        <f t="shared" si="17"/>
        <v>2.0757999999999997E-5</v>
      </c>
      <c r="AG104" s="5">
        <f t="shared" si="17"/>
        <v>2.0757999999999997E-5</v>
      </c>
      <c r="AH104" s="5">
        <f t="shared" si="17"/>
        <v>2.0757999999999997E-5</v>
      </c>
      <c r="AI104" s="5">
        <f t="shared" si="17"/>
        <v>2.0757999999999997E-5</v>
      </c>
      <c r="AJ104" s="5">
        <f t="shared" si="17"/>
        <v>2.0757999999999997E-5</v>
      </c>
      <c r="AK104" s="5">
        <f t="shared" si="17"/>
        <v>2.0757999999999997E-5</v>
      </c>
      <c r="AL104" s="7">
        <f t="shared" si="17"/>
        <v>2.0757999999999997E-5</v>
      </c>
      <c r="AM104" s="6">
        <f t="shared" si="17"/>
        <v>0.16180335800000001</v>
      </c>
      <c r="AN104" s="5">
        <f t="shared" si="17"/>
        <v>3.1816357999999996E-2</v>
      </c>
      <c r="AO104" s="5">
        <f t="shared" si="17"/>
        <v>3.1816357999999996E-2</v>
      </c>
      <c r="AP104" s="7">
        <f t="shared" si="17"/>
        <v>1.1109220000000001E-3</v>
      </c>
      <c r="AQ104" s="6">
        <v>1.2999999999999999E-3</v>
      </c>
      <c r="AR104" s="5">
        <v>1.2999999999999999E-3</v>
      </c>
      <c r="AS104" s="5">
        <v>1.2999999999999999E-3</v>
      </c>
      <c r="AT104" s="5">
        <v>1.2999999999999999E-3</v>
      </c>
      <c r="AU104" s="5">
        <f>SUM(AU79:AU103)</f>
        <v>1.1905760999999999E-3</v>
      </c>
      <c r="AV104" s="5">
        <f>SUM(AV79:AV103)</f>
        <v>1.1905760999999999E-3</v>
      </c>
      <c r="AW104" s="5">
        <f>SUM(AW79:AW103)</f>
        <v>1.1905760999999999E-3</v>
      </c>
      <c r="AX104" s="5">
        <f>SUM(AX79:AX103)</f>
        <v>1.1905760999999999E-3</v>
      </c>
      <c r="AY104" s="5">
        <v>3.3E-3</v>
      </c>
      <c r="AZ104" s="5">
        <v>3.3E-3</v>
      </c>
      <c r="BA104" s="5">
        <v>1.2999999999999999E-3</v>
      </c>
      <c r="BB104" s="5">
        <f>SUM(BB79:BB103)</f>
        <v>1.1905760999999999E-3</v>
      </c>
      <c r="BC104" s="5">
        <f>SUM(BC79:BC103)</f>
        <v>1.1905760999999999E-3</v>
      </c>
      <c r="BD104" s="5">
        <v>3.3E-3</v>
      </c>
      <c r="BE104" s="7">
        <f t="shared" ref="BE104:CH104" si="18">SUM(BE79:BE103)</f>
        <v>1.1905760999999999E-3</v>
      </c>
      <c r="BF104" s="6">
        <f t="shared" si="18"/>
        <v>6.9819999999999995E-4</v>
      </c>
      <c r="BG104" s="5">
        <f t="shared" si="18"/>
        <v>6.9819999999999995E-4</v>
      </c>
      <c r="BH104" s="5">
        <f t="shared" si="18"/>
        <v>6.9819999999999995E-4</v>
      </c>
      <c r="BI104" s="5">
        <f t="shared" si="18"/>
        <v>6.9819999999999995E-4</v>
      </c>
      <c r="BJ104" s="5">
        <f t="shared" si="18"/>
        <v>6.9819999999999995E-4</v>
      </c>
      <c r="BK104" s="5">
        <f t="shared" si="18"/>
        <v>6.9819999999999995E-4</v>
      </c>
      <c r="BL104" s="5">
        <f t="shared" si="18"/>
        <v>6.9819999999999995E-4</v>
      </c>
      <c r="BM104" s="5">
        <f t="shared" si="18"/>
        <v>6.9819999999999995E-4</v>
      </c>
      <c r="BN104" s="5">
        <f t="shared" si="18"/>
        <v>6.9819999999999995E-4</v>
      </c>
      <c r="BO104" s="7">
        <f t="shared" si="18"/>
        <v>6.9819999999999995E-4</v>
      </c>
      <c r="BP104" s="6">
        <f t="shared" si="18"/>
        <v>6.9819999999999995E-4</v>
      </c>
      <c r="BQ104" s="5">
        <f t="shared" si="18"/>
        <v>6.9819999999999995E-4</v>
      </c>
      <c r="BR104" s="5">
        <f t="shared" si="18"/>
        <v>6.9819999999999995E-4</v>
      </c>
      <c r="BS104" s="7">
        <f t="shared" si="18"/>
        <v>6.9819999999999995E-4</v>
      </c>
      <c r="BT104" s="6">
        <f t="shared" si="18"/>
        <v>1.2664069260000002E-4</v>
      </c>
      <c r="BU104" s="5">
        <f t="shared" si="18"/>
        <v>1.2664069260000002E-4</v>
      </c>
      <c r="BV104" s="5">
        <f t="shared" si="18"/>
        <v>1.2664069260000002E-4</v>
      </c>
      <c r="BW104" s="5">
        <f t="shared" si="18"/>
        <v>1.2664069260000002E-4</v>
      </c>
      <c r="BX104" s="5">
        <f t="shared" si="18"/>
        <v>1.2664069260000002E-4</v>
      </c>
      <c r="BY104" s="5">
        <f t="shared" si="18"/>
        <v>1.2664069260000002E-4</v>
      </c>
      <c r="BZ104" s="5">
        <f t="shared" si="18"/>
        <v>1.2664069260000002E-4</v>
      </c>
      <c r="CA104" s="5">
        <f t="shared" si="18"/>
        <v>1.2664069260000002E-4</v>
      </c>
      <c r="CB104" s="5">
        <f t="shared" si="18"/>
        <v>1.2664069260000002E-4</v>
      </c>
      <c r="CC104" s="5">
        <f t="shared" si="18"/>
        <v>1.2664069260000002E-4</v>
      </c>
      <c r="CD104" s="5">
        <f t="shared" si="18"/>
        <v>1.2664069260000002E-4</v>
      </c>
      <c r="CE104" s="5">
        <f t="shared" si="18"/>
        <v>1.2664069260000002E-4</v>
      </c>
      <c r="CF104" s="5">
        <f t="shared" si="18"/>
        <v>1.2664069260000002E-4</v>
      </c>
      <c r="CG104" s="5">
        <f t="shared" si="18"/>
        <v>1.2664069260000002E-4</v>
      </c>
      <c r="CH104" s="4">
        <f t="shared" si="18"/>
        <v>1.2664069260000002E-4</v>
      </c>
    </row>
    <row r="105" spans="1:192">
      <c r="A105" s="2"/>
      <c r="B105" s="2" t="s">
        <v>603</v>
      </c>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t="s">
        <v>604</v>
      </c>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t="s">
        <v>605</v>
      </c>
      <c r="BQ105" s="2"/>
      <c r="BR105" s="2"/>
      <c r="BS105" s="2"/>
      <c r="BT105" s="2"/>
      <c r="BU105" s="2"/>
      <c r="BV105" s="2"/>
      <c r="BW105" s="2"/>
      <c r="BX105" s="2"/>
      <c r="BY105" s="2"/>
      <c r="BZ105" s="2"/>
      <c r="CA105" s="2"/>
      <c r="CB105" s="2"/>
      <c r="CC105" s="2"/>
      <c r="CD105" s="2"/>
      <c r="CE105" s="2"/>
      <c r="CF105" s="2"/>
      <c r="CG105" s="2"/>
      <c r="CH105" s="2"/>
    </row>
    <row r="106" spans="1:192">
      <c r="A106" s="2"/>
      <c r="B106" s="3" t="s">
        <v>606</v>
      </c>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row>
    <row r="107" spans="1:192" ht="15" customHeight="1">
      <c r="A107" s="2"/>
      <c r="B107" s="2"/>
      <c r="C107" s="2" t="s">
        <v>465</v>
      </c>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row>
    <row r="108" spans="1:192">
      <c r="A108" s="2"/>
      <c r="B108" s="2"/>
      <c r="C108" s="2" t="s">
        <v>466</v>
      </c>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row>
    <row r="109" spans="1:192">
      <c r="A109" s="2"/>
      <c r="B109" s="2"/>
      <c r="C109" s="2" t="s">
        <v>467</v>
      </c>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row>
    <row r="110" spans="1:192">
      <c r="A110" s="2"/>
      <c r="B110" s="2"/>
      <c r="C110" s="2" t="s">
        <v>468</v>
      </c>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row>
    <row r="111" spans="1:192">
      <c r="A111" s="2"/>
      <c r="B111" s="2"/>
      <c r="C111" s="2" t="s">
        <v>469</v>
      </c>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row>
    <row r="112" spans="1:192" ht="15" customHeight="1">
      <c r="A112" s="2"/>
      <c r="B112" s="2"/>
      <c r="C112" s="2" t="s">
        <v>472</v>
      </c>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row>
    <row r="113" spans="1:86">
      <c r="A113" s="2"/>
      <c r="B113" s="2"/>
      <c r="C113" s="2" t="s">
        <v>473</v>
      </c>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row>
    <row r="114" spans="1:86">
      <c r="A114" s="2"/>
      <c r="B114" s="2"/>
      <c r="C114" s="2" t="s">
        <v>474</v>
      </c>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row>
    <row r="115" spans="1:86">
      <c r="A115" s="2"/>
      <c r="B115" s="2"/>
      <c r="C115" s="2" t="s">
        <v>475</v>
      </c>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row>
    <row r="116" spans="1:86">
      <c r="A116" s="2"/>
      <c r="B116" s="2"/>
      <c r="C116" s="2" t="s">
        <v>476</v>
      </c>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row>
    <row r="117" spans="1:86">
      <c r="A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row>
    <row r="118" spans="1:86">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row>
    <row r="119" spans="1:86">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row>
    <row r="120" spans="1:86">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row>
    <row r="121" spans="1:86">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row>
    <row r="122" spans="1:86">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row>
    <row r="123" spans="1:86">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row>
    <row r="124" spans="1:86">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row>
    <row r="125" spans="1:86">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row>
    <row r="126" spans="1:8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row>
    <row r="127" spans="1:86">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row>
    <row r="128" spans="1:86">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row>
    <row r="129" spans="1:86">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row>
    <row r="130" spans="1:86">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row>
    <row r="131" spans="1:86">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row>
  </sheetData>
  <sheetProtection algorithmName="SHA-512" hashValue="L3YFF6FBC4DjguAKUbmgwhVruu0EUHYVV1hDIhidi8vk/6IvhIb+6G9F3EUFfKcExN7HPtoXTBMflLvnf7iAkQ==" saltValue="yFmDRJnMsqnLxCGf2mxoKA==" spinCount="100000" sheet="1" objects="1" scenarios="1"/>
  <mergeCells count="6">
    <mergeCell ref="BT1:CH1"/>
    <mergeCell ref="B1:AL1"/>
    <mergeCell ref="AM1:AP1"/>
    <mergeCell ref="AQ1:BE1"/>
    <mergeCell ref="BF1:BO1"/>
    <mergeCell ref="BP1:BS1"/>
  </mergeCells>
  <pageMargins left="0.7" right="0.7" top="0.75" bottom="0.75" header="0.3" footer="0.3"/>
  <pageSetup paperSize="17" scale="10" pageOrder="overThenDown"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36170-45C9-4614-8629-F78442AF9B25}">
  <sheetPr codeName="Sheet20">
    <pageSetUpPr fitToPage="1"/>
  </sheetPr>
  <dimension ref="A1:O55"/>
  <sheetViews>
    <sheetView zoomScale="75" zoomScaleNormal="75" zoomScaleSheetLayoutView="100" workbookViewId="0">
      <selection activeCell="R33" sqref="Q33:R33"/>
    </sheetView>
  </sheetViews>
  <sheetFormatPr defaultColWidth="9.1796875" defaultRowHeight="14.5"/>
  <cols>
    <col min="1" max="1" width="34.453125" style="61" customWidth="1"/>
    <col min="2" max="2" width="29.26953125" style="61" customWidth="1"/>
    <col min="3" max="8" width="20.54296875" style="61" customWidth="1"/>
    <col min="9" max="9" width="29.453125" style="61" customWidth="1"/>
    <col min="10" max="15" width="20.54296875" style="61" customWidth="1"/>
    <col min="16" max="16384" width="9.1796875" style="61"/>
  </cols>
  <sheetData>
    <row r="1" spans="1:15" ht="19" thickBot="1">
      <c r="A1" s="60" t="s">
        <v>403</v>
      </c>
    </row>
    <row r="2" spans="1:15">
      <c r="A2" s="62"/>
      <c r="B2" s="63" t="s">
        <v>63</v>
      </c>
      <c r="C2" s="64" t="s">
        <v>607</v>
      </c>
      <c r="D2" s="65"/>
      <c r="E2" s="65"/>
      <c r="F2" s="65"/>
      <c r="G2" s="65"/>
      <c r="H2" s="66"/>
      <c r="I2" s="63" t="s">
        <v>63</v>
      </c>
      <c r="J2" s="64" t="s">
        <v>607</v>
      </c>
      <c r="K2" s="65"/>
      <c r="L2" s="65"/>
      <c r="M2" s="65"/>
      <c r="N2" s="65"/>
      <c r="O2" s="66"/>
    </row>
    <row r="3" spans="1:15">
      <c r="A3" s="62"/>
      <c r="B3" s="67" t="s">
        <v>64</v>
      </c>
      <c r="C3" s="68"/>
      <c r="D3" s="62"/>
      <c r="E3" s="62"/>
      <c r="F3" s="62"/>
      <c r="G3" s="62"/>
      <c r="H3" s="69"/>
      <c r="I3" s="67" t="s">
        <v>608</v>
      </c>
      <c r="J3" s="68"/>
      <c r="K3" s="62"/>
      <c r="L3" s="62"/>
      <c r="M3" s="62"/>
      <c r="N3" s="62"/>
      <c r="O3" s="69"/>
    </row>
    <row r="4" spans="1:15">
      <c r="A4" s="62"/>
      <c r="B4" s="67" t="s">
        <v>65</v>
      </c>
      <c r="C4" s="68"/>
      <c r="D4" s="62"/>
      <c r="E4" s="62"/>
      <c r="F4" s="62"/>
      <c r="G4" s="62"/>
      <c r="H4" s="69"/>
      <c r="I4" s="67" t="s">
        <v>65</v>
      </c>
      <c r="J4" s="68"/>
      <c r="K4" s="62"/>
      <c r="L4" s="62"/>
      <c r="M4" s="62"/>
      <c r="N4" s="62"/>
      <c r="O4" s="69"/>
    </row>
    <row r="5" spans="1:15">
      <c r="A5" s="62"/>
      <c r="B5" s="70" t="s">
        <v>66</v>
      </c>
      <c r="C5" s="71">
        <v>8760</v>
      </c>
      <c r="D5" s="62"/>
      <c r="E5" s="62"/>
      <c r="F5" s="62"/>
      <c r="G5" s="62"/>
      <c r="H5" s="69"/>
      <c r="I5" s="70" t="s">
        <v>66</v>
      </c>
      <c r="J5" s="71">
        <v>8760</v>
      </c>
      <c r="K5" s="62"/>
      <c r="L5" s="62"/>
      <c r="M5" s="62"/>
      <c r="N5" s="62"/>
      <c r="O5" s="69"/>
    </row>
    <row r="6" spans="1:15">
      <c r="A6" s="62"/>
      <c r="B6" s="70" t="s">
        <v>67</v>
      </c>
      <c r="C6" s="71"/>
      <c r="D6" s="62"/>
      <c r="E6" s="62"/>
      <c r="F6" s="62"/>
      <c r="G6" s="62"/>
      <c r="H6" s="69"/>
      <c r="I6" s="70" t="s">
        <v>67</v>
      </c>
      <c r="J6" s="71"/>
      <c r="K6" s="62"/>
      <c r="L6" s="62"/>
      <c r="M6" s="62"/>
      <c r="N6" s="62"/>
      <c r="O6" s="69"/>
    </row>
    <row r="7" spans="1:15" ht="15" thickBot="1">
      <c r="A7" s="62"/>
      <c r="B7" s="72" t="s">
        <v>68</v>
      </c>
      <c r="C7" s="73"/>
      <c r="D7" s="74"/>
      <c r="E7" s="74"/>
      <c r="F7" s="74"/>
      <c r="G7" s="74"/>
      <c r="H7" s="75"/>
      <c r="I7" s="72" t="s">
        <v>68</v>
      </c>
      <c r="J7" s="73"/>
      <c r="K7" s="74"/>
      <c r="L7" s="74"/>
      <c r="M7" s="74"/>
      <c r="N7" s="74"/>
      <c r="O7" s="75"/>
    </row>
    <row r="8" spans="1:15" s="80" customFormat="1" ht="65.25" customHeight="1" thickBot="1">
      <c r="A8" s="76" t="s">
        <v>70</v>
      </c>
      <c r="B8" s="77" t="s">
        <v>71</v>
      </c>
      <c r="C8" s="77" t="s">
        <v>72</v>
      </c>
      <c r="D8" s="77" t="s">
        <v>73</v>
      </c>
      <c r="E8" s="77" t="s">
        <v>278</v>
      </c>
      <c r="F8" s="78" t="s">
        <v>279</v>
      </c>
      <c r="G8" s="78" t="s">
        <v>280</v>
      </c>
      <c r="H8" s="79" t="s">
        <v>281</v>
      </c>
      <c r="I8" s="77" t="s">
        <v>71</v>
      </c>
      <c r="J8" s="77" t="s">
        <v>72</v>
      </c>
      <c r="K8" s="77" t="s">
        <v>73</v>
      </c>
      <c r="L8" s="77" t="s">
        <v>278</v>
      </c>
      <c r="M8" s="78" t="s">
        <v>279</v>
      </c>
      <c r="N8" s="78" t="s">
        <v>280</v>
      </c>
      <c r="O8" s="79" t="s">
        <v>281</v>
      </c>
    </row>
    <row r="9" spans="1:15">
      <c r="A9" s="81" t="s">
        <v>19</v>
      </c>
      <c r="B9" s="82" t="str">
        <f>IFERROR(INDEX('Emission Factors'!$A$2:$CH$104,MATCH($A9,'Emission Factors'!$A$2:$A$104,0),MATCH(C$7,'Emission Factors'!$A$2:$CH$2,0)),"")</f>
        <v/>
      </c>
      <c r="C9" s="83"/>
      <c r="D9" s="84"/>
      <c r="E9" s="85" t="e">
        <f t="shared" ref="E9:E17" si="0">IF(C9&gt;0,C9,B9)*C$4</f>
        <v>#VALUE!</v>
      </c>
      <c r="F9" s="85" t="e">
        <f t="shared" ref="F9:F17" si="1">IF(C9&gt;0,C9,B9)*C$4*(1-D9)</f>
        <v>#VALUE!</v>
      </c>
      <c r="G9" s="85" t="e">
        <f t="shared" ref="G9:G17" si="2">IF(C9&gt;0,C9,B9)*C$4*C$5/2000</f>
        <v>#VALUE!</v>
      </c>
      <c r="H9" s="86" t="e">
        <f t="shared" ref="H9:H17" si="3">IF(C9&gt;0,C9,B9)*C$4*(1-D9)*C$6/2000</f>
        <v>#VALUE!</v>
      </c>
      <c r="I9" s="82" t="str">
        <f>IFERROR(INDEX('Emission Factors'!$A$2:$CH$104,MATCH($A9,'Emission Factors'!$A$2:$A$104,0),MATCH(J$7,'Emission Factors'!$A$2:$CH$2,0)),"")</f>
        <v/>
      </c>
      <c r="J9" s="83"/>
      <c r="K9" s="64"/>
      <c r="L9" s="85" t="e">
        <f t="shared" ref="L9:L17" si="4">IF(J9&gt;0,J9,I9)*J$4</f>
        <v>#VALUE!</v>
      </c>
      <c r="M9" s="85" t="e">
        <f t="shared" ref="M9:M17" si="5">IF(J9&gt;0,J9,I9)*J$4*(1-K9)</f>
        <v>#VALUE!</v>
      </c>
      <c r="N9" s="85" t="e">
        <f t="shared" ref="N9:N17" si="6">IF(J9&gt;0,J9,I9)*J$4*J$5/2000</f>
        <v>#VALUE!</v>
      </c>
      <c r="O9" s="87" t="e">
        <f t="shared" ref="O9:O17" si="7">IF(J9&gt;0,J9,I9)*J$4*(1-K9)*J$6/2000</f>
        <v>#VALUE!</v>
      </c>
    </row>
    <row r="10" spans="1:15">
      <c r="A10" s="88" t="s">
        <v>77</v>
      </c>
      <c r="B10" s="89" t="str">
        <f>IFERROR(INDEX('Emission Factors'!$A$2:$CH$104,MATCH($A10,'Emission Factors'!$A$2:$A$104,0),MATCH(C$7,'Emission Factors'!$A$2:$CH$2,0)),"")</f>
        <v/>
      </c>
      <c r="C10" s="90"/>
      <c r="D10" s="91"/>
      <c r="E10" s="92" t="e">
        <f t="shared" si="0"/>
        <v>#VALUE!</v>
      </c>
      <c r="F10" s="92" t="e">
        <f t="shared" si="1"/>
        <v>#VALUE!</v>
      </c>
      <c r="G10" s="92" t="e">
        <f t="shared" si="2"/>
        <v>#VALUE!</v>
      </c>
      <c r="H10" s="93" t="e">
        <f t="shared" si="3"/>
        <v>#VALUE!</v>
      </c>
      <c r="I10" s="89" t="str">
        <f>IFERROR(INDEX('Emission Factors'!$A$2:$CH$104,MATCH($A10,'Emission Factors'!$A$2:$A$104,0),MATCH(J$7,'Emission Factors'!$A$2:$CH$2,0)),"")</f>
        <v/>
      </c>
      <c r="J10" s="90"/>
      <c r="K10" s="68"/>
      <c r="L10" s="92" t="e">
        <f t="shared" si="4"/>
        <v>#VALUE!</v>
      </c>
      <c r="M10" s="92" t="e">
        <f t="shared" si="5"/>
        <v>#VALUE!</v>
      </c>
      <c r="N10" s="92" t="e">
        <f t="shared" si="6"/>
        <v>#VALUE!</v>
      </c>
      <c r="O10" s="94" t="e">
        <f t="shared" si="7"/>
        <v>#VALUE!</v>
      </c>
    </row>
    <row r="11" spans="1:15">
      <c r="A11" s="88" t="s">
        <v>78</v>
      </c>
      <c r="B11" s="89" t="str">
        <f>IFERROR(INDEX('Emission Factors'!$A$2:$CH$104,MATCH($A11,'Emission Factors'!$A$2:$A$104,0),MATCH(C$7,'Emission Factors'!$A$2:$CH$2,0)),"")</f>
        <v/>
      </c>
      <c r="C11" s="90"/>
      <c r="D11" s="91"/>
      <c r="E11" s="92" t="e">
        <f t="shared" si="0"/>
        <v>#VALUE!</v>
      </c>
      <c r="F11" s="92" t="e">
        <f t="shared" si="1"/>
        <v>#VALUE!</v>
      </c>
      <c r="G11" s="92" t="e">
        <f t="shared" si="2"/>
        <v>#VALUE!</v>
      </c>
      <c r="H11" s="93" t="e">
        <f t="shared" si="3"/>
        <v>#VALUE!</v>
      </c>
      <c r="I11" s="89" t="str">
        <f>IFERROR(INDEX('Emission Factors'!$A$2:$CH$104,MATCH($A11,'Emission Factors'!$A$2:$A$104,0),MATCH(J$7,'Emission Factors'!$A$2:$CH$2,0)),"")</f>
        <v/>
      </c>
      <c r="J11" s="90"/>
      <c r="K11" s="68"/>
      <c r="L11" s="92" t="e">
        <f t="shared" si="4"/>
        <v>#VALUE!</v>
      </c>
      <c r="M11" s="92" t="e">
        <f t="shared" si="5"/>
        <v>#VALUE!</v>
      </c>
      <c r="N11" s="92" t="e">
        <f t="shared" si="6"/>
        <v>#VALUE!</v>
      </c>
      <c r="O11" s="94" t="e">
        <f t="shared" si="7"/>
        <v>#VALUE!</v>
      </c>
    </row>
    <row r="12" spans="1:15">
      <c r="A12" s="88" t="s">
        <v>79</v>
      </c>
      <c r="B12" s="89" t="str">
        <f>IFERROR(INDEX('Emission Factors'!$A$2:$CH$104,MATCH($A12,'Emission Factors'!$A$2:$A$104,0),MATCH(C$7,'Emission Factors'!$A$2:$CH$2,0)),"")</f>
        <v/>
      </c>
      <c r="C12" s="90"/>
      <c r="D12" s="91"/>
      <c r="E12" s="92" t="e">
        <f t="shared" si="0"/>
        <v>#VALUE!</v>
      </c>
      <c r="F12" s="92" t="e">
        <f t="shared" si="1"/>
        <v>#VALUE!</v>
      </c>
      <c r="G12" s="92" t="e">
        <f t="shared" si="2"/>
        <v>#VALUE!</v>
      </c>
      <c r="H12" s="93" t="e">
        <f t="shared" si="3"/>
        <v>#VALUE!</v>
      </c>
      <c r="I12" s="89" t="str">
        <f>IFERROR(INDEX('Emission Factors'!$A$2:$CH$104,MATCH($A12,'Emission Factors'!$A$2:$A$104,0),MATCH(J$7,'Emission Factors'!$A$2:$CH$2,0)),"")</f>
        <v/>
      </c>
      <c r="J12" s="90"/>
      <c r="K12" s="68"/>
      <c r="L12" s="92" t="e">
        <f t="shared" si="4"/>
        <v>#VALUE!</v>
      </c>
      <c r="M12" s="92" t="e">
        <f t="shared" si="5"/>
        <v>#VALUE!</v>
      </c>
      <c r="N12" s="92" t="e">
        <f t="shared" si="6"/>
        <v>#VALUE!</v>
      </c>
      <c r="O12" s="94" t="e">
        <f t="shared" si="7"/>
        <v>#VALUE!</v>
      </c>
    </row>
    <row r="13" spans="1:15">
      <c r="A13" s="88" t="s">
        <v>80</v>
      </c>
      <c r="B13" s="89" t="str">
        <f>IFERROR(INDEX('Emission Factors'!$A$2:$CH$104,MATCH($A13,'Emission Factors'!$A$2:$A$104,0),MATCH(C$7,'Emission Factors'!$A$2:$CH$2,0)),"")</f>
        <v/>
      </c>
      <c r="C13" s="90"/>
      <c r="D13" s="91"/>
      <c r="E13" s="92" t="e">
        <f t="shared" si="0"/>
        <v>#VALUE!</v>
      </c>
      <c r="F13" s="92" t="e">
        <f t="shared" si="1"/>
        <v>#VALUE!</v>
      </c>
      <c r="G13" s="92" t="e">
        <f t="shared" si="2"/>
        <v>#VALUE!</v>
      </c>
      <c r="H13" s="93" t="e">
        <f t="shared" si="3"/>
        <v>#VALUE!</v>
      </c>
      <c r="I13" s="89" t="str">
        <f>IFERROR(INDEX('Emission Factors'!$A$2:$CH$104,MATCH($A13,'Emission Factors'!$A$2:$A$104,0),MATCH(J$7,'Emission Factors'!$A$2:$CH$2,0)),"")</f>
        <v/>
      </c>
      <c r="J13" s="90"/>
      <c r="K13" s="68"/>
      <c r="L13" s="92" t="e">
        <f t="shared" si="4"/>
        <v>#VALUE!</v>
      </c>
      <c r="M13" s="92" t="e">
        <f t="shared" si="5"/>
        <v>#VALUE!</v>
      </c>
      <c r="N13" s="92" t="e">
        <f t="shared" si="6"/>
        <v>#VALUE!</v>
      </c>
      <c r="O13" s="94" t="e">
        <f t="shared" si="7"/>
        <v>#VALUE!</v>
      </c>
    </row>
    <row r="14" spans="1:15">
      <c r="A14" s="88" t="s">
        <v>81</v>
      </c>
      <c r="B14" s="89" t="str">
        <f>IFERROR(INDEX('Emission Factors'!$A$2:$CH$104,MATCH($A14,'Emission Factors'!$A$2:$A$104,0),MATCH(C$7,'Emission Factors'!$A$2:$CH$2,0)),"")</f>
        <v/>
      </c>
      <c r="C14" s="90"/>
      <c r="D14" s="91"/>
      <c r="E14" s="92" t="e">
        <f t="shared" si="0"/>
        <v>#VALUE!</v>
      </c>
      <c r="F14" s="92" t="e">
        <f t="shared" si="1"/>
        <v>#VALUE!</v>
      </c>
      <c r="G14" s="92" t="e">
        <f t="shared" si="2"/>
        <v>#VALUE!</v>
      </c>
      <c r="H14" s="93" t="e">
        <f t="shared" si="3"/>
        <v>#VALUE!</v>
      </c>
      <c r="I14" s="89" t="str">
        <f>IFERROR(INDEX('Emission Factors'!$A$2:$CH$104,MATCH($A14,'Emission Factors'!$A$2:$A$104,0),MATCH(J$7,'Emission Factors'!$A$2:$CH$2,0)),"")</f>
        <v/>
      </c>
      <c r="J14" s="90"/>
      <c r="K14" s="68"/>
      <c r="L14" s="92" t="e">
        <f t="shared" si="4"/>
        <v>#VALUE!</v>
      </c>
      <c r="M14" s="92" t="e">
        <f t="shared" si="5"/>
        <v>#VALUE!</v>
      </c>
      <c r="N14" s="92" t="e">
        <f t="shared" si="6"/>
        <v>#VALUE!</v>
      </c>
      <c r="O14" s="94" t="e">
        <f t="shared" si="7"/>
        <v>#VALUE!</v>
      </c>
    </row>
    <row r="15" spans="1:15">
      <c r="A15" s="88" t="s">
        <v>82</v>
      </c>
      <c r="B15" s="89" t="str">
        <f>IFERROR(INDEX('Emission Factors'!$A$2:$CH$104,MATCH($A15,'Emission Factors'!$A$2:$A$104,0),MATCH(C$7,'Emission Factors'!$A$2:$CH$2,0)),"")</f>
        <v/>
      </c>
      <c r="C15" s="90"/>
      <c r="D15" s="91"/>
      <c r="E15" s="92" t="e">
        <f t="shared" si="0"/>
        <v>#VALUE!</v>
      </c>
      <c r="F15" s="92" t="e">
        <f t="shared" si="1"/>
        <v>#VALUE!</v>
      </c>
      <c r="G15" s="92" t="e">
        <f t="shared" si="2"/>
        <v>#VALUE!</v>
      </c>
      <c r="H15" s="93" t="e">
        <f t="shared" si="3"/>
        <v>#VALUE!</v>
      </c>
      <c r="I15" s="89" t="str">
        <f>IFERROR(INDEX('Emission Factors'!$A$2:$CH$104,MATCH($A15,'Emission Factors'!$A$2:$A$104,0),MATCH(J$7,'Emission Factors'!$A$2:$CH$2,0)),"")</f>
        <v/>
      </c>
      <c r="J15" s="90"/>
      <c r="K15" s="68"/>
      <c r="L15" s="92" t="e">
        <f t="shared" si="4"/>
        <v>#VALUE!</v>
      </c>
      <c r="M15" s="92" t="e">
        <f t="shared" si="5"/>
        <v>#VALUE!</v>
      </c>
      <c r="N15" s="92" t="e">
        <f t="shared" si="6"/>
        <v>#VALUE!</v>
      </c>
      <c r="O15" s="94" t="e">
        <f t="shared" si="7"/>
        <v>#VALUE!</v>
      </c>
    </row>
    <row r="16" spans="1:15">
      <c r="A16" s="88" t="s">
        <v>83</v>
      </c>
      <c r="B16" s="89" t="str">
        <f>IFERROR(INDEX('Emission Factors'!$A$2:$CH$104,MATCH($A16,'Emission Factors'!$A$2:$A$104,0),MATCH(C$7,'Emission Factors'!$A$2:$CH$2,0)),"")</f>
        <v/>
      </c>
      <c r="C16" s="90"/>
      <c r="D16" s="91"/>
      <c r="E16" s="92" t="e">
        <f t="shared" si="0"/>
        <v>#VALUE!</v>
      </c>
      <c r="F16" s="92" t="e">
        <f t="shared" si="1"/>
        <v>#VALUE!</v>
      </c>
      <c r="G16" s="92" t="e">
        <f t="shared" si="2"/>
        <v>#VALUE!</v>
      </c>
      <c r="H16" s="93" t="e">
        <f t="shared" si="3"/>
        <v>#VALUE!</v>
      </c>
      <c r="I16" s="89" t="str">
        <f>IFERROR(INDEX('Emission Factors'!$A$2:$CH$104,MATCH($A16,'Emission Factors'!$A$2:$A$104,0),MATCH(J$7,'Emission Factors'!$A$2:$CH$2,0)),"")</f>
        <v/>
      </c>
      <c r="J16" s="90"/>
      <c r="K16" s="68"/>
      <c r="L16" s="92" t="e">
        <f t="shared" si="4"/>
        <v>#VALUE!</v>
      </c>
      <c r="M16" s="92" t="e">
        <f t="shared" si="5"/>
        <v>#VALUE!</v>
      </c>
      <c r="N16" s="92" t="e">
        <f t="shared" si="6"/>
        <v>#VALUE!</v>
      </c>
      <c r="O16" s="94" t="e">
        <f t="shared" si="7"/>
        <v>#VALUE!</v>
      </c>
    </row>
    <row r="17" spans="1:15" ht="15" thickBot="1">
      <c r="A17" s="95" t="s">
        <v>84</v>
      </c>
      <c r="B17" s="96" t="str">
        <f>IFERROR(INDEX('Emission Factors'!$A$2:$CH$104,MATCH($A17,'Emission Factors'!$A$2:$A$104,0),MATCH(C$7,'Emission Factors'!$A$2:$CH$2,0)),"")</f>
        <v/>
      </c>
      <c r="C17" s="97"/>
      <c r="D17" s="98"/>
      <c r="E17" s="99" t="e">
        <f t="shared" si="0"/>
        <v>#VALUE!</v>
      </c>
      <c r="F17" s="99" t="e">
        <f t="shared" si="1"/>
        <v>#VALUE!</v>
      </c>
      <c r="G17" s="99" t="e">
        <f t="shared" si="2"/>
        <v>#VALUE!</v>
      </c>
      <c r="H17" s="100" t="e">
        <f t="shared" si="3"/>
        <v>#VALUE!</v>
      </c>
      <c r="I17" s="96" t="str">
        <f>IFERROR(INDEX('Emission Factors'!$A$2:$CH$104,MATCH($A17,'Emission Factors'!$A$2:$A$104,0),MATCH(J$7,'Emission Factors'!$A$2:$CH$2,0)),"")</f>
        <v/>
      </c>
      <c r="J17" s="97"/>
      <c r="K17" s="71"/>
      <c r="L17" s="99" t="e">
        <f t="shared" si="4"/>
        <v>#VALUE!</v>
      </c>
      <c r="M17" s="99" t="e">
        <f t="shared" si="5"/>
        <v>#VALUE!</v>
      </c>
      <c r="N17" s="99" t="e">
        <f t="shared" si="6"/>
        <v>#VALUE!</v>
      </c>
      <c r="O17" s="101" t="e">
        <f t="shared" si="7"/>
        <v>#VALUE!</v>
      </c>
    </row>
    <row r="18" spans="1:15">
      <c r="A18" s="81" t="s">
        <v>85</v>
      </c>
      <c r="B18" s="82" t="str">
        <f>IFERROR(INDEX('Emission Factors'!$A$2:$CH$104,MATCH($A18,'Emission Factors'!$A$2:$A$104,0),MATCH(C$7,'Emission Factors'!$A$2:$CH$2,0))*2.2046,"")</f>
        <v/>
      </c>
      <c r="C18" s="83"/>
      <c r="D18" s="84"/>
      <c r="E18" s="85" t="e">
        <f>IF(C18&gt;0,C18,B18)*C$3</f>
        <v>#VALUE!</v>
      </c>
      <c r="F18" s="85" t="e">
        <f>IF(C18&gt;0,C18,B18)*C$3*(1-D18)</f>
        <v>#VALUE!</v>
      </c>
      <c r="G18" s="85" t="e">
        <f>IF(C18&gt;0,C18,B18)*C$3*C$5/2000</f>
        <v>#VALUE!</v>
      </c>
      <c r="H18" s="86" t="e">
        <f>IF(C18&gt;0,C18,B18)*C$3*(1-D18)*C$6/2000</f>
        <v>#VALUE!</v>
      </c>
      <c r="I18" s="82" t="str">
        <f>IFERROR(INDEX('Emission Factors'!$A$2:$CH$104,MATCH($A18,'Emission Factors'!$A$2:$A$104,0),MATCH(J$7,'Emission Factors'!$A$2:$CH$2,0))*2.2046,"")</f>
        <v/>
      </c>
      <c r="J18" s="83"/>
      <c r="K18" s="64"/>
      <c r="L18" s="85" t="e">
        <f>IF(J18&gt;0,J18,I18)*J$3</f>
        <v>#VALUE!</v>
      </c>
      <c r="M18" s="85" t="e">
        <f>IF(J18&gt;0,J18,I18)*J$3*(1-K18)</f>
        <v>#VALUE!</v>
      </c>
      <c r="N18" s="85" t="e">
        <f>IF(J18&gt;0,J18,I18)*J$3*J$5/2000</f>
        <v>#VALUE!</v>
      </c>
      <c r="O18" s="87" t="e">
        <f>IF(J18&gt;0,J18,I18)*J$3*(1-K18)*J$6/2000</f>
        <v>#VALUE!</v>
      </c>
    </row>
    <row r="19" spans="1:15">
      <c r="A19" s="88" t="s">
        <v>86</v>
      </c>
      <c r="B19" s="89" t="str">
        <f>IFERROR(INDEX('Emission Factors'!$A$2:$CH$104,MATCH($A19,'Emission Factors'!$A$2:$A$104,0),MATCH(C$7,'Emission Factors'!$A$2:$CH$2,0))*2.2046,"")</f>
        <v/>
      </c>
      <c r="C19" s="90"/>
      <c r="D19" s="91"/>
      <c r="E19" s="92" t="e">
        <f>IF(C19&gt;0,C19,B19)*C$3</f>
        <v>#VALUE!</v>
      </c>
      <c r="F19" s="92" t="e">
        <f>IF(C19&gt;0,C19,B19)*C$3*(1-D19)</f>
        <v>#VALUE!</v>
      </c>
      <c r="G19" s="92" t="e">
        <f>IF(C19&gt;0,C19,B19)*C$3*C$5/2000</f>
        <v>#VALUE!</v>
      </c>
      <c r="H19" s="93" t="e">
        <f>IF(C19&gt;0,C19,B19)*C$3*(1-D19)*C$6/2000</f>
        <v>#VALUE!</v>
      </c>
      <c r="I19" s="89" t="str">
        <f>IFERROR(INDEX('Emission Factors'!$A$2:$CH$104,MATCH($A19,'Emission Factors'!$A$2:$A$104,0),MATCH(J$7,'Emission Factors'!$A$2:$CH$2,0))*2.2046,"")</f>
        <v/>
      </c>
      <c r="J19" s="90"/>
      <c r="K19" s="68"/>
      <c r="L19" s="92" t="e">
        <f>IF(J19&gt;0,J19,I19)*J$3</f>
        <v>#VALUE!</v>
      </c>
      <c r="M19" s="92" t="e">
        <f>IF(J19&gt;0,J19,I19)*J$3*(1-K19)</f>
        <v>#VALUE!</v>
      </c>
      <c r="N19" s="92" t="e">
        <f>IF(J19&gt;0,J19,I19)*J$3*J$5/2000</f>
        <v>#VALUE!</v>
      </c>
      <c r="O19" s="94" t="e">
        <f>IF(J19&gt;0,J19,I19)*J$3*(1-K19)*J$6/2000</f>
        <v>#VALUE!</v>
      </c>
    </row>
    <row r="20" spans="1:15">
      <c r="A20" s="88" t="s">
        <v>87</v>
      </c>
      <c r="B20" s="89" t="str">
        <f>IFERROR(INDEX('Emission Factors'!$A$2:$CH$104,MATCH($A20,'Emission Factors'!$A$2:$A$104,0),MATCH(C$7,'Emission Factors'!$A$2:$CH$2,0))*2.2046,"")</f>
        <v/>
      </c>
      <c r="C20" s="90"/>
      <c r="D20" s="91"/>
      <c r="E20" s="92" t="e">
        <f>IF(C20&gt;0,C20,B20)*C$3</f>
        <v>#VALUE!</v>
      </c>
      <c r="F20" s="92" t="e">
        <f>IF(C20&gt;0,C20,B20)*C$3*(1-D20)</f>
        <v>#VALUE!</v>
      </c>
      <c r="G20" s="92" t="e">
        <f>IF(C20&gt;0,C20,B20)*C$3*C$5/2000</f>
        <v>#VALUE!</v>
      </c>
      <c r="H20" s="93" t="e">
        <f>IF(C20&gt;0,C20,B20)*C$3*(1-D20)*C$6/2000</f>
        <v>#VALUE!</v>
      </c>
      <c r="I20" s="89" t="str">
        <f>IFERROR(INDEX('Emission Factors'!$A$2:$CH$104,MATCH($A20,'Emission Factors'!$A$2:$A$104,0),MATCH(J$7,'Emission Factors'!$A$2:$CH$2,0))*2.2046,"")</f>
        <v/>
      </c>
      <c r="J20" s="90"/>
      <c r="K20" s="68"/>
      <c r="L20" s="92" t="e">
        <f>IF(J20&gt;0,J20,I20)*J$3</f>
        <v>#VALUE!</v>
      </c>
      <c r="M20" s="92" t="e">
        <f>IF(J20&gt;0,J20,I20)*J$3*(1-K20)</f>
        <v>#VALUE!</v>
      </c>
      <c r="N20" s="92" t="e">
        <f>IF(J20&gt;0,J20,I20)*J$3*J$5/2000</f>
        <v>#VALUE!</v>
      </c>
      <c r="O20" s="94" t="e">
        <f>IF(J20&gt;0,J20,I20)*J$3*(1-K20)*J$6/2000</f>
        <v>#VALUE!</v>
      </c>
    </row>
    <row r="21" spans="1:15" ht="15" thickBot="1">
      <c r="A21" s="95" t="s">
        <v>88</v>
      </c>
      <c r="B21" s="102" t="str">
        <f>IFERROR(INDEX('Emission Factors'!$A$2:$CH$104,MATCH($A21,'Emission Factors'!$A$2:$A$104,0),MATCH(C$7,'Emission Factors'!$A$2:$CH$2,0))*2.2046,"")</f>
        <v/>
      </c>
      <c r="C21" s="103"/>
      <c r="D21" s="104"/>
      <c r="E21" s="105" t="e">
        <f>IF(C21&gt;0,C21,B21)*C$3</f>
        <v>#VALUE!</v>
      </c>
      <c r="F21" s="105" t="e">
        <f>IF(C21&gt;0,C21,B21)*C$3*(1-D21)</f>
        <v>#VALUE!</v>
      </c>
      <c r="G21" s="105" t="e">
        <f>IF(C21&gt;0,C21,B21)*C$3*C$5/2000</f>
        <v>#VALUE!</v>
      </c>
      <c r="H21" s="106" t="e">
        <f>IF(C21&gt;0,C21,B21)*C$3*(1-D21)*C$6/2000</f>
        <v>#VALUE!</v>
      </c>
      <c r="I21" s="102" t="str">
        <f>IFERROR(INDEX('Emission Factors'!$A$2:$CH$104,MATCH($A21,'Emission Factors'!$A$2:$A$104,0),MATCH(J$7,'Emission Factors'!$A$2:$CH$2,0))*2.2046,"")</f>
        <v/>
      </c>
      <c r="J21" s="103"/>
      <c r="K21" s="107"/>
      <c r="L21" s="105" t="e">
        <f>IF(J21&gt;0,J21,I21)*J$3</f>
        <v>#VALUE!</v>
      </c>
      <c r="M21" s="105" t="e">
        <f>IF(J21&gt;0,J21,I21)*J$3*(1-K21)</f>
        <v>#VALUE!</v>
      </c>
      <c r="N21" s="105" t="e">
        <f>IF(J21&gt;0,J21,I21)*J$3*J$5/2000</f>
        <v>#VALUE!</v>
      </c>
      <c r="O21" s="108" t="e">
        <f>IF(J21&gt;0,J21,I21)*J$3*(1-K21)*J$6/2000</f>
        <v>#VALUE!</v>
      </c>
    </row>
    <row r="22" spans="1:15">
      <c r="A22" s="81" t="s">
        <v>89</v>
      </c>
      <c r="B22" s="109" t="str">
        <f>IFERROR(INDEX('Emission Factors'!$A$2:$CH$104,MATCH($A22,'Emission Factors'!$A$2:$A$104,0),MATCH(C$7,'Emission Factors'!$A$2:$CH$2,0)),"")</f>
        <v/>
      </c>
      <c r="C22" s="83"/>
      <c r="D22" s="84"/>
      <c r="E22" s="110" t="e">
        <f t="shared" ref="E22:E37" si="8">IF(C22&gt;0,C22,B22)*C$4</f>
        <v>#VALUE!</v>
      </c>
      <c r="F22" s="110" t="e">
        <f t="shared" ref="F22:F37" si="9">IF(C22&gt;0,C22,B22)*C$4*(1-D22)</f>
        <v>#VALUE!</v>
      </c>
      <c r="G22" s="110" t="e">
        <f t="shared" ref="G22:G37" si="10">IF(C22&gt;0,C22,B22)*C$4*C$5/2000</f>
        <v>#VALUE!</v>
      </c>
      <c r="H22" s="111" t="e">
        <f t="shared" ref="H22:H37" si="11">IF(C22&gt;0,C22,B22)*C$4*(1-D22)*C$6/2000</f>
        <v>#VALUE!</v>
      </c>
      <c r="I22" s="109" t="str">
        <f>IFERROR(INDEX('Emission Factors'!$A$2:$CH$104,MATCH($A22,'Emission Factors'!$A$2:$A$104,0),MATCH(J$7,'Emission Factors'!$A$2:$CH$2,0)),"")</f>
        <v/>
      </c>
      <c r="J22" s="83"/>
      <c r="K22" s="64"/>
      <c r="L22" s="110" t="e">
        <f t="shared" ref="L22:L37" si="12">IF(J22&gt;0,J22,I22)*J$4</f>
        <v>#VALUE!</v>
      </c>
      <c r="M22" s="110" t="e">
        <f t="shared" ref="M22:M37" si="13">IF(J22&gt;0,J22,I22)*J$4*(1-K22)</f>
        <v>#VALUE!</v>
      </c>
      <c r="N22" s="110" t="e">
        <f t="shared" ref="N22:N37" si="14">IF(J22&gt;0,J22,I22)*J$4*J$5/2000</f>
        <v>#VALUE!</v>
      </c>
      <c r="O22" s="112" t="e">
        <f t="shared" ref="O22:O37" si="15">IF(J22&gt;0,J22,I22)*J$4*(1-K22)*J$6/2000</f>
        <v>#VALUE!</v>
      </c>
    </row>
    <row r="23" spans="1:15">
      <c r="A23" s="113" t="s">
        <v>90</v>
      </c>
      <c r="B23" s="109" t="str">
        <f>IFERROR(INDEX('Emission Factors'!$A$2:$CH$104,MATCH($A23,'Emission Factors'!$A$2:$A$104,0),MATCH(C$7,'Emission Factors'!$A$2:$CH$2,0)),"")</f>
        <v/>
      </c>
      <c r="C23" s="114"/>
      <c r="D23" s="115"/>
      <c r="E23" s="110" t="e">
        <f t="shared" si="8"/>
        <v>#VALUE!</v>
      </c>
      <c r="F23" s="110" t="e">
        <f t="shared" si="9"/>
        <v>#VALUE!</v>
      </c>
      <c r="G23" s="110" t="e">
        <f t="shared" si="10"/>
        <v>#VALUE!</v>
      </c>
      <c r="H23" s="111" t="e">
        <f t="shared" si="11"/>
        <v>#VALUE!</v>
      </c>
      <c r="I23" s="109" t="str">
        <f>IFERROR(INDEX('Emission Factors'!$A$2:$CH$104,MATCH($A23,'Emission Factors'!$A$2:$A$104,0),MATCH(J$7,'Emission Factors'!$A$2:$CH$2,0)),"")</f>
        <v/>
      </c>
      <c r="J23" s="114"/>
      <c r="K23" s="116"/>
      <c r="L23" s="110" t="e">
        <f t="shared" si="12"/>
        <v>#VALUE!</v>
      </c>
      <c r="M23" s="110" t="e">
        <f t="shared" si="13"/>
        <v>#VALUE!</v>
      </c>
      <c r="N23" s="110" t="e">
        <f t="shared" si="14"/>
        <v>#VALUE!</v>
      </c>
      <c r="O23" s="112" t="e">
        <f t="shared" si="15"/>
        <v>#VALUE!</v>
      </c>
    </row>
    <row r="24" spans="1:15">
      <c r="A24" s="88" t="s">
        <v>91</v>
      </c>
      <c r="B24" s="89" t="str">
        <f>IFERROR(INDEX('Emission Factors'!$A$2:$CH$104,MATCH($A24,'Emission Factors'!$A$2:$A$104,0),MATCH(C$7,'Emission Factors'!$A$2:$CH$2,0)),"")</f>
        <v/>
      </c>
      <c r="C24" s="90"/>
      <c r="D24" s="91"/>
      <c r="E24" s="92" t="e">
        <f t="shared" si="8"/>
        <v>#VALUE!</v>
      </c>
      <c r="F24" s="92" t="e">
        <f t="shared" si="9"/>
        <v>#VALUE!</v>
      </c>
      <c r="G24" s="92" t="e">
        <f t="shared" si="10"/>
        <v>#VALUE!</v>
      </c>
      <c r="H24" s="93" t="e">
        <f t="shared" si="11"/>
        <v>#VALUE!</v>
      </c>
      <c r="I24" s="89" t="str">
        <f>IFERROR(INDEX('Emission Factors'!$A$2:$CH$104,MATCH($A24,'Emission Factors'!$A$2:$A$104,0),MATCH(J$7,'Emission Factors'!$A$2:$CH$2,0)),"")</f>
        <v/>
      </c>
      <c r="J24" s="90"/>
      <c r="K24" s="68"/>
      <c r="L24" s="92" t="e">
        <f t="shared" si="12"/>
        <v>#VALUE!</v>
      </c>
      <c r="M24" s="92" t="e">
        <f t="shared" si="13"/>
        <v>#VALUE!</v>
      </c>
      <c r="N24" s="92" t="e">
        <f t="shared" si="14"/>
        <v>#VALUE!</v>
      </c>
      <c r="O24" s="94" t="e">
        <f t="shared" si="15"/>
        <v>#VALUE!</v>
      </c>
    </row>
    <row r="25" spans="1:15">
      <c r="A25" s="88" t="s">
        <v>92</v>
      </c>
      <c r="B25" s="89" t="str">
        <f>IFERROR(INDEX('Emission Factors'!$A$2:$CH$104,MATCH($A25,'Emission Factors'!$A$2:$A$104,0),MATCH(C$7,'Emission Factors'!$A$2:$CH$2,0)),"")</f>
        <v/>
      </c>
      <c r="C25" s="90"/>
      <c r="D25" s="91"/>
      <c r="E25" s="92" t="e">
        <f t="shared" si="8"/>
        <v>#VALUE!</v>
      </c>
      <c r="F25" s="92" t="e">
        <f t="shared" si="9"/>
        <v>#VALUE!</v>
      </c>
      <c r="G25" s="92" t="e">
        <f t="shared" si="10"/>
        <v>#VALUE!</v>
      </c>
      <c r="H25" s="93" t="e">
        <f t="shared" si="11"/>
        <v>#VALUE!</v>
      </c>
      <c r="I25" s="89" t="str">
        <f>IFERROR(INDEX('Emission Factors'!$A$2:$CH$104,MATCH($A25,'Emission Factors'!$A$2:$A$104,0),MATCH(J$7,'Emission Factors'!$A$2:$CH$2,0)),"")</f>
        <v/>
      </c>
      <c r="J25" s="90"/>
      <c r="K25" s="68"/>
      <c r="L25" s="92" t="e">
        <f t="shared" si="12"/>
        <v>#VALUE!</v>
      </c>
      <c r="M25" s="92" t="e">
        <f t="shared" si="13"/>
        <v>#VALUE!</v>
      </c>
      <c r="N25" s="92" t="e">
        <f t="shared" si="14"/>
        <v>#VALUE!</v>
      </c>
      <c r="O25" s="94" t="e">
        <f t="shared" si="15"/>
        <v>#VALUE!</v>
      </c>
    </row>
    <row r="26" spans="1:15">
      <c r="A26" s="88" t="s">
        <v>93</v>
      </c>
      <c r="B26" s="89" t="str">
        <f>IFERROR(INDEX('Emission Factors'!$A$2:$CH$104,MATCH($A26,'Emission Factors'!$A$2:$A$104,0),MATCH(C$7,'Emission Factors'!$A$2:$CH$2,0)),"")</f>
        <v/>
      </c>
      <c r="C26" s="90"/>
      <c r="D26" s="91"/>
      <c r="E26" s="92" t="e">
        <f t="shared" si="8"/>
        <v>#VALUE!</v>
      </c>
      <c r="F26" s="92" t="e">
        <f t="shared" si="9"/>
        <v>#VALUE!</v>
      </c>
      <c r="G26" s="92" t="e">
        <f t="shared" si="10"/>
        <v>#VALUE!</v>
      </c>
      <c r="H26" s="93" t="e">
        <f t="shared" si="11"/>
        <v>#VALUE!</v>
      </c>
      <c r="I26" s="89" t="str">
        <f>IFERROR(INDEX('Emission Factors'!$A$2:$CH$104,MATCH($A26,'Emission Factors'!$A$2:$A$104,0),MATCH(J$7,'Emission Factors'!$A$2:$CH$2,0)),"")</f>
        <v/>
      </c>
      <c r="J26" s="90"/>
      <c r="K26" s="68"/>
      <c r="L26" s="92" t="e">
        <f t="shared" si="12"/>
        <v>#VALUE!</v>
      </c>
      <c r="M26" s="92" t="e">
        <f t="shared" si="13"/>
        <v>#VALUE!</v>
      </c>
      <c r="N26" s="92" t="e">
        <f t="shared" si="14"/>
        <v>#VALUE!</v>
      </c>
      <c r="O26" s="94" t="e">
        <f t="shared" si="15"/>
        <v>#VALUE!</v>
      </c>
    </row>
    <row r="27" spans="1:15">
      <c r="A27" s="88" t="s">
        <v>94</v>
      </c>
      <c r="B27" s="89" t="str">
        <f>IFERROR(INDEX('Emission Factors'!$A$2:$CH$104,MATCH($A27,'Emission Factors'!$A$2:$A$104,0),MATCH(C$7,'Emission Factors'!$A$2:$CH$2,0)),"")</f>
        <v/>
      </c>
      <c r="C27" s="90"/>
      <c r="D27" s="91"/>
      <c r="E27" s="92" t="e">
        <f t="shared" si="8"/>
        <v>#VALUE!</v>
      </c>
      <c r="F27" s="92" t="e">
        <f t="shared" si="9"/>
        <v>#VALUE!</v>
      </c>
      <c r="G27" s="92" t="e">
        <f t="shared" si="10"/>
        <v>#VALUE!</v>
      </c>
      <c r="H27" s="93" t="e">
        <f t="shared" si="11"/>
        <v>#VALUE!</v>
      </c>
      <c r="I27" s="89" t="str">
        <f>IFERROR(INDEX('Emission Factors'!$A$2:$CH$104,MATCH($A27,'Emission Factors'!$A$2:$A$104,0),MATCH(J$7,'Emission Factors'!$A$2:$CH$2,0)),"")</f>
        <v/>
      </c>
      <c r="J27" s="90"/>
      <c r="K27" s="68"/>
      <c r="L27" s="92" t="e">
        <f t="shared" si="12"/>
        <v>#VALUE!</v>
      </c>
      <c r="M27" s="92" t="e">
        <f t="shared" si="13"/>
        <v>#VALUE!</v>
      </c>
      <c r="N27" s="92" t="e">
        <f t="shared" si="14"/>
        <v>#VALUE!</v>
      </c>
      <c r="O27" s="94" t="e">
        <f t="shared" si="15"/>
        <v>#VALUE!</v>
      </c>
    </row>
    <row r="28" spans="1:15">
      <c r="A28" s="88" t="s">
        <v>95</v>
      </c>
      <c r="B28" s="89" t="str">
        <f>IFERROR(INDEX('Emission Factors'!$A$2:$CH$104,MATCH($A28,'Emission Factors'!$A$2:$A$104,0),MATCH(C$7,'Emission Factors'!$A$2:$CH$2,0)),"")</f>
        <v/>
      </c>
      <c r="C28" s="90"/>
      <c r="D28" s="91"/>
      <c r="E28" s="92" t="e">
        <f t="shared" si="8"/>
        <v>#VALUE!</v>
      </c>
      <c r="F28" s="92" t="e">
        <f t="shared" si="9"/>
        <v>#VALUE!</v>
      </c>
      <c r="G28" s="92" t="e">
        <f t="shared" si="10"/>
        <v>#VALUE!</v>
      </c>
      <c r="H28" s="93" t="e">
        <f t="shared" si="11"/>
        <v>#VALUE!</v>
      </c>
      <c r="I28" s="89" t="str">
        <f>IFERROR(INDEX('Emission Factors'!$A$2:$CH$104,MATCH($A28,'Emission Factors'!$A$2:$A$104,0),MATCH(J$7,'Emission Factors'!$A$2:$CH$2,0)),"")</f>
        <v/>
      </c>
      <c r="J28" s="90"/>
      <c r="K28" s="68"/>
      <c r="L28" s="92" t="e">
        <f t="shared" si="12"/>
        <v>#VALUE!</v>
      </c>
      <c r="M28" s="92" t="e">
        <f t="shared" si="13"/>
        <v>#VALUE!</v>
      </c>
      <c r="N28" s="92" t="e">
        <f t="shared" si="14"/>
        <v>#VALUE!</v>
      </c>
      <c r="O28" s="94" t="e">
        <f t="shared" si="15"/>
        <v>#VALUE!</v>
      </c>
    </row>
    <row r="29" spans="1:15">
      <c r="A29" s="88" t="s">
        <v>96</v>
      </c>
      <c r="B29" s="89" t="str">
        <f>IFERROR(INDEX('Emission Factors'!$A$2:$CH$104,MATCH($A29,'Emission Factors'!$A$2:$A$104,0),MATCH(C$7,'Emission Factors'!$A$2:$CH$2,0)),"")</f>
        <v/>
      </c>
      <c r="C29" s="90"/>
      <c r="D29" s="91"/>
      <c r="E29" s="92" t="e">
        <f t="shared" si="8"/>
        <v>#VALUE!</v>
      </c>
      <c r="F29" s="92" t="e">
        <f t="shared" si="9"/>
        <v>#VALUE!</v>
      </c>
      <c r="G29" s="92" t="e">
        <f t="shared" si="10"/>
        <v>#VALUE!</v>
      </c>
      <c r="H29" s="93" t="e">
        <f t="shared" si="11"/>
        <v>#VALUE!</v>
      </c>
      <c r="I29" s="89" t="str">
        <f>IFERROR(INDEX('Emission Factors'!$A$2:$CH$104,MATCH($A29,'Emission Factors'!$A$2:$A$104,0),MATCH(J$7,'Emission Factors'!$A$2:$CH$2,0)),"")</f>
        <v/>
      </c>
      <c r="J29" s="90"/>
      <c r="K29" s="68"/>
      <c r="L29" s="92" t="e">
        <f t="shared" si="12"/>
        <v>#VALUE!</v>
      </c>
      <c r="M29" s="92" t="e">
        <f t="shared" si="13"/>
        <v>#VALUE!</v>
      </c>
      <c r="N29" s="92" t="e">
        <f t="shared" si="14"/>
        <v>#VALUE!</v>
      </c>
      <c r="O29" s="94" t="e">
        <f t="shared" si="15"/>
        <v>#VALUE!</v>
      </c>
    </row>
    <row r="30" spans="1:15">
      <c r="A30" s="88" t="s">
        <v>97</v>
      </c>
      <c r="B30" s="89" t="str">
        <f>IFERROR(INDEX('Emission Factors'!$A$2:$CH$104,MATCH($A30,'Emission Factors'!$A$2:$A$104,0),MATCH(C$7,'Emission Factors'!$A$2:$CH$2,0)),"")</f>
        <v/>
      </c>
      <c r="C30" s="90"/>
      <c r="D30" s="91"/>
      <c r="E30" s="92" t="e">
        <f t="shared" si="8"/>
        <v>#VALUE!</v>
      </c>
      <c r="F30" s="92" t="e">
        <f t="shared" si="9"/>
        <v>#VALUE!</v>
      </c>
      <c r="G30" s="92" t="e">
        <f t="shared" si="10"/>
        <v>#VALUE!</v>
      </c>
      <c r="H30" s="93" t="e">
        <f t="shared" si="11"/>
        <v>#VALUE!</v>
      </c>
      <c r="I30" s="89" t="str">
        <f>IFERROR(INDEX('Emission Factors'!$A$2:$CH$104,MATCH($A30,'Emission Factors'!$A$2:$A$104,0),MATCH(J$7,'Emission Factors'!$A$2:$CH$2,0)),"")</f>
        <v/>
      </c>
      <c r="J30" s="90"/>
      <c r="K30" s="68"/>
      <c r="L30" s="92" t="e">
        <f t="shared" si="12"/>
        <v>#VALUE!</v>
      </c>
      <c r="M30" s="92" t="e">
        <f t="shared" si="13"/>
        <v>#VALUE!</v>
      </c>
      <c r="N30" s="92" t="e">
        <f t="shared" si="14"/>
        <v>#VALUE!</v>
      </c>
      <c r="O30" s="94" t="e">
        <f t="shared" si="15"/>
        <v>#VALUE!</v>
      </c>
    </row>
    <row r="31" spans="1:15">
      <c r="A31" s="88" t="s">
        <v>98</v>
      </c>
      <c r="B31" s="89" t="str">
        <f>IFERROR(INDEX('Emission Factors'!$A$2:$CH$104,MATCH($A31,'Emission Factors'!$A$2:$A$104,0),MATCH(C$7,'Emission Factors'!$A$2:$CH$2,0)),"")</f>
        <v/>
      </c>
      <c r="C31" s="90"/>
      <c r="D31" s="91"/>
      <c r="E31" s="92" t="e">
        <f t="shared" si="8"/>
        <v>#VALUE!</v>
      </c>
      <c r="F31" s="92" t="e">
        <f t="shared" si="9"/>
        <v>#VALUE!</v>
      </c>
      <c r="G31" s="92" t="e">
        <f t="shared" si="10"/>
        <v>#VALUE!</v>
      </c>
      <c r="H31" s="93" t="e">
        <f t="shared" si="11"/>
        <v>#VALUE!</v>
      </c>
      <c r="I31" s="89" t="str">
        <f>IFERROR(INDEX('Emission Factors'!$A$2:$CH$104,MATCH($A31,'Emission Factors'!$A$2:$A$104,0),MATCH(J$7,'Emission Factors'!$A$2:$CH$2,0)),"")</f>
        <v/>
      </c>
      <c r="J31" s="90"/>
      <c r="K31" s="68"/>
      <c r="L31" s="92" t="e">
        <f t="shared" si="12"/>
        <v>#VALUE!</v>
      </c>
      <c r="M31" s="92" t="e">
        <f t="shared" si="13"/>
        <v>#VALUE!</v>
      </c>
      <c r="N31" s="92" t="e">
        <f t="shared" si="14"/>
        <v>#VALUE!</v>
      </c>
      <c r="O31" s="94" t="e">
        <f t="shared" si="15"/>
        <v>#VALUE!</v>
      </c>
    </row>
    <row r="32" spans="1:15">
      <c r="A32" s="88" t="s">
        <v>99</v>
      </c>
      <c r="B32" s="89" t="str">
        <f>IFERROR(INDEX('Emission Factors'!$A$2:$CH$104,MATCH($A32,'Emission Factors'!$A$2:$A$104,0),MATCH(C$7,'Emission Factors'!$A$2:$CH$2,0)),"")</f>
        <v/>
      </c>
      <c r="C32" s="90"/>
      <c r="D32" s="91"/>
      <c r="E32" s="92" t="e">
        <f t="shared" si="8"/>
        <v>#VALUE!</v>
      </c>
      <c r="F32" s="92" t="e">
        <f t="shared" si="9"/>
        <v>#VALUE!</v>
      </c>
      <c r="G32" s="92" t="e">
        <f t="shared" si="10"/>
        <v>#VALUE!</v>
      </c>
      <c r="H32" s="93" t="e">
        <f t="shared" si="11"/>
        <v>#VALUE!</v>
      </c>
      <c r="I32" s="89" t="str">
        <f>IFERROR(INDEX('Emission Factors'!$A$2:$CH$104,MATCH($A32,'Emission Factors'!$A$2:$A$104,0),MATCH(J$7,'Emission Factors'!$A$2:$CH$2,0)),"")</f>
        <v/>
      </c>
      <c r="J32" s="90"/>
      <c r="K32" s="68"/>
      <c r="L32" s="92" t="e">
        <f t="shared" si="12"/>
        <v>#VALUE!</v>
      </c>
      <c r="M32" s="92" t="e">
        <f t="shared" si="13"/>
        <v>#VALUE!</v>
      </c>
      <c r="N32" s="92" t="e">
        <f t="shared" si="14"/>
        <v>#VALUE!</v>
      </c>
      <c r="O32" s="94" t="e">
        <f t="shared" si="15"/>
        <v>#VALUE!</v>
      </c>
    </row>
    <row r="33" spans="1:15">
      <c r="A33" s="88" t="s">
        <v>100</v>
      </c>
      <c r="B33" s="89" t="str">
        <f>IFERROR(INDEX('Emission Factors'!$A$2:$CH$104,MATCH($A33,'Emission Factors'!$A$2:$A$104,0),MATCH(C$7,'Emission Factors'!$A$2:$CH$2,0)),"")</f>
        <v/>
      </c>
      <c r="C33" s="90"/>
      <c r="D33" s="91"/>
      <c r="E33" s="92" t="e">
        <f t="shared" si="8"/>
        <v>#VALUE!</v>
      </c>
      <c r="F33" s="92" t="e">
        <f t="shared" si="9"/>
        <v>#VALUE!</v>
      </c>
      <c r="G33" s="92" t="e">
        <f t="shared" si="10"/>
        <v>#VALUE!</v>
      </c>
      <c r="H33" s="93" t="e">
        <f t="shared" si="11"/>
        <v>#VALUE!</v>
      </c>
      <c r="I33" s="89" t="str">
        <f>IFERROR(INDEX('Emission Factors'!$A$2:$CH$104,MATCH($A33,'Emission Factors'!$A$2:$A$104,0),MATCH(J$7,'Emission Factors'!$A$2:$CH$2,0)),"")</f>
        <v/>
      </c>
      <c r="J33" s="90"/>
      <c r="K33" s="68"/>
      <c r="L33" s="92" t="e">
        <f t="shared" si="12"/>
        <v>#VALUE!</v>
      </c>
      <c r="M33" s="92" t="e">
        <f t="shared" si="13"/>
        <v>#VALUE!</v>
      </c>
      <c r="N33" s="92" t="e">
        <f t="shared" si="14"/>
        <v>#VALUE!</v>
      </c>
      <c r="O33" s="94" t="e">
        <f t="shared" si="15"/>
        <v>#VALUE!</v>
      </c>
    </row>
    <row r="34" spans="1:15">
      <c r="A34" s="88" t="s">
        <v>101</v>
      </c>
      <c r="B34" s="89" t="str">
        <f>IFERROR(INDEX('Emission Factors'!$A$2:$CH$104,MATCH($A34,'Emission Factors'!$A$2:$A$104,0),MATCH(C$7,'Emission Factors'!$A$2:$CH$2,0)),"")</f>
        <v/>
      </c>
      <c r="C34" s="90"/>
      <c r="D34" s="91"/>
      <c r="E34" s="92" t="e">
        <f t="shared" si="8"/>
        <v>#VALUE!</v>
      </c>
      <c r="F34" s="92" t="e">
        <f t="shared" si="9"/>
        <v>#VALUE!</v>
      </c>
      <c r="G34" s="92" t="e">
        <f t="shared" si="10"/>
        <v>#VALUE!</v>
      </c>
      <c r="H34" s="93" t="e">
        <f t="shared" si="11"/>
        <v>#VALUE!</v>
      </c>
      <c r="I34" s="89" t="str">
        <f>IFERROR(INDEX('Emission Factors'!$A$2:$CH$104,MATCH($A34,'Emission Factors'!$A$2:$A$104,0),MATCH(J$7,'Emission Factors'!$A$2:$CH$2,0)),"")</f>
        <v/>
      </c>
      <c r="J34" s="90"/>
      <c r="K34" s="68"/>
      <c r="L34" s="92" t="e">
        <f t="shared" si="12"/>
        <v>#VALUE!</v>
      </c>
      <c r="M34" s="92" t="e">
        <f t="shared" si="13"/>
        <v>#VALUE!</v>
      </c>
      <c r="N34" s="92" t="e">
        <f t="shared" si="14"/>
        <v>#VALUE!</v>
      </c>
      <c r="O34" s="94" t="e">
        <f t="shared" si="15"/>
        <v>#VALUE!</v>
      </c>
    </row>
    <row r="35" spans="1:15">
      <c r="A35" s="88" t="s">
        <v>102</v>
      </c>
      <c r="B35" s="89" t="str">
        <f>IFERROR(INDEX('Emission Factors'!$A$2:$CH$104,MATCH($A35,'Emission Factors'!$A$2:$A$104,0),MATCH(C$7,'Emission Factors'!$A$2:$CH$2,0)),"")</f>
        <v/>
      </c>
      <c r="C35" s="90"/>
      <c r="D35" s="91"/>
      <c r="E35" s="92" t="e">
        <f t="shared" si="8"/>
        <v>#VALUE!</v>
      </c>
      <c r="F35" s="92" t="e">
        <f t="shared" si="9"/>
        <v>#VALUE!</v>
      </c>
      <c r="G35" s="92" t="e">
        <f t="shared" si="10"/>
        <v>#VALUE!</v>
      </c>
      <c r="H35" s="93" t="e">
        <f t="shared" si="11"/>
        <v>#VALUE!</v>
      </c>
      <c r="I35" s="89" t="str">
        <f>IFERROR(INDEX('Emission Factors'!$A$2:$CH$104,MATCH($A35,'Emission Factors'!$A$2:$A$104,0),MATCH(J$7,'Emission Factors'!$A$2:$CH$2,0)),"")</f>
        <v/>
      </c>
      <c r="J35" s="90"/>
      <c r="K35" s="68"/>
      <c r="L35" s="92" t="e">
        <f t="shared" si="12"/>
        <v>#VALUE!</v>
      </c>
      <c r="M35" s="92" t="e">
        <f t="shared" si="13"/>
        <v>#VALUE!</v>
      </c>
      <c r="N35" s="92" t="e">
        <f t="shared" si="14"/>
        <v>#VALUE!</v>
      </c>
      <c r="O35" s="94" t="e">
        <f t="shared" si="15"/>
        <v>#VALUE!</v>
      </c>
    </row>
    <row r="36" spans="1:15">
      <c r="A36" s="88" t="s">
        <v>103</v>
      </c>
      <c r="B36" s="89" t="str">
        <f>IFERROR(INDEX('Emission Factors'!$A$2:$CH$104,MATCH($A36,'Emission Factors'!$A$2:$A$104,0),MATCH(C$7,'Emission Factors'!$A$2:$CH$2,0)),"")</f>
        <v/>
      </c>
      <c r="C36" s="90"/>
      <c r="D36" s="91"/>
      <c r="E36" s="92" t="e">
        <f t="shared" si="8"/>
        <v>#VALUE!</v>
      </c>
      <c r="F36" s="92" t="e">
        <f t="shared" si="9"/>
        <v>#VALUE!</v>
      </c>
      <c r="G36" s="92" t="e">
        <f t="shared" si="10"/>
        <v>#VALUE!</v>
      </c>
      <c r="H36" s="93" t="e">
        <f t="shared" si="11"/>
        <v>#VALUE!</v>
      </c>
      <c r="I36" s="89" t="str">
        <f>IFERROR(INDEX('Emission Factors'!$A$2:$CH$104,MATCH($A36,'Emission Factors'!$A$2:$A$104,0),MATCH(J$7,'Emission Factors'!$A$2:$CH$2,0)),"")</f>
        <v/>
      </c>
      <c r="J36" s="90"/>
      <c r="K36" s="68"/>
      <c r="L36" s="92" t="e">
        <f t="shared" si="12"/>
        <v>#VALUE!</v>
      </c>
      <c r="M36" s="92" t="e">
        <f t="shared" si="13"/>
        <v>#VALUE!</v>
      </c>
      <c r="N36" s="92" t="e">
        <f t="shared" si="14"/>
        <v>#VALUE!</v>
      </c>
      <c r="O36" s="94" t="e">
        <f t="shared" si="15"/>
        <v>#VALUE!</v>
      </c>
    </row>
    <row r="37" spans="1:15" ht="15" thickBot="1">
      <c r="A37" s="95" t="s">
        <v>104</v>
      </c>
      <c r="B37" s="102" t="str">
        <f>IFERROR(INDEX('Emission Factors'!$A$2:$CH$104,MATCH($A37,'Emission Factors'!$A$2:$A$104,0),MATCH(C$7,'Emission Factors'!$A$2:$CH$2,0)),"")</f>
        <v/>
      </c>
      <c r="C37" s="103"/>
      <c r="D37" s="104"/>
      <c r="E37" s="105" t="e">
        <f t="shared" si="8"/>
        <v>#VALUE!</v>
      </c>
      <c r="F37" s="105" t="e">
        <f t="shared" si="9"/>
        <v>#VALUE!</v>
      </c>
      <c r="G37" s="105" t="e">
        <f t="shared" si="10"/>
        <v>#VALUE!</v>
      </c>
      <c r="H37" s="106" t="e">
        <f t="shared" si="11"/>
        <v>#VALUE!</v>
      </c>
      <c r="I37" s="102" t="str">
        <f>IFERROR(INDEX('Emission Factors'!$A$2:$CH$104,MATCH($A37,'Emission Factors'!$A$2:$A$104,0),MATCH(J$7,'Emission Factors'!$A$2:$CH$2,0)),"")</f>
        <v/>
      </c>
      <c r="J37" s="103"/>
      <c r="K37" s="107"/>
      <c r="L37" s="105" t="e">
        <f t="shared" si="12"/>
        <v>#VALUE!</v>
      </c>
      <c r="M37" s="105" t="e">
        <f t="shared" si="13"/>
        <v>#VALUE!</v>
      </c>
      <c r="N37" s="105" t="e">
        <f t="shared" si="14"/>
        <v>#VALUE!</v>
      </c>
      <c r="O37" s="108" t="e">
        <f t="shared" si="15"/>
        <v>#VALUE!</v>
      </c>
    </row>
    <row r="38" spans="1:15" s="121" customFormat="1" ht="13">
      <c r="A38" s="117"/>
      <c r="B38" s="118" t="s">
        <v>105</v>
      </c>
      <c r="C38" s="119"/>
      <c r="D38" s="117"/>
      <c r="E38" s="117"/>
      <c r="F38" s="117"/>
      <c r="G38" s="117"/>
      <c r="H38" s="117"/>
      <c r="I38" s="118" t="s">
        <v>105</v>
      </c>
      <c r="J38" s="120"/>
      <c r="K38" s="117"/>
      <c r="L38" s="117"/>
      <c r="M38" s="117"/>
      <c r="N38" s="117"/>
      <c r="O38" s="117"/>
    </row>
    <row r="39" spans="1:15">
      <c r="A39" s="62"/>
      <c r="B39" s="122"/>
      <c r="C39" s="123"/>
      <c r="D39" s="123"/>
      <c r="E39" s="123"/>
      <c r="F39" s="123"/>
      <c r="G39" s="123"/>
      <c r="H39" s="123"/>
      <c r="I39" s="122"/>
      <c r="J39" s="123"/>
      <c r="K39" s="119"/>
      <c r="L39" s="119"/>
      <c r="M39" s="119"/>
      <c r="N39" s="119"/>
      <c r="O39" s="119"/>
    </row>
    <row r="40" spans="1:15">
      <c r="A40" s="62"/>
      <c r="B40" s="119"/>
      <c r="C40" s="119"/>
      <c r="D40" s="119"/>
      <c r="E40" s="119"/>
      <c r="F40" s="119"/>
      <c r="G40" s="119"/>
      <c r="H40" s="119"/>
      <c r="I40" s="119"/>
      <c r="J40" s="119"/>
      <c r="K40" s="119"/>
      <c r="L40" s="119"/>
      <c r="M40" s="119"/>
      <c r="N40" s="119"/>
      <c r="O40" s="119"/>
    </row>
    <row r="41" spans="1:15">
      <c r="A41" s="124"/>
      <c r="B41" s="125" t="s">
        <v>107</v>
      </c>
      <c r="C41" s="117"/>
      <c r="D41" s="62"/>
      <c r="E41" s="62"/>
      <c r="F41" s="62"/>
      <c r="G41" s="62"/>
      <c r="H41" s="120"/>
      <c r="I41" s="120"/>
      <c r="J41" s="120"/>
      <c r="K41" s="120"/>
      <c r="L41" s="62"/>
      <c r="M41" s="62"/>
      <c r="N41" s="62"/>
      <c r="O41" s="62"/>
    </row>
    <row r="42" spans="1:15" ht="15" customHeight="1">
      <c r="A42" s="124"/>
      <c r="B42" s="62" t="s">
        <v>108</v>
      </c>
      <c r="C42" s="126"/>
      <c r="D42" s="126"/>
      <c r="E42" s="126"/>
      <c r="F42" s="126"/>
      <c r="G42" s="126"/>
      <c r="H42" s="120"/>
      <c r="I42" s="120"/>
      <c r="J42" s="120"/>
      <c r="K42" s="120"/>
      <c r="L42" s="62"/>
      <c r="M42" s="62"/>
      <c r="N42" s="62"/>
      <c r="O42" s="62"/>
    </row>
    <row r="43" spans="1:15">
      <c r="A43" s="124"/>
      <c r="B43" s="126" t="s">
        <v>109</v>
      </c>
      <c r="C43" s="62"/>
      <c r="D43" s="62"/>
      <c r="E43" s="62"/>
      <c r="F43" s="126"/>
      <c r="G43" s="126"/>
      <c r="H43" s="120"/>
      <c r="I43" s="120"/>
      <c r="J43" s="120"/>
      <c r="K43" s="120"/>
      <c r="L43" s="62"/>
      <c r="M43" s="62"/>
      <c r="N43" s="62"/>
      <c r="O43" s="62"/>
    </row>
    <row r="44" spans="1:15">
      <c r="A44" s="124"/>
      <c r="B44" s="62"/>
      <c r="C44" s="126"/>
      <c r="D44" s="126"/>
      <c r="E44" s="126"/>
      <c r="F44" s="126"/>
      <c r="G44" s="126"/>
      <c r="H44" s="120"/>
      <c r="I44" s="120"/>
      <c r="J44" s="120"/>
      <c r="K44" s="120"/>
      <c r="L44" s="62"/>
      <c r="M44" s="62"/>
      <c r="N44" s="62"/>
      <c r="O44" s="62"/>
    </row>
    <row r="45" spans="1:15">
      <c r="A45" s="127" t="s">
        <v>285</v>
      </c>
      <c r="B45" s="62"/>
      <c r="C45" s="62"/>
      <c r="D45" s="62"/>
      <c r="E45" s="62"/>
      <c r="F45" s="62"/>
      <c r="G45" s="62"/>
      <c r="H45" s="62"/>
      <c r="I45" s="62"/>
      <c r="J45" s="62"/>
      <c r="K45" s="62"/>
      <c r="L45" s="62"/>
      <c r="M45" s="62"/>
      <c r="N45" s="62"/>
      <c r="O45" s="62"/>
    </row>
    <row r="46" spans="1:15" ht="24">
      <c r="A46" s="128" t="s">
        <v>286</v>
      </c>
      <c r="B46" s="62"/>
      <c r="C46" s="62"/>
      <c r="D46" s="62"/>
      <c r="E46" s="62"/>
      <c r="F46" s="62"/>
      <c r="G46" s="62"/>
      <c r="H46" s="62"/>
      <c r="I46" s="129"/>
      <c r="J46" s="129"/>
      <c r="K46" s="62"/>
      <c r="L46" s="62"/>
      <c r="M46" s="62"/>
      <c r="N46" s="62"/>
      <c r="O46" s="62"/>
    </row>
    <row r="47" spans="1:15" ht="24">
      <c r="A47" s="128" t="s">
        <v>287</v>
      </c>
      <c r="B47" s="62"/>
      <c r="C47" s="62"/>
      <c r="D47" s="62"/>
      <c r="E47" s="62"/>
      <c r="F47" s="62"/>
      <c r="G47" s="62"/>
      <c r="H47" s="62"/>
      <c r="I47" s="129"/>
      <c r="J47" s="129"/>
      <c r="K47" s="62"/>
      <c r="L47" s="62"/>
      <c r="M47" s="62"/>
      <c r="N47" s="62"/>
      <c r="O47" s="62"/>
    </row>
    <row r="48" spans="1:15" ht="24">
      <c r="A48" s="128" t="s">
        <v>288</v>
      </c>
      <c r="B48" s="62"/>
      <c r="C48" s="62"/>
      <c r="D48" s="62"/>
      <c r="E48" s="62"/>
      <c r="F48" s="62"/>
      <c r="G48" s="62"/>
      <c r="H48" s="62"/>
      <c r="I48" s="62"/>
      <c r="J48" s="62"/>
      <c r="K48" s="62"/>
      <c r="L48" s="62"/>
      <c r="M48" s="62"/>
      <c r="N48" s="62"/>
      <c r="O48" s="62"/>
    </row>
    <row r="49" spans="1:15">
      <c r="A49" s="128" t="s">
        <v>289</v>
      </c>
      <c r="B49" s="62"/>
      <c r="C49" s="62"/>
      <c r="D49" s="62"/>
      <c r="E49" s="62"/>
      <c r="F49" s="62"/>
      <c r="G49" s="62"/>
      <c r="H49" s="62"/>
      <c r="I49" s="62"/>
      <c r="J49" s="62"/>
      <c r="K49" s="62"/>
      <c r="L49" s="62"/>
      <c r="M49" s="62"/>
      <c r="N49" s="62"/>
      <c r="O49" s="62"/>
    </row>
    <row r="50" spans="1:15">
      <c r="A50" s="128" t="s">
        <v>69</v>
      </c>
      <c r="B50" s="62"/>
      <c r="C50" s="62"/>
      <c r="D50" s="62"/>
      <c r="E50" s="62"/>
      <c r="F50" s="62"/>
      <c r="G50" s="62"/>
      <c r="H50" s="62"/>
      <c r="I50" s="62"/>
      <c r="J50" s="62"/>
      <c r="K50" s="62"/>
      <c r="L50" s="62"/>
      <c r="M50" s="62"/>
      <c r="N50" s="62"/>
      <c r="O50" s="62"/>
    </row>
    <row r="51" spans="1:15" ht="24">
      <c r="A51" s="128" t="s">
        <v>290</v>
      </c>
      <c r="B51" s="62"/>
      <c r="C51" s="62"/>
      <c r="D51" s="62"/>
      <c r="E51" s="62"/>
      <c r="F51" s="62"/>
      <c r="G51" s="62"/>
      <c r="H51" s="62"/>
      <c r="I51" s="62"/>
      <c r="J51" s="62"/>
      <c r="K51" s="62"/>
      <c r="L51" s="62"/>
      <c r="M51" s="62"/>
      <c r="N51" s="62"/>
      <c r="O51" s="62"/>
    </row>
    <row r="52" spans="1:15">
      <c r="A52" s="128" t="s">
        <v>291</v>
      </c>
      <c r="B52" s="62"/>
      <c r="C52" s="62"/>
      <c r="D52" s="62"/>
      <c r="E52" s="62"/>
      <c r="F52" s="62"/>
      <c r="G52" s="62"/>
      <c r="H52" s="62"/>
      <c r="I52" s="62"/>
      <c r="J52" s="62"/>
      <c r="K52" s="62"/>
      <c r="L52" s="62"/>
      <c r="M52" s="62"/>
      <c r="N52" s="62"/>
      <c r="O52" s="62"/>
    </row>
    <row r="53" spans="1:15">
      <c r="A53" s="128" t="s">
        <v>292</v>
      </c>
      <c r="B53" s="62"/>
      <c r="C53" s="62"/>
      <c r="D53" s="62"/>
      <c r="E53" s="62"/>
      <c r="F53" s="62"/>
      <c r="G53" s="62"/>
      <c r="H53" s="62"/>
      <c r="I53" s="62"/>
      <c r="J53" s="62"/>
      <c r="K53" s="62"/>
      <c r="L53" s="62"/>
      <c r="M53" s="62"/>
      <c r="N53" s="62"/>
      <c r="O53" s="62"/>
    </row>
    <row r="54" spans="1:15" ht="24">
      <c r="A54" s="128" t="s">
        <v>293</v>
      </c>
      <c r="B54" s="62"/>
      <c r="C54" s="62"/>
      <c r="D54" s="62"/>
      <c r="E54" s="62"/>
      <c r="F54" s="62"/>
      <c r="G54" s="62"/>
      <c r="H54" s="62"/>
      <c r="I54" s="62"/>
      <c r="J54" s="62"/>
      <c r="K54" s="62"/>
      <c r="L54" s="62"/>
      <c r="M54" s="62"/>
      <c r="N54" s="62"/>
      <c r="O54" s="62"/>
    </row>
    <row r="55" spans="1:15">
      <c r="A55" s="128" t="s">
        <v>294</v>
      </c>
      <c r="B55" s="62"/>
      <c r="C55" s="62"/>
      <c r="D55" s="62"/>
      <c r="E55" s="62"/>
      <c r="F55" s="62"/>
      <c r="G55" s="62"/>
      <c r="H55" s="62"/>
      <c r="I55" s="62"/>
      <c r="J55" s="62"/>
      <c r="K55" s="62"/>
      <c r="L55" s="62"/>
      <c r="M55" s="62"/>
      <c r="N55" s="62"/>
      <c r="O55" s="62"/>
    </row>
  </sheetData>
  <sheetProtection algorithmName="SHA-512" hashValue="GYEneaz6vAYLstTg6Z3knjl1hpLFEgCsEiA/q++V3F/oz9jZZ8HAIs0AA18OFUJwqaEPEzTyy2SHeJY/fkb+vw==" saltValue="C/UcrwGNu5/CTVnDp0PG8Q==" spinCount="100000" sheet="1" insertColumns="0" insertRows="0" deleteColumns="0" deleteRows="0"/>
  <protectedRanges>
    <protectedRange sqref="B38:O38" name="Notes"/>
  </protectedRanges>
  <dataValidations count="1">
    <dataValidation type="list" allowBlank="1" showInputMessage="1" showErrorMessage="1" sqref="C7 J7" xr:uid="{D8BABFBD-89B3-4528-B986-A3D951E50A33}">
      <formula1>$A$46:$A$55</formula1>
    </dataValidation>
  </dataValidations>
  <pageMargins left="0.7" right="0.7" top="0.75" bottom="0.75" header="0.3" footer="0.3"/>
  <pageSetup scale="32" pageOrder="overThenDown" orientation="landscape" r:id="rId1"/>
  <colBreaks count="1" manualBreakCount="1">
    <brk id="8" max="5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386C6-2D92-4179-ADD3-F91740403B2B}">
  <sheetPr>
    <tabColor theme="7" tint="0.39997558519241921"/>
  </sheetPr>
  <dimension ref="A1:GP145"/>
  <sheetViews>
    <sheetView topLeftCell="FF10" zoomScaleNormal="100" zoomScaleSheetLayoutView="70" zoomScalePageLayoutView="50" workbookViewId="0">
      <selection activeCell="FV24" sqref="FV24"/>
    </sheetView>
  </sheetViews>
  <sheetFormatPr defaultColWidth="9.1796875" defaultRowHeight="14"/>
  <cols>
    <col min="1" max="1" width="14.7265625" style="1051" customWidth="1"/>
    <col min="2" max="2" width="8.7265625" style="1050" customWidth="1"/>
    <col min="3" max="6" width="9.26953125" style="1050" customWidth="1"/>
    <col min="7" max="7" width="14.7265625" style="1055" customWidth="1"/>
    <col min="8" max="8" width="9.26953125" style="1050" customWidth="1"/>
    <col min="9" max="9" width="10.26953125" style="1050" customWidth="1"/>
    <col min="10" max="10" width="9.26953125" style="1050" customWidth="1"/>
    <col min="11" max="11" width="9.7265625" style="1050" customWidth="1"/>
    <col min="12" max="12" width="9.26953125" style="1050" customWidth="1"/>
    <col min="13" max="13" width="14.7265625" style="1055" customWidth="1"/>
    <col min="14" max="16" width="9.26953125" style="1050" customWidth="1"/>
    <col min="17" max="18" width="9.7265625" style="1052" customWidth="1"/>
    <col min="19" max="19" width="15.7265625" style="1051" customWidth="1"/>
    <col min="20" max="20" width="8.7265625" style="1051" customWidth="1"/>
    <col min="21" max="22" width="9.26953125" style="1051" customWidth="1"/>
    <col min="23" max="23" width="9.7265625" style="1051" customWidth="1"/>
    <col min="24" max="24" width="9.1796875" style="1051" customWidth="1"/>
    <col min="25" max="25" width="15.7265625" style="1055" customWidth="1"/>
    <col min="26" max="26" width="8.7265625" style="1051" customWidth="1"/>
    <col min="27" max="29" width="9.26953125" style="1051" customWidth="1"/>
    <col min="30" max="30" width="9.1796875" style="1051" customWidth="1"/>
    <col min="31" max="31" width="15.7265625" style="1055" customWidth="1"/>
    <col min="32" max="32" width="8.7265625" style="1051" customWidth="1"/>
    <col min="33" max="34" width="9.26953125" style="1051" customWidth="1"/>
    <col min="35" max="35" width="9.7265625" style="1051" customWidth="1"/>
    <col min="36" max="36" width="9.1796875" style="1051" customWidth="1"/>
    <col min="37" max="37" width="15.7265625" style="1055" customWidth="1"/>
    <col min="38" max="38" width="8.7265625" style="1051" customWidth="1"/>
    <col min="39" max="40" width="9.26953125" style="1051" customWidth="1"/>
    <col min="41" max="41" width="9.7265625" style="1051" customWidth="1"/>
    <col min="42" max="42" width="9.1796875" style="1051" customWidth="1"/>
    <col min="43" max="43" width="15.7265625" style="1055" customWidth="1"/>
    <col min="44" max="44" width="8.7265625" style="1051" customWidth="1"/>
    <col min="45" max="46" width="9.26953125" style="1051" customWidth="1"/>
    <col min="47" max="47" width="9.7265625" style="1051" customWidth="1"/>
    <col min="48" max="48" width="9.1796875" style="1051" customWidth="1"/>
    <col min="49" max="49" width="15.7265625" style="1055" customWidth="1"/>
    <col min="50" max="50" width="8.7265625" style="1051" customWidth="1"/>
    <col min="51" max="52" width="9.26953125" style="1051" customWidth="1"/>
    <col min="53" max="53" width="9.7265625" style="1051" customWidth="1"/>
    <col min="54" max="54" width="9.1796875" style="1051" customWidth="1"/>
    <col min="55" max="55" width="16.54296875" style="1051" customWidth="1"/>
    <col min="56" max="56" width="8.7265625" style="1051" customWidth="1"/>
    <col min="57" max="58" width="9.26953125" style="1051" customWidth="1"/>
    <col min="59" max="59" width="9.7265625" style="1051" customWidth="1"/>
    <col min="60" max="60" width="9.26953125" style="1051" bestFit="1" customWidth="1"/>
    <col min="61" max="61" width="15.7265625" style="1051" customWidth="1"/>
    <col min="62" max="63" width="9.1796875" style="1051"/>
    <col min="64" max="66" width="9.1796875" style="1051" customWidth="1"/>
    <col min="67" max="67" width="15.7265625" style="1051" customWidth="1"/>
    <col min="68" max="70" width="9.1796875" style="1051" customWidth="1"/>
    <col min="71" max="71" width="9.7265625" style="1051" customWidth="1"/>
    <col min="72" max="72" width="8.7265625" style="1051" customWidth="1"/>
    <col min="73" max="73" width="15.7265625" style="1051" customWidth="1"/>
    <col min="74" max="76" width="9.1796875" style="1051" customWidth="1"/>
    <col min="77" max="77" width="9.7265625" style="1051" customWidth="1"/>
    <col min="78" max="78" width="9.1796875" style="1051" customWidth="1"/>
    <col min="79" max="79" width="15.7265625" style="1051" customWidth="1"/>
    <col min="80" max="82" width="9.1796875" style="1051" customWidth="1"/>
    <col min="83" max="83" width="9.7265625" style="1051" customWidth="1"/>
    <col min="84" max="84" width="9.1796875" style="1051" customWidth="1"/>
    <col min="85" max="85" width="15.7265625" style="1051" customWidth="1"/>
    <col min="86" max="88" width="9.1796875" style="1051" customWidth="1"/>
    <col min="89" max="89" width="9.7265625" style="1051" customWidth="1"/>
    <col min="90" max="90" width="8.7265625" style="1051" customWidth="1"/>
    <col min="91" max="91" width="15.7265625" style="1051" customWidth="1"/>
    <col min="92" max="94" width="9.1796875" style="1051" customWidth="1"/>
    <col min="95" max="95" width="9.7265625" style="1051" customWidth="1"/>
    <col min="96" max="96" width="9.1796875" style="1051" customWidth="1"/>
    <col min="97" max="97" width="15.7265625" style="1051" customWidth="1"/>
    <col min="98" max="100" width="9.1796875" style="1051" customWidth="1"/>
    <col min="101" max="101" width="9.7265625" style="1051" customWidth="1"/>
    <col min="102" max="102" width="8.7265625" style="1051" customWidth="1"/>
    <col min="103" max="103" width="15.7265625" style="1051" customWidth="1"/>
    <col min="104" max="106" width="9.1796875" style="1051" customWidth="1"/>
    <col min="107" max="107" width="9.7265625" style="1051" customWidth="1"/>
    <col min="108" max="108" width="9.1796875" style="1051" customWidth="1"/>
    <col min="109" max="109" width="15.7265625" style="1051" customWidth="1"/>
    <col min="110" max="112" width="9.1796875" style="1051" customWidth="1"/>
    <col min="113" max="113" width="9.7265625" style="1051" customWidth="1"/>
    <col min="114" max="114" width="9.1796875" style="1051" customWidth="1"/>
    <col min="115" max="115" width="15.7265625" style="1051" customWidth="1"/>
    <col min="116" max="120" width="9.1796875" style="1051" customWidth="1"/>
    <col min="121" max="121" width="15.7265625" style="1051" customWidth="1"/>
    <col min="122" max="125" width="9.1796875" style="1051" customWidth="1"/>
    <col min="126" max="126" width="8.7265625" style="1051" customWidth="1"/>
    <col min="127" max="127" width="15.7265625" style="1051" customWidth="1"/>
    <col min="128" max="132" width="9.1796875" style="1051" customWidth="1"/>
    <col min="133" max="133" width="15.7265625" style="1051" customWidth="1"/>
    <col min="134" max="138" width="9.1796875" style="1051" customWidth="1"/>
    <col min="139" max="139" width="15.7265625" style="1051" customWidth="1"/>
    <col min="140" max="144" width="9.1796875" style="1051" customWidth="1"/>
    <col min="145" max="145" width="15.7265625" style="1051" customWidth="1"/>
    <col min="146" max="148" width="9.1796875" style="1051" customWidth="1"/>
    <col min="149" max="149" width="9.7265625" style="1051" customWidth="1"/>
    <col min="150" max="150" width="9.1796875" style="1051" customWidth="1"/>
    <col min="151" max="151" width="15.7265625" style="1051" customWidth="1"/>
    <col min="152" max="154" width="9.1796875" style="1051" customWidth="1"/>
    <col min="155" max="155" width="9.7265625" style="1051" customWidth="1"/>
    <col min="156" max="156" width="9.1796875" style="1051" customWidth="1"/>
    <col min="157" max="157" width="15.7265625" style="1051" customWidth="1"/>
    <col min="158" max="160" width="9.1796875" style="1051" customWidth="1"/>
    <col min="161" max="161" width="9.7265625" style="1051" customWidth="1"/>
    <col min="162" max="162" width="8.7265625" style="1051" customWidth="1"/>
    <col min="163" max="163" width="15.7265625" style="1051" customWidth="1"/>
    <col min="164" max="166" width="9.1796875" style="1051" customWidth="1"/>
    <col min="167" max="167" width="9.7265625" style="1051" customWidth="1"/>
    <col min="168" max="168" width="9.1796875" style="1051" customWidth="1"/>
    <col min="169" max="169" width="15.7265625" style="1051" customWidth="1"/>
    <col min="170" max="174" width="9.1796875" style="1051" customWidth="1"/>
    <col min="175" max="175" width="15.7265625" style="1051" customWidth="1"/>
    <col min="176" max="180" width="9.1796875" style="1051" customWidth="1"/>
    <col min="181" max="181" width="15.7265625" style="1051" customWidth="1"/>
    <col min="182" max="186" width="9.1796875" style="1051" customWidth="1"/>
    <col min="187" max="187" width="15.7265625" style="1051" customWidth="1"/>
    <col min="188" max="188" width="9.1796875" style="1051"/>
    <col min="189" max="192" width="9.7265625" style="1051" customWidth="1"/>
    <col min="193" max="193" width="8.7265625" style="1051" customWidth="1"/>
    <col min="194" max="16384" width="9.1796875" style="1051"/>
  </cols>
  <sheetData>
    <row r="1" spans="1:198" ht="37">
      <c r="A1" s="1157"/>
      <c r="B1" s="1158"/>
      <c r="C1" s="1159"/>
      <c r="D1" s="1160"/>
      <c r="E1" s="1161"/>
      <c r="F1" s="1161"/>
      <c r="G1" s="1162"/>
      <c r="H1" s="1161"/>
      <c r="I1" s="1163"/>
      <c r="L1" s="1163"/>
      <c r="M1" s="1164"/>
      <c r="N1" s="1165"/>
      <c r="O1" s="1051"/>
      <c r="R1" s="1053" t="s">
        <v>1073</v>
      </c>
      <c r="S1" s="1157"/>
      <c r="T1" s="1158"/>
      <c r="U1" s="1159"/>
      <c r="V1" s="1160"/>
      <c r="W1" s="1161"/>
      <c r="X1" s="1161"/>
      <c r="Y1" s="1162"/>
      <c r="Z1" s="1161"/>
      <c r="AA1" s="1163"/>
      <c r="AB1" s="1050"/>
      <c r="AC1" s="1050"/>
      <c r="AD1" s="1163"/>
      <c r="AE1" s="1164"/>
      <c r="AF1" s="1165"/>
      <c r="AH1" s="1050"/>
      <c r="AI1" s="1052"/>
      <c r="AJ1" s="1053" t="s">
        <v>1073</v>
      </c>
      <c r="AK1" s="1157"/>
      <c r="AL1" s="1158"/>
      <c r="AM1" s="1159"/>
      <c r="AN1" s="1160"/>
      <c r="AO1" s="1161"/>
      <c r="AP1" s="1161"/>
      <c r="AQ1" s="1162"/>
      <c r="AR1" s="1161"/>
      <c r="AS1" s="1163"/>
      <c r="AT1" s="1050"/>
      <c r="AU1" s="1050"/>
      <c r="AV1" s="1163"/>
      <c r="AW1" s="1164"/>
      <c r="AX1" s="1165"/>
      <c r="AZ1" s="1050"/>
      <c r="BA1" s="1052"/>
      <c r="BB1" s="1053" t="s">
        <v>1073</v>
      </c>
      <c r="BC1" s="1157"/>
      <c r="BD1" s="1158"/>
      <c r="BE1" s="1159"/>
      <c r="BF1" s="1160"/>
      <c r="BG1" s="1161"/>
      <c r="BH1" s="1161"/>
      <c r="BI1" s="1162"/>
      <c r="BJ1" s="1161"/>
      <c r="BK1" s="1163"/>
      <c r="BL1" s="1050"/>
      <c r="BM1" s="1050"/>
      <c r="BN1" s="1163"/>
      <c r="BO1" s="1164"/>
      <c r="BP1" s="1165"/>
      <c r="BR1" s="1050"/>
      <c r="BS1" s="1052"/>
      <c r="BT1" s="1053" t="s">
        <v>1073</v>
      </c>
      <c r="BU1" s="1157"/>
      <c r="BV1" s="1158"/>
      <c r="BW1" s="1159"/>
      <c r="BX1" s="1160"/>
      <c r="BY1" s="1161"/>
      <c r="BZ1" s="1161"/>
      <c r="CA1" s="1162"/>
      <c r="CB1" s="1161"/>
      <c r="CC1" s="1163"/>
      <c r="CD1" s="1050"/>
      <c r="CE1" s="1050"/>
      <c r="CF1" s="1163"/>
      <c r="CG1" s="1164"/>
      <c r="CH1" s="1165"/>
      <c r="CJ1" s="1050"/>
      <c r="CK1" s="1052"/>
      <c r="CL1" s="1053" t="s">
        <v>1073</v>
      </c>
      <c r="CM1" s="1157"/>
      <c r="CN1" s="1158"/>
      <c r="CO1" s="1159"/>
      <c r="CP1" s="1160"/>
      <c r="CQ1" s="1161"/>
      <c r="CR1" s="1161"/>
      <c r="CS1" s="1162"/>
      <c r="CT1" s="1161"/>
      <c r="CU1" s="1163"/>
      <c r="CV1" s="1050"/>
      <c r="CW1" s="1050"/>
      <c r="CX1" s="1163"/>
      <c r="CY1" s="1164"/>
      <c r="CZ1" s="1165"/>
      <c r="DB1" s="1050"/>
      <c r="DC1" s="1052"/>
      <c r="DD1" s="1053" t="s">
        <v>1073</v>
      </c>
      <c r="DE1" s="1157"/>
      <c r="DF1" s="1158"/>
      <c r="DG1" s="1159"/>
      <c r="DH1" s="1160"/>
      <c r="DI1" s="1161"/>
      <c r="DJ1" s="1161"/>
      <c r="DK1" s="1162"/>
      <c r="DL1" s="1161"/>
      <c r="DM1" s="1163"/>
      <c r="DN1" s="1050"/>
      <c r="DO1" s="1050"/>
      <c r="DP1" s="1163"/>
      <c r="DQ1" s="1164"/>
      <c r="DR1" s="1165"/>
      <c r="DT1" s="1050"/>
      <c r="DU1" s="1052"/>
      <c r="DV1" s="1053" t="s">
        <v>1073</v>
      </c>
      <c r="DW1" s="1157"/>
      <c r="DX1" s="1158"/>
      <c r="DY1" s="1159"/>
      <c r="DZ1" s="1160"/>
      <c r="EA1" s="1161"/>
      <c r="EB1" s="1161"/>
      <c r="EC1" s="1162"/>
      <c r="ED1" s="1161"/>
      <c r="EE1" s="1163"/>
      <c r="EF1" s="1050"/>
      <c r="EG1" s="1050"/>
      <c r="EH1" s="1163"/>
      <c r="EI1" s="1164"/>
      <c r="EJ1" s="1165"/>
      <c r="EL1" s="1050"/>
      <c r="EM1" s="1052"/>
      <c r="EN1" s="1053" t="s">
        <v>1073</v>
      </c>
      <c r="EO1" s="1157"/>
      <c r="EP1" s="1158"/>
      <c r="EQ1" s="1159"/>
      <c r="ER1" s="1160"/>
      <c r="ES1" s="1161"/>
      <c r="ET1" s="1161"/>
      <c r="EU1" s="1162"/>
      <c r="EV1" s="1161"/>
      <c r="EW1" s="1163"/>
      <c r="EX1" s="1050"/>
      <c r="EY1" s="1050"/>
      <c r="EZ1" s="1163"/>
      <c r="FA1" s="1164"/>
      <c r="FB1" s="1165"/>
      <c r="FD1" s="1050"/>
      <c r="FE1" s="1052"/>
      <c r="FF1" s="1053" t="s">
        <v>1073</v>
      </c>
      <c r="FG1" s="1157"/>
      <c r="FH1" s="1158"/>
      <c r="FI1" s="1159"/>
      <c r="FJ1" s="1160"/>
      <c r="FK1" s="1161"/>
      <c r="FL1" s="1161"/>
      <c r="FM1" s="1162"/>
      <c r="FN1" s="1161"/>
      <c r="FO1" s="1163"/>
      <c r="FP1" s="1050"/>
      <c r="FQ1" s="1050"/>
      <c r="FR1" s="1163"/>
      <c r="FS1" s="1164"/>
      <c r="FT1" s="1165"/>
      <c r="FV1" s="1050"/>
      <c r="FW1" s="1052"/>
      <c r="FX1" s="1053" t="s">
        <v>1073</v>
      </c>
      <c r="FY1" s="1157"/>
      <c r="FZ1" s="1158"/>
      <c r="GA1" s="1159"/>
      <c r="GB1" s="1160"/>
      <c r="GC1" s="1161"/>
      <c r="GD1" s="1161"/>
      <c r="GE1" s="1162"/>
      <c r="GF1" s="1161"/>
      <c r="GG1" s="1163"/>
      <c r="GH1" s="1050"/>
      <c r="GI1" s="1050"/>
      <c r="GJ1" s="1163"/>
      <c r="GK1" s="1164"/>
      <c r="GL1" s="1165"/>
      <c r="GN1" s="1050"/>
      <c r="GO1" s="1052"/>
      <c r="GP1" s="1053" t="s">
        <v>1073</v>
      </c>
    </row>
    <row r="2" spans="1:198" ht="19.149999999999999" customHeight="1">
      <c r="A2" s="1157"/>
      <c r="B2" s="1158"/>
      <c r="C2" s="1158"/>
      <c r="D2" s="1158"/>
      <c r="E2" s="1158"/>
      <c r="F2" s="1158"/>
      <c r="G2" s="1166"/>
      <c r="H2" s="1158"/>
      <c r="I2" s="1161"/>
      <c r="J2" s="1167"/>
      <c r="K2" s="1168"/>
      <c r="L2" s="1169"/>
      <c r="M2" s="1170"/>
      <c r="N2" s="1169"/>
      <c r="O2" s="1051"/>
      <c r="R2" s="1054" t="s">
        <v>1074</v>
      </c>
      <c r="S2" s="1157"/>
      <c r="T2" s="1158"/>
      <c r="U2" s="1158"/>
      <c r="V2" s="1158"/>
      <c r="W2" s="1158"/>
      <c r="X2" s="1158"/>
      <c r="Y2" s="1166"/>
      <c r="Z2" s="1158"/>
      <c r="AA2" s="1161"/>
      <c r="AB2" s="1167"/>
      <c r="AC2" s="1168"/>
      <c r="AD2" s="1169"/>
      <c r="AE2" s="1170"/>
      <c r="AF2" s="1169"/>
      <c r="AH2" s="1050"/>
      <c r="AI2" s="1052"/>
      <c r="AJ2" s="1054" t="s">
        <v>1074</v>
      </c>
      <c r="AK2" s="1157"/>
      <c r="AL2" s="1158"/>
      <c r="AM2" s="1158"/>
      <c r="AN2" s="1158"/>
      <c r="AO2" s="1158"/>
      <c r="AP2" s="1158"/>
      <c r="AQ2" s="1166"/>
      <c r="AR2" s="1158"/>
      <c r="AS2" s="1161"/>
      <c r="AT2" s="1167"/>
      <c r="AU2" s="1168"/>
      <c r="AV2" s="1169"/>
      <c r="AW2" s="1170"/>
      <c r="AX2" s="1169"/>
      <c r="AZ2" s="1050"/>
      <c r="BA2" s="1052"/>
      <c r="BB2" s="1054" t="s">
        <v>1074</v>
      </c>
      <c r="BC2" s="1157"/>
      <c r="BD2" s="1158"/>
      <c r="BE2" s="1158"/>
      <c r="BF2" s="1158"/>
      <c r="BG2" s="1158"/>
      <c r="BH2" s="1158"/>
      <c r="BI2" s="1166"/>
      <c r="BJ2" s="1158"/>
      <c r="BK2" s="1161"/>
      <c r="BL2" s="1167"/>
      <c r="BM2" s="1168"/>
      <c r="BN2" s="1169"/>
      <c r="BO2" s="1170"/>
      <c r="BP2" s="1169"/>
      <c r="BR2" s="1050"/>
      <c r="BS2" s="1052"/>
      <c r="BT2" s="1054" t="s">
        <v>1074</v>
      </c>
      <c r="BU2" s="1157"/>
      <c r="BV2" s="1158"/>
      <c r="BW2" s="1158"/>
      <c r="BX2" s="1158"/>
      <c r="BY2" s="1158"/>
      <c r="BZ2" s="1158"/>
      <c r="CA2" s="1166"/>
      <c r="CB2" s="1158"/>
      <c r="CC2" s="1161"/>
      <c r="CD2" s="1167"/>
      <c r="CE2" s="1168"/>
      <c r="CF2" s="1169"/>
      <c r="CG2" s="1170"/>
      <c r="CH2" s="1169"/>
      <c r="CJ2" s="1050"/>
      <c r="CK2" s="1052"/>
      <c r="CL2" s="1054" t="s">
        <v>1074</v>
      </c>
      <c r="CM2" s="1157"/>
      <c r="CN2" s="1158"/>
      <c r="CO2" s="1158"/>
      <c r="CP2" s="1158"/>
      <c r="CQ2" s="1158"/>
      <c r="CR2" s="1158"/>
      <c r="CS2" s="1166"/>
      <c r="CT2" s="1158"/>
      <c r="CU2" s="1161"/>
      <c r="CV2" s="1167"/>
      <c r="CW2" s="1168"/>
      <c r="CX2" s="1169"/>
      <c r="CY2" s="1170"/>
      <c r="CZ2" s="1169"/>
      <c r="DB2" s="1050"/>
      <c r="DC2" s="1052"/>
      <c r="DD2" s="1054" t="s">
        <v>1074</v>
      </c>
      <c r="DE2" s="1157"/>
      <c r="DF2" s="1158"/>
      <c r="DG2" s="1158"/>
      <c r="DH2" s="1158"/>
      <c r="DI2" s="1158"/>
      <c r="DJ2" s="1158"/>
      <c r="DK2" s="1166"/>
      <c r="DL2" s="1158"/>
      <c r="DM2" s="1161"/>
      <c r="DN2" s="1167"/>
      <c r="DO2" s="1168"/>
      <c r="DP2" s="1169"/>
      <c r="DQ2" s="1170"/>
      <c r="DR2" s="1169"/>
      <c r="DT2" s="1050"/>
      <c r="DU2" s="1052"/>
      <c r="DV2" s="1054" t="s">
        <v>1074</v>
      </c>
      <c r="DW2" s="1157"/>
      <c r="DX2" s="1158"/>
      <c r="DY2" s="1158"/>
      <c r="DZ2" s="1158"/>
      <c r="EA2" s="1158"/>
      <c r="EB2" s="1158"/>
      <c r="EC2" s="1166"/>
      <c r="ED2" s="1158"/>
      <c r="EE2" s="1161"/>
      <c r="EF2" s="1167"/>
      <c r="EG2" s="1168"/>
      <c r="EH2" s="1169"/>
      <c r="EI2" s="1170"/>
      <c r="EJ2" s="1169"/>
      <c r="EL2" s="1050"/>
      <c r="EM2" s="1052"/>
      <c r="EN2" s="1054" t="s">
        <v>1074</v>
      </c>
      <c r="EO2" s="1157"/>
      <c r="EP2" s="1158"/>
      <c r="EQ2" s="1158"/>
      <c r="ER2" s="1158"/>
      <c r="ES2" s="1158"/>
      <c r="ET2" s="1158"/>
      <c r="EU2" s="1166"/>
      <c r="EV2" s="1158"/>
      <c r="EW2" s="1161"/>
      <c r="EX2" s="1167"/>
      <c r="EY2" s="1168"/>
      <c r="EZ2" s="1169"/>
      <c r="FA2" s="1170"/>
      <c r="FB2" s="1169"/>
      <c r="FD2" s="1050"/>
      <c r="FE2" s="1052"/>
      <c r="FF2" s="1054" t="s">
        <v>1074</v>
      </c>
      <c r="FG2" s="1157"/>
      <c r="FH2" s="1158"/>
      <c r="FI2" s="1158"/>
      <c r="FJ2" s="1158"/>
      <c r="FK2" s="1158"/>
      <c r="FL2" s="1158"/>
      <c r="FM2" s="1166"/>
      <c r="FN2" s="1158"/>
      <c r="FO2" s="1161"/>
      <c r="FP2" s="1167"/>
      <c r="FQ2" s="1168"/>
      <c r="FR2" s="1169"/>
      <c r="FS2" s="1170"/>
      <c r="FT2" s="1169"/>
      <c r="FV2" s="1050"/>
      <c r="FW2" s="1052"/>
      <c r="FX2" s="1054" t="s">
        <v>1074</v>
      </c>
      <c r="FY2" s="1157"/>
      <c r="FZ2" s="1158"/>
      <c r="GA2" s="1158"/>
      <c r="GB2" s="1158"/>
      <c r="GC2" s="1158"/>
      <c r="GD2" s="1158"/>
      <c r="GE2" s="1166"/>
      <c r="GF2" s="1158"/>
      <c r="GG2" s="1161"/>
      <c r="GH2" s="1167"/>
      <c r="GI2" s="1168"/>
      <c r="GJ2" s="1169"/>
      <c r="GK2" s="1170"/>
      <c r="GL2" s="1169"/>
      <c r="GN2" s="1050"/>
      <c r="GO2" s="1052"/>
      <c r="GP2" s="1054" t="s">
        <v>1074</v>
      </c>
    </row>
    <row r="3" spans="1:198" ht="14.5">
      <c r="A3" s="1157"/>
      <c r="B3" s="1161"/>
      <c r="C3" s="1171"/>
      <c r="D3" s="1171"/>
      <c r="F3" s="1171"/>
      <c r="G3" s="1172"/>
      <c r="H3" s="1171"/>
      <c r="I3" s="1173"/>
      <c r="J3" s="1171"/>
      <c r="K3" s="1174"/>
      <c r="N3" s="1175"/>
      <c r="O3" s="1051"/>
      <c r="R3" s="1056" t="s">
        <v>60</v>
      </c>
      <c r="S3" s="1157"/>
      <c r="T3" s="1161"/>
      <c r="U3" s="1171"/>
      <c r="V3" s="1171"/>
      <c r="W3" s="1050"/>
      <c r="X3" s="1171"/>
      <c r="Y3" s="1172"/>
      <c r="Z3" s="1171"/>
      <c r="AA3" s="1173"/>
      <c r="AB3" s="1171"/>
      <c r="AC3" s="1174"/>
      <c r="AD3" s="1050"/>
      <c r="AF3" s="1175"/>
      <c r="AH3" s="1050"/>
      <c r="AI3" s="1052"/>
      <c r="AJ3" s="1056" t="s">
        <v>60</v>
      </c>
      <c r="AK3" s="1157"/>
      <c r="AL3" s="1161"/>
      <c r="AM3" s="1171"/>
      <c r="AN3" s="1171"/>
      <c r="AO3" s="1050"/>
      <c r="AP3" s="1171"/>
      <c r="AQ3" s="1172"/>
      <c r="AR3" s="1171"/>
      <c r="AS3" s="1173"/>
      <c r="AT3" s="1171"/>
      <c r="AU3" s="1174"/>
      <c r="AV3" s="1050"/>
      <c r="AX3" s="1175"/>
      <c r="AZ3" s="1050"/>
      <c r="BA3" s="1052"/>
      <c r="BB3" s="1056" t="s">
        <v>60</v>
      </c>
      <c r="BC3" s="1157"/>
      <c r="BD3" s="1161"/>
      <c r="BE3" s="1171"/>
      <c r="BF3" s="1171"/>
      <c r="BG3" s="1050"/>
      <c r="BH3" s="1171"/>
      <c r="BI3" s="1172"/>
      <c r="BJ3" s="1171"/>
      <c r="BK3" s="1173"/>
      <c r="BL3" s="1171"/>
      <c r="BM3" s="1174"/>
      <c r="BN3" s="1050"/>
      <c r="BO3" s="1055"/>
      <c r="BP3" s="1175"/>
      <c r="BR3" s="1050"/>
      <c r="BS3" s="1052"/>
      <c r="BT3" s="1056" t="s">
        <v>60</v>
      </c>
      <c r="BU3" s="1157"/>
      <c r="BV3" s="1161"/>
      <c r="BW3" s="1171"/>
      <c r="BX3" s="1171"/>
      <c r="BY3" s="1050"/>
      <c r="BZ3" s="1171"/>
      <c r="CA3" s="1172"/>
      <c r="CB3" s="1171"/>
      <c r="CC3" s="1173"/>
      <c r="CD3" s="1171"/>
      <c r="CE3" s="1174"/>
      <c r="CF3" s="1050"/>
      <c r="CG3" s="1055"/>
      <c r="CH3" s="1175"/>
      <c r="CJ3" s="1050"/>
      <c r="CK3" s="1052"/>
      <c r="CL3" s="1056" t="s">
        <v>60</v>
      </c>
      <c r="CM3" s="1157"/>
      <c r="CN3" s="1161"/>
      <c r="CO3" s="1171"/>
      <c r="CP3" s="1171"/>
      <c r="CQ3" s="1050"/>
      <c r="CR3" s="1171"/>
      <c r="CS3" s="1172"/>
      <c r="CT3" s="1171"/>
      <c r="CU3" s="1173"/>
      <c r="CV3" s="1171"/>
      <c r="CW3" s="1174"/>
      <c r="CX3" s="1050"/>
      <c r="CY3" s="1055"/>
      <c r="CZ3" s="1175"/>
      <c r="DB3" s="1050"/>
      <c r="DC3" s="1052"/>
      <c r="DD3" s="1056" t="s">
        <v>60</v>
      </c>
      <c r="DE3" s="1157"/>
      <c r="DF3" s="1161"/>
      <c r="DG3" s="1171"/>
      <c r="DH3" s="1171"/>
      <c r="DI3" s="1050"/>
      <c r="DJ3" s="1171"/>
      <c r="DK3" s="1172"/>
      <c r="DL3" s="1171"/>
      <c r="DM3" s="1173"/>
      <c r="DN3" s="1171"/>
      <c r="DO3" s="1174"/>
      <c r="DP3" s="1050"/>
      <c r="DQ3" s="1055"/>
      <c r="DR3" s="1175"/>
      <c r="DT3" s="1050"/>
      <c r="DU3" s="1052"/>
      <c r="DV3" s="1056" t="s">
        <v>60</v>
      </c>
      <c r="DW3" s="1157"/>
      <c r="DX3" s="1161"/>
      <c r="DY3" s="1171"/>
      <c r="DZ3" s="1171"/>
      <c r="EA3" s="1050"/>
      <c r="EB3" s="1171"/>
      <c r="EC3" s="1172"/>
      <c r="ED3" s="1171"/>
      <c r="EE3" s="1173"/>
      <c r="EF3" s="1171"/>
      <c r="EG3" s="1174"/>
      <c r="EH3" s="1050"/>
      <c r="EI3" s="1055"/>
      <c r="EJ3" s="1175"/>
      <c r="EL3" s="1050"/>
      <c r="EM3" s="1052"/>
      <c r="EN3" s="1056" t="s">
        <v>60</v>
      </c>
      <c r="EO3" s="1157"/>
      <c r="EP3" s="1161"/>
      <c r="EQ3" s="1171"/>
      <c r="ER3" s="1171"/>
      <c r="ES3" s="1050"/>
      <c r="ET3" s="1171"/>
      <c r="EU3" s="1172"/>
      <c r="EV3" s="1171"/>
      <c r="EW3" s="1173"/>
      <c r="EX3" s="1171"/>
      <c r="EY3" s="1174"/>
      <c r="EZ3" s="1050"/>
      <c r="FA3" s="1055"/>
      <c r="FB3" s="1175"/>
      <c r="FD3" s="1050"/>
      <c r="FE3" s="1052"/>
      <c r="FF3" s="1056" t="s">
        <v>60</v>
      </c>
      <c r="FG3" s="1157"/>
      <c r="FH3" s="1161"/>
      <c r="FI3" s="1171"/>
      <c r="FJ3" s="1171"/>
      <c r="FK3" s="1050"/>
      <c r="FL3" s="1171"/>
      <c r="FM3" s="1172"/>
      <c r="FN3" s="1171"/>
      <c r="FO3" s="1173"/>
      <c r="FP3" s="1171"/>
      <c r="FQ3" s="1174"/>
      <c r="FR3" s="1050"/>
      <c r="FS3" s="1055"/>
      <c r="FT3" s="1175"/>
      <c r="FV3" s="1050"/>
      <c r="FW3" s="1052"/>
      <c r="FX3" s="1056" t="s">
        <v>60</v>
      </c>
      <c r="FY3" s="1157"/>
      <c r="FZ3" s="1161"/>
      <c r="GA3" s="1171"/>
      <c r="GB3" s="1171"/>
      <c r="GC3" s="1050"/>
      <c r="GD3" s="1171"/>
      <c r="GE3" s="1172"/>
      <c r="GF3" s="1171"/>
      <c r="GG3" s="1173"/>
      <c r="GH3" s="1171"/>
      <c r="GI3" s="1174"/>
      <c r="GJ3" s="1050"/>
      <c r="GK3" s="1055"/>
      <c r="GL3" s="1175"/>
      <c r="GN3" s="1050"/>
      <c r="GO3" s="1052"/>
      <c r="GP3" s="1056" t="s">
        <v>60</v>
      </c>
    </row>
    <row r="4" spans="1:198" ht="14.25" customHeight="1">
      <c r="A4" s="1157"/>
      <c r="B4" s="1158"/>
      <c r="C4" s="1161"/>
      <c r="D4" s="1173"/>
      <c r="E4" s="1173"/>
      <c r="F4" s="1173"/>
      <c r="G4" s="1176"/>
      <c r="H4" s="1173"/>
      <c r="I4" s="1173"/>
      <c r="J4" s="1173"/>
      <c r="K4" s="1177"/>
      <c r="L4" s="1177"/>
      <c r="M4" s="1178"/>
      <c r="N4" s="1179"/>
      <c r="O4" s="1051"/>
      <c r="R4" s="1057" t="s">
        <v>1075</v>
      </c>
      <c r="S4" s="1157"/>
      <c r="T4" s="1158"/>
      <c r="U4" s="1161"/>
      <c r="V4" s="1173"/>
      <c r="W4" s="1173"/>
      <c r="X4" s="1173"/>
      <c r="Y4" s="1176"/>
      <c r="Z4" s="1173"/>
      <c r="AA4" s="1173"/>
      <c r="AB4" s="1173"/>
      <c r="AC4" s="1177"/>
      <c r="AD4" s="1177"/>
      <c r="AE4" s="1178"/>
      <c r="AF4" s="1179"/>
      <c r="AH4" s="1050"/>
      <c r="AI4" s="1052"/>
      <c r="AJ4" s="1057" t="s">
        <v>1075</v>
      </c>
      <c r="AK4" s="1157"/>
      <c r="AL4" s="1158"/>
      <c r="AM4" s="1161"/>
      <c r="AN4" s="1173"/>
      <c r="AO4" s="1173"/>
      <c r="AP4" s="1173"/>
      <c r="AQ4" s="1176"/>
      <c r="AR4" s="1173"/>
      <c r="AS4" s="1173"/>
      <c r="AT4" s="1173"/>
      <c r="AU4" s="1177"/>
      <c r="AV4" s="1177"/>
      <c r="AW4" s="1178"/>
      <c r="AX4" s="1179"/>
      <c r="AZ4" s="1050"/>
      <c r="BA4" s="1052"/>
      <c r="BB4" s="1057" t="s">
        <v>1075</v>
      </c>
      <c r="BC4" s="1157"/>
      <c r="BD4" s="1158"/>
      <c r="BE4" s="1161"/>
      <c r="BF4" s="1173"/>
      <c r="BG4" s="1173"/>
      <c r="BH4" s="1173"/>
      <c r="BI4" s="1176"/>
      <c r="BJ4" s="1173"/>
      <c r="BK4" s="1173"/>
      <c r="BL4" s="1173"/>
      <c r="BM4" s="1177"/>
      <c r="BN4" s="1177"/>
      <c r="BO4" s="1178"/>
      <c r="BP4" s="1179"/>
      <c r="BR4" s="1050"/>
      <c r="BS4" s="1052"/>
      <c r="BT4" s="1057" t="s">
        <v>1075</v>
      </c>
      <c r="BU4" s="1157"/>
      <c r="BV4" s="1158"/>
      <c r="BW4" s="1161"/>
      <c r="BX4" s="1173"/>
      <c r="BY4" s="1173"/>
      <c r="BZ4" s="1173"/>
      <c r="CA4" s="1176"/>
      <c r="CB4" s="1173"/>
      <c r="CC4" s="1173"/>
      <c r="CD4" s="1173"/>
      <c r="CE4" s="1177"/>
      <c r="CF4" s="1177"/>
      <c r="CG4" s="1178"/>
      <c r="CH4" s="1179"/>
      <c r="CJ4" s="1050"/>
      <c r="CK4" s="1052"/>
      <c r="CL4" s="1057" t="s">
        <v>1075</v>
      </c>
      <c r="CM4" s="1157"/>
      <c r="CN4" s="1158"/>
      <c r="CO4" s="1161"/>
      <c r="CP4" s="1173"/>
      <c r="CQ4" s="1173"/>
      <c r="CR4" s="1173"/>
      <c r="CS4" s="1176"/>
      <c r="CT4" s="1173"/>
      <c r="CU4" s="1173"/>
      <c r="CV4" s="1173"/>
      <c r="CW4" s="1177"/>
      <c r="CX4" s="1177"/>
      <c r="CY4" s="1178"/>
      <c r="CZ4" s="1179"/>
      <c r="DB4" s="1050"/>
      <c r="DC4" s="1052"/>
      <c r="DD4" s="1057" t="s">
        <v>1075</v>
      </c>
      <c r="DE4" s="1157"/>
      <c r="DF4" s="1158"/>
      <c r="DG4" s="1161"/>
      <c r="DH4" s="1173"/>
      <c r="DI4" s="1173"/>
      <c r="DJ4" s="1173"/>
      <c r="DK4" s="1176"/>
      <c r="DL4" s="1173"/>
      <c r="DM4" s="1173"/>
      <c r="DN4" s="1173"/>
      <c r="DO4" s="1177"/>
      <c r="DP4" s="1177"/>
      <c r="DQ4" s="1178"/>
      <c r="DR4" s="1179"/>
      <c r="DT4" s="1050"/>
      <c r="DU4" s="1052"/>
      <c r="DV4" s="1057" t="s">
        <v>1075</v>
      </c>
      <c r="DW4" s="1157"/>
      <c r="DX4" s="1158"/>
      <c r="DY4" s="1161"/>
      <c r="DZ4" s="1173"/>
      <c r="EA4" s="1173"/>
      <c r="EB4" s="1173"/>
      <c r="EC4" s="1176"/>
      <c r="ED4" s="1173"/>
      <c r="EE4" s="1173"/>
      <c r="EF4" s="1173"/>
      <c r="EG4" s="1177"/>
      <c r="EH4" s="1177"/>
      <c r="EI4" s="1178"/>
      <c r="EJ4" s="1179"/>
      <c r="EL4" s="1050"/>
      <c r="EM4" s="1052"/>
      <c r="EN4" s="1057" t="s">
        <v>1075</v>
      </c>
      <c r="EO4" s="1157"/>
      <c r="EP4" s="1158"/>
      <c r="EQ4" s="1161"/>
      <c r="ER4" s="1173"/>
      <c r="ES4" s="1173"/>
      <c r="ET4" s="1173"/>
      <c r="EU4" s="1176"/>
      <c r="EV4" s="1173"/>
      <c r="EW4" s="1173"/>
      <c r="EX4" s="1173"/>
      <c r="EY4" s="1177"/>
      <c r="EZ4" s="1177"/>
      <c r="FA4" s="1178"/>
      <c r="FB4" s="1179"/>
      <c r="FD4" s="1050"/>
      <c r="FE4" s="1052"/>
      <c r="FF4" s="1057" t="s">
        <v>1075</v>
      </c>
      <c r="FG4" s="1157"/>
      <c r="FH4" s="1158"/>
      <c r="FI4" s="1161"/>
      <c r="FJ4" s="1173"/>
      <c r="FK4" s="1173"/>
      <c r="FL4" s="1173"/>
      <c r="FM4" s="1176"/>
      <c r="FN4" s="1173"/>
      <c r="FO4" s="1173"/>
      <c r="FP4" s="1173"/>
      <c r="FQ4" s="1177"/>
      <c r="FR4" s="1177"/>
      <c r="FS4" s="1178"/>
      <c r="FT4" s="1179"/>
      <c r="FV4" s="1050"/>
      <c r="FW4" s="1052"/>
      <c r="FX4" s="1057" t="s">
        <v>1075</v>
      </c>
      <c r="FY4" s="1157"/>
      <c r="FZ4" s="1158"/>
      <c r="GA4" s="1161"/>
      <c r="GB4" s="1173"/>
      <c r="GC4" s="1173"/>
      <c r="GD4" s="1173"/>
      <c r="GE4" s="1176"/>
      <c r="GF4" s="1173"/>
      <c r="GG4" s="1173"/>
      <c r="GH4" s="1173"/>
      <c r="GI4" s="1177"/>
      <c r="GJ4" s="1177"/>
      <c r="GK4" s="1178"/>
      <c r="GL4" s="1179"/>
      <c r="GN4" s="1050"/>
      <c r="GO4" s="1052"/>
      <c r="GP4" s="1057" t="s">
        <v>1075</v>
      </c>
    </row>
    <row r="5" spans="1:198" ht="11.25" customHeight="1">
      <c r="A5" s="1157"/>
      <c r="B5" s="1161"/>
      <c r="C5" s="1161"/>
      <c r="D5" s="1180"/>
      <c r="E5" s="1180"/>
      <c r="F5" s="1180"/>
      <c r="G5" s="1181"/>
      <c r="H5" s="1180"/>
      <c r="I5" s="1180"/>
      <c r="J5" s="1180"/>
      <c r="K5" s="1180"/>
      <c r="L5" s="1180"/>
      <c r="M5" s="1181"/>
      <c r="N5" s="1182"/>
      <c r="O5" s="1051"/>
      <c r="P5" s="1058"/>
      <c r="S5" s="1157"/>
      <c r="T5" s="1161"/>
      <c r="U5" s="1161"/>
      <c r="V5" s="1180"/>
      <c r="W5" s="1180"/>
      <c r="X5" s="1180"/>
      <c r="Y5" s="1181"/>
      <c r="Z5" s="1180"/>
      <c r="AA5" s="1180"/>
      <c r="AB5" s="1180"/>
      <c r="AC5" s="1180"/>
      <c r="AD5" s="1180"/>
      <c r="AE5" s="1181"/>
      <c r="AF5" s="1182"/>
      <c r="AH5" s="1058"/>
      <c r="AI5" s="1052"/>
      <c r="AJ5" s="1052"/>
      <c r="AK5" s="1157"/>
      <c r="AL5" s="1161"/>
      <c r="AM5" s="1161"/>
      <c r="AN5" s="1180"/>
      <c r="AO5" s="1180"/>
      <c r="AP5" s="1180"/>
      <c r="AQ5" s="1181"/>
      <c r="AR5" s="1180"/>
      <c r="AS5" s="1180"/>
      <c r="AT5" s="1180"/>
      <c r="AU5" s="1180"/>
      <c r="AV5" s="1180"/>
      <c r="AW5" s="1181"/>
      <c r="AX5" s="1182"/>
      <c r="AZ5" s="1058"/>
      <c r="BA5" s="1052"/>
      <c r="BB5" s="1052"/>
      <c r="BC5" s="1157"/>
      <c r="BD5" s="1161"/>
      <c r="BE5" s="1161"/>
      <c r="BF5" s="1180"/>
      <c r="BG5" s="1180"/>
      <c r="BH5" s="1180"/>
      <c r="BI5" s="1181"/>
      <c r="BJ5" s="1180"/>
      <c r="BK5" s="1180"/>
      <c r="BL5" s="1180"/>
      <c r="BM5" s="1180"/>
      <c r="BN5" s="1180"/>
      <c r="BO5" s="1181"/>
      <c r="BP5" s="1182"/>
      <c r="BR5" s="1058"/>
      <c r="BS5" s="1052"/>
      <c r="BT5" s="1052"/>
      <c r="BU5" s="1157"/>
      <c r="BV5" s="1161"/>
      <c r="BW5" s="1161"/>
      <c r="BX5" s="1180"/>
      <c r="BY5" s="1180"/>
      <c r="BZ5" s="1180"/>
      <c r="CA5" s="1181"/>
      <c r="CB5" s="1180"/>
      <c r="CC5" s="1180"/>
      <c r="CD5" s="1180"/>
      <c r="CE5" s="1180"/>
      <c r="CF5" s="1180"/>
      <c r="CG5" s="1181"/>
      <c r="CH5" s="1182"/>
      <c r="CJ5" s="1058"/>
      <c r="CK5" s="1052"/>
      <c r="CL5" s="1052"/>
      <c r="CM5" s="1157"/>
      <c r="CN5" s="1161"/>
      <c r="CO5" s="1161"/>
      <c r="CP5" s="1180"/>
      <c r="CQ5" s="1180"/>
      <c r="CR5" s="1180"/>
      <c r="CS5" s="1181"/>
      <c r="CT5" s="1180"/>
      <c r="CU5" s="1180"/>
      <c r="CV5" s="1180"/>
      <c r="CW5" s="1180"/>
      <c r="CX5" s="1180"/>
      <c r="CY5" s="1181"/>
      <c r="CZ5" s="1182"/>
      <c r="DB5" s="1058"/>
      <c r="DC5" s="1052"/>
      <c r="DD5" s="1052"/>
      <c r="DE5" s="1157"/>
      <c r="DF5" s="1161"/>
      <c r="DG5" s="1161"/>
      <c r="DH5" s="1180"/>
      <c r="DI5" s="1180"/>
      <c r="DJ5" s="1180"/>
      <c r="DK5" s="1181"/>
      <c r="DL5" s="1180"/>
      <c r="DM5" s="1180"/>
      <c r="DN5" s="1180"/>
      <c r="DO5" s="1180"/>
      <c r="DP5" s="1180"/>
      <c r="DQ5" s="1181"/>
      <c r="DR5" s="1182"/>
      <c r="DT5" s="1058"/>
      <c r="DU5" s="1052"/>
      <c r="DV5" s="1052"/>
      <c r="DW5" s="1157"/>
      <c r="DX5" s="1161"/>
      <c r="DY5" s="1161"/>
      <c r="DZ5" s="1180"/>
      <c r="EA5" s="1180"/>
      <c r="EB5" s="1180"/>
      <c r="EC5" s="1181"/>
      <c r="ED5" s="1180"/>
      <c r="EE5" s="1180"/>
      <c r="EF5" s="1180"/>
      <c r="EG5" s="1180"/>
      <c r="EH5" s="1180"/>
      <c r="EI5" s="1181"/>
      <c r="EJ5" s="1182"/>
      <c r="EL5" s="1058"/>
      <c r="EM5" s="1052"/>
      <c r="EN5" s="1052"/>
      <c r="EO5" s="1157"/>
      <c r="EP5" s="1161"/>
      <c r="EQ5" s="1161"/>
      <c r="ER5" s="1180"/>
      <c r="ES5" s="1180"/>
      <c r="ET5" s="1180"/>
      <c r="EU5" s="1181"/>
      <c r="EV5" s="1180"/>
      <c r="EW5" s="1180"/>
      <c r="EX5" s="1180"/>
      <c r="EY5" s="1180"/>
      <c r="EZ5" s="1180"/>
      <c r="FA5" s="1181"/>
      <c r="FB5" s="1182"/>
      <c r="FD5" s="1058"/>
      <c r="FE5" s="1052"/>
      <c r="FF5" s="1052"/>
      <c r="FG5" s="1157"/>
      <c r="FH5" s="1161"/>
      <c r="FI5" s="1161"/>
      <c r="FJ5" s="1180"/>
      <c r="FK5" s="1180"/>
      <c r="FL5" s="1180"/>
      <c r="FM5" s="1181"/>
      <c r="FN5" s="1180"/>
      <c r="FO5" s="1180"/>
      <c r="FP5" s="1180"/>
      <c r="FQ5" s="1180"/>
      <c r="FR5" s="1180"/>
      <c r="FS5" s="1181"/>
      <c r="FT5" s="1182"/>
      <c r="FV5" s="1058"/>
      <c r="FW5" s="1052"/>
      <c r="FX5" s="1052"/>
      <c r="FY5" s="1157"/>
      <c r="FZ5" s="1161"/>
      <c r="GA5" s="1161"/>
      <c r="GB5" s="1180"/>
      <c r="GC5" s="1180"/>
      <c r="GD5" s="1180"/>
      <c r="GE5" s="1181"/>
      <c r="GF5" s="1180"/>
      <c r="GG5" s="1180"/>
      <c r="GH5" s="1180"/>
      <c r="GI5" s="1180"/>
      <c r="GJ5" s="1180"/>
      <c r="GK5" s="1181"/>
      <c r="GL5" s="1182"/>
      <c r="GN5" s="1058"/>
      <c r="GO5" s="1052"/>
      <c r="GP5" s="1052"/>
    </row>
    <row r="6" spans="1:198" ht="18" customHeight="1">
      <c r="A6" s="1476" t="s">
        <v>1076</v>
      </c>
      <c r="B6" s="1476"/>
      <c r="C6" s="1477">
        <v>12300001</v>
      </c>
      <c r="D6" s="1477"/>
      <c r="E6" s="1477"/>
      <c r="F6" s="1477"/>
      <c r="G6" s="1477"/>
      <c r="H6" s="1477"/>
      <c r="I6" s="1059"/>
      <c r="K6" s="1060" t="s">
        <v>1077</v>
      </c>
      <c r="L6" s="1478"/>
      <c r="M6" s="1478"/>
      <c r="N6" s="1478"/>
      <c r="O6" s="1478"/>
      <c r="P6" s="1478"/>
      <c r="Q6" s="1478"/>
      <c r="R6" s="1478"/>
      <c r="S6" s="1476" t="s">
        <v>1076</v>
      </c>
      <c r="T6" s="1476"/>
      <c r="U6" s="1477">
        <v>12300001</v>
      </c>
      <c r="V6" s="1477"/>
      <c r="W6" s="1477"/>
      <c r="X6" s="1477"/>
      <c r="Y6" s="1477"/>
      <c r="Z6" s="1477"/>
      <c r="AA6" s="1059"/>
      <c r="AB6" s="1050"/>
      <c r="AC6" s="1060" t="s">
        <v>1077</v>
      </c>
      <c r="AD6" s="1478"/>
      <c r="AE6" s="1478"/>
      <c r="AF6" s="1478"/>
      <c r="AG6" s="1478"/>
      <c r="AH6" s="1478"/>
      <c r="AI6" s="1478"/>
      <c r="AJ6" s="1478"/>
      <c r="AK6" s="1476" t="s">
        <v>1076</v>
      </c>
      <c r="AL6" s="1476"/>
      <c r="AM6" s="1477">
        <v>12300001</v>
      </c>
      <c r="AN6" s="1477"/>
      <c r="AO6" s="1477"/>
      <c r="AP6" s="1477"/>
      <c r="AQ6" s="1477"/>
      <c r="AR6" s="1477"/>
      <c r="AS6" s="1059"/>
      <c r="AT6" s="1050"/>
      <c r="AU6" s="1060" t="s">
        <v>1077</v>
      </c>
      <c r="AV6" s="1478"/>
      <c r="AW6" s="1478"/>
      <c r="AX6" s="1478"/>
      <c r="AY6" s="1478"/>
      <c r="AZ6" s="1478"/>
      <c r="BA6" s="1478"/>
      <c r="BB6" s="1478"/>
      <c r="BC6" s="1476" t="s">
        <v>1076</v>
      </c>
      <c r="BD6" s="1476"/>
      <c r="BE6" s="1477">
        <v>12300001</v>
      </c>
      <c r="BF6" s="1477"/>
      <c r="BG6" s="1477"/>
      <c r="BH6" s="1477"/>
      <c r="BI6" s="1477"/>
      <c r="BJ6" s="1477"/>
      <c r="BK6" s="1059"/>
      <c r="BL6" s="1050"/>
      <c r="BM6" s="1060" t="s">
        <v>1077</v>
      </c>
      <c r="BN6" s="1478"/>
      <c r="BO6" s="1478"/>
      <c r="BP6" s="1478"/>
      <c r="BQ6" s="1478"/>
      <c r="BR6" s="1478"/>
      <c r="BS6" s="1478"/>
      <c r="BT6" s="1478"/>
      <c r="BU6" s="1476" t="s">
        <v>1076</v>
      </c>
      <c r="BV6" s="1476"/>
      <c r="BW6" s="1477">
        <v>12300001</v>
      </c>
      <c r="BX6" s="1477"/>
      <c r="BY6" s="1477"/>
      <c r="BZ6" s="1477"/>
      <c r="CA6" s="1477"/>
      <c r="CB6" s="1477"/>
      <c r="CC6" s="1059"/>
      <c r="CD6" s="1050"/>
      <c r="CE6" s="1060" t="s">
        <v>1077</v>
      </c>
      <c r="CF6" s="1478"/>
      <c r="CG6" s="1478"/>
      <c r="CH6" s="1478"/>
      <c r="CI6" s="1478"/>
      <c r="CJ6" s="1478"/>
      <c r="CK6" s="1478"/>
      <c r="CL6" s="1478"/>
      <c r="CM6" s="1476" t="s">
        <v>1076</v>
      </c>
      <c r="CN6" s="1476"/>
      <c r="CO6" s="1477">
        <v>12300001</v>
      </c>
      <c r="CP6" s="1477"/>
      <c r="CQ6" s="1477"/>
      <c r="CR6" s="1477"/>
      <c r="CS6" s="1477"/>
      <c r="CT6" s="1477"/>
      <c r="CU6" s="1059"/>
      <c r="CV6" s="1050"/>
      <c r="CW6" s="1060" t="s">
        <v>1077</v>
      </c>
      <c r="CX6" s="1478"/>
      <c r="CY6" s="1478"/>
      <c r="CZ6" s="1478"/>
      <c r="DA6" s="1478"/>
      <c r="DB6" s="1478"/>
      <c r="DC6" s="1478"/>
      <c r="DD6" s="1478"/>
      <c r="DE6" s="1476" t="s">
        <v>1076</v>
      </c>
      <c r="DF6" s="1476"/>
      <c r="DG6" s="1477">
        <v>12300001</v>
      </c>
      <c r="DH6" s="1477"/>
      <c r="DI6" s="1477"/>
      <c r="DJ6" s="1477"/>
      <c r="DK6" s="1477"/>
      <c r="DL6" s="1477"/>
      <c r="DM6" s="1059"/>
      <c r="DN6" s="1050"/>
      <c r="DO6" s="1060" t="s">
        <v>1077</v>
      </c>
      <c r="DP6" s="1478"/>
      <c r="DQ6" s="1478"/>
      <c r="DR6" s="1478"/>
      <c r="DS6" s="1478"/>
      <c r="DT6" s="1478"/>
      <c r="DU6" s="1478"/>
      <c r="DV6" s="1478"/>
      <c r="DW6" s="1476" t="s">
        <v>1076</v>
      </c>
      <c r="DX6" s="1476"/>
      <c r="DY6" s="1477">
        <v>12300001</v>
      </c>
      <c r="DZ6" s="1477"/>
      <c r="EA6" s="1477"/>
      <c r="EB6" s="1477"/>
      <c r="EC6" s="1477"/>
      <c r="ED6" s="1477"/>
      <c r="EE6" s="1059"/>
      <c r="EF6" s="1050"/>
      <c r="EG6" s="1060" t="s">
        <v>1077</v>
      </c>
      <c r="EH6" s="1478"/>
      <c r="EI6" s="1478"/>
      <c r="EJ6" s="1478"/>
      <c r="EK6" s="1478"/>
      <c r="EL6" s="1478"/>
      <c r="EM6" s="1478"/>
      <c r="EN6" s="1478"/>
      <c r="EO6" s="1476" t="s">
        <v>1076</v>
      </c>
      <c r="EP6" s="1476"/>
      <c r="EQ6" s="1477">
        <v>12300001</v>
      </c>
      <c r="ER6" s="1477"/>
      <c r="ES6" s="1477"/>
      <c r="ET6" s="1477"/>
      <c r="EU6" s="1477"/>
      <c r="EV6" s="1477"/>
      <c r="EW6" s="1059"/>
      <c r="EX6" s="1050"/>
      <c r="EY6" s="1060" t="s">
        <v>1077</v>
      </c>
      <c r="EZ6" s="1478"/>
      <c r="FA6" s="1478"/>
      <c r="FB6" s="1478"/>
      <c r="FC6" s="1478"/>
      <c r="FD6" s="1478"/>
      <c r="FE6" s="1478"/>
      <c r="FF6" s="1478"/>
      <c r="FG6" s="1476" t="s">
        <v>1076</v>
      </c>
      <c r="FH6" s="1476"/>
      <c r="FI6" s="1477">
        <v>12300001</v>
      </c>
      <c r="FJ6" s="1477"/>
      <c r="FK6" s="1477"/>
      <c r="FL6" s="1477"/>
      <c r="FM6" s="1477"/>
      <c r="FN6" s="1477"/>
      <c r="FO6" s="1059"/>
      <c r="FP6" s="1050"/>
      <c r="FQ6" s="1060" t="s">
        <v>1077</v>
      </c>
      <c r="FR6" s="1478"/>
      <c r="FS6" s="1478"/>
      <c r="FT6" s="1478"/>
      <c r="FU6" s="1478"/>
      <c r="FV6" s="1478"/>
      <c r="FW6" s="1478"/>
      <c r="FX6" s="1478"/>
      <c r="FY6" s="1476" t="s">
        <v>1076</v>
      </c>
      <c r="FZ6" s="1476"/>
      <c r="GA6" s="1477">
        <v>12300001</v>
      </c>
      <c r="GB6" s="1477"/>
      <c r="GC6" s="1477"/>
      <c r="GD6" s="1477"/>
      <c r="GE6" s="1477"/>
      <c r="GF6" s="1477"/>
      <c r="GG6" s="1059"/>
      <c r="GH6" s="1050"/>
      <c r="GI6" s="1060" t="s">
        <v>1077</v>
      </c>
      <c r="GJ6" s="1478"/>
      <c r="GK6" s="1478"/>
      <c r="GL6" s="1478"/>
      <c r="GM6" s="1478"/>
      <c r="GN6" s="1478"/>
      <c r="GO6" s="1478"/>
      <c r="GP6" s="1478"/>
    </row>
    <row r="7" spans="1:198" ht="18" customHeight="1">
      <c r="A7" s="1061" t="s">
        <v>1078</v>
      </c>
      <c r="B7" s="1061"/>
      <c r="C7" s="1479" t="s">
        <v>1121</v>
      </c>
      <c r="D7" s="1479"/>
      <c r="E7" s="1479"/>
      <c r="F7" s="1479"/>
      <c r="G7" s="1479"/>
      <c r="H7" s="1479"/>
      <c r="I7" s="1062"/>
      <c r="J7" s="1062"/>
      <c r="K7" s="1062"/>
      <c r="L7" s="1062"/>
      <c r="M7" s="1063"/>
      <c r="N7" s="1062"/>
      <c r="O7" s="1062"/>
      <c r="P7" s="1062"/>
      <c r="Q7" s="1183"/>
      <c r="R7" s="1184"/>
      <c r="S7" s="1061" t="s">
        <v>1078</v>
      </c>
      <c r="T7" s="1061"/>
      <c r="U7" s="1479" t="s">
        <v>1121</v>
      </c>
      <c r="V7" s="1479"/>
      <c r="W7" s="1479"/>
      <c r="X7" s="1479"/>
      <c r="Y7" s="1479"/>
      <c r="Z7" s="1479"/>
      <c r="AA7" s="1062"/>
      <c r="AB7" s="1062"/>
      <c r="AC7" s="1062"/>
      <c r="AD7" s="1062"/>
      <c r="AE7" s="1063"/>
      <c r="AF7" s="1062"/>
      <c r="AG7" s="1062"/>
      <c r="AH7" s="1062"/>
      <c r="AI7" s="1183"/>
      <c r="AJ7" s="1184"/>
      <c r="AK7" s="1061" t="s">
        <v>1078</v>
      </c>
      <c r="AL7" s="1061"/>
      <c r="AM7" s="1479" t="s">
        <v>1121</v>
      </c>
      <c r="AN7" s="1479"/>
      <c r="AO7" s="1479"/>
      <c r="AP7" s="1479"/>
      <c r="AQ7" s="1479"/>
      <c r="AR7" s="1479"/>
      <c r="AS7" s="1062"/>
      <c r="AT7" s="1062"/>
      <c r="AU7" s="1062"/>
      <c r="AV7" s="1062"/>
      <c r="AW7" s="1063"/>
      <c r="AX7" s="1062"/>
      <c r="AY7" s="1062"/>
      <c r="AZ7" s="1062"/>
      <c r="BA7" s="1183"/>
      <c r="BB7" s="1184"/>
      <c r="BC7" s="1061" t="s">
        <v>1078</v>
      </c>
      <c r="BD7" s="1061"/>
      <c r="BE7" s="1479" t="s">
        <v>1121</v>
      </c>
      <c r="BF7" s="1479"/>
      <c r="BG7" s="1479"/>
      <c r="BH7" s="1479"/>
      <c r="BI7" s="1479"/>
      <c r="BJ7" s="1479"/>
      <c r="BK7" s="1062"/>
      <c r="BL7" s="1062"/>
      <c r="BM7" s="1062"/>
      <c r="BN7" s="1062"/>
      <c r="BO7" s="1063"/>
      <c r="BP7" s="1062"/>
      <c r="BQ7" s="1062"/>
      <c r="BR7" s="1062"/>
      <c r="BS7" s="1183"/>
      <c r="BT7" s="1184"/>
      <c r="BU7" s="1061" t="s">
        <v>1078</v>
      </c>
      <c r="BV7" s="1061"/>
      <c r="BW7" s="1479" t="s">
        <v>1121</v>
      </c>
      <c r="BX7" s="1479"/>
      <c r="BY7" s="1479"/>
      <c r="BZ7" s="1479"/>
      <c r="CA7" s="1479"/>
      <c r="CB7" s="1479"/>
      <c r="CC7" s="1062"/>
      <c r="CD7" s="1062"/>
      <c r="CE7" s="1062"/>
      <c r="CF7" s="1062"/>
      <c r="CG7" s="1063"/>
      <c r="CH7" s="1062"/>
      <c r="CI7" s="1062"/>
      <c r="CJ7" s="1062"/>
      <c r="CK7" s="1183"/>
      <c r="CL7" s="1184"/>
      <c r="CM7" s="1061" t="s">
        <v>1078</v>
      </c>
      <c r="CN7" s="1061"/>
      <c r="CO7" s="1479" t="s">
        <v>1121</v>
      </c>
      <c r="CP7" s="1479"/>
      <c r="CQ7" s="1479"/>
      <c r="CR7" s="1479"/>
      <c r="CS7" s="1479"/>
      <c r="CT7" s="1479"/>
      <c r="CU7" s="1062"/>
      <c r="CV7" s="1062"/>
      <c r="CW7" s="1062"/>
      <c r="CX7" s="1062"/>
      <c r="CY7" s="1063"/>
      <c r="CZ7" s="1062"/>
      <c r="DA7" s="1062"/>
      <c r="DB7" s="1062"/>
      <c r="DC7" s="1183"/>
      <c r="DD7" s="1184"/>
      <c r="DE7" s="1061" t="s">
        <v>1078</v>
      </c>
      <c r="DF7" s="1061"/>
      <c r="DG7" s="1479" t="s">
        <v>1121</v>
      </c>
      <c r="DH7" s="1479"/>
      <c r="DI7" s="1479"/>
      <c r="DJ7" s="1479"/>
      <c r="DK7" s="1479"/>
      <c r="DL7" s="1479"/>
      <c r="DM7" s="1062"/>
      <c r="DN7" s="1062"/>
      <c r="DO7" s="1062"/>
      <c r="DP7" s="1062"/>
      <c r="DQ7" s="1063"/>
      <c r="DR7" s="1062"/>
      <c r="DS7" s="1062"/>
      <c r="DT7" s="1062"/>
      <c r="DU7" s="1183"/>
      <c r="DV7" s="1184"/>
      <c r="DW7" s="1061" t="s">
        <v>1078</v>
      </c>
      <c r="DX7" s="1061"/>
      <c r="DY7" s="1479" t="s">
        <v>1121</v>
      </c>
      <c r="DZ7" s="1479"/>
      <c r="EA7" s="1479"/>
      <c r="EB7" s="1479"/>
      <c r="EC7" s="1479"/>
      <c r="ED7" s="1479"/>
      <c r="EE7" s="1062"/>
      <c r="EF7" s="1062"/>
      <c r="EG7" s="1062"/>
      <c r="EH7" s="1062"/>
      <c r="EI7" s="1063"/>
      <c r="EJ7" s="1062"/>
      <c r="EK7" s="1062"/>
      <c r="EL7" s="1062"/>
      <c r="EM7" s="1183"/>
      <c r="EN7" s="1184"/>
      <c r="EO7" s="1061" t="s">
        <v>1078</v>
      </c>
      <c r="EP7" s="1061"/>
      <c r="EQ7" s="1479" t="s">
        <v>1121</v>
      </c>
      <c r="ER7" s="1479"/>
      <c r="ES7" s="1479"/>
      <c r="ET7" s="1479"/>
      <c r="EU7" s="1479"/>
      <c r="EV7" s="1479"/>
      <c r="EW7" s="1062"/>
      <c r="EX7" s="1062"/>
      <c r="EY7" s="1062"/>
      <c r="EZ7" s="1062"/>
      <c r="FA7" s="1063"/>
      <c r="FB7" s="1062"/>
      <c r="FC7" s="1062"/>
      <c r="FD7" s="1062"/>
      <c r="FE7" s="1183"/>
      <c r="FF7" s="1184"/>
      <c r="FG7" s="1061" t="s">
        <v>1078</v>
      </c>
      <c r="FH7" s="1061"/>
      <c r="FI7" s="1479" t="s">
        <v>1121</v>
      </c>
      <c r="FJ7" s="1479"/>
      <c r="FK7" s="1479"/>
      <c r="FL7" s="1479"/>
      <c r="FM7" s="1479"/>
      <c r="FN7" s="1479"/>
      <c r="FO7" s="1062"/>
      <c r="FP7" s="1062"/>
      <c r="FQ7" s="1062"/>
      <c r="FR7" s="1062"/>
      <c r="FS7" s="1063"/>
      <c r="FT7" s="1062"/>
      <c r="FU7" s="1062"/>
      <c r="FV7" s="1062"/>
      <c r="FW7" s="1183"/>
      <c r="FX7" s="1184"/>
      <c r="FY7" s="1061" t="s">
        <v>1078</v>
      </c>
      <c r="FZ7" s="1061"/>
      <c r="GA7" s="1479" t="s">
        <v>1121</v>
      </c>
      <c r="GB7" s="1479"/>
      <c r="GC7" s="1479"/>
      <c r="GD7" s="1479"/>
      <c r="GE7" s="1479"/>
      <c r="GF7" s="1479"/>
      <c r="GG7" s="1062"/>
      <c r="GH7" s="1062"/>
      <c r="GI7" s="1062"/>
      <c r="GJ7" s="1062"/>
      <c r="GK7" s="1063"/>
      <c r="GL7" s="1062"/>
      <c r="GM7" s="1062"/>
      <c r="GN7" s="1062"/>
      <c r="GO7" s="1183"/>
      <c r="GP7" s="1184"/>
    </row>
    <row r="8" spans="1:198" ht="15" customHeight="1">
      <c r="A8" s="1061"/>
      <c r="B8" s="1061"/>
      <c r="C8" s="1061"/>
      <c r="D8" s="1061"/>
      <c r="E8" s="1061"/>
      <c r="F8" s="1062"/>
      <c r="G8" s="1063"/>
      <c r="H8" s="1062"/>
      <c r="I8" s="1062"/>
      <c r="J8" s="1062"/>
      <c r="K8" s="1062"/>
      <c r="L8" s="1062"/>
      <c r="M8" s="1063"/>
      <c r="N8" s="1062"/>
      <c r="O8" s="1062"/>
      <c r="P8" s="1062"/>
      <c r="Q8" s="1184"/>
      <c r="R8" s="1184"/>
      <c r="S8" s="1061"/>
      <c r="T8" s="1061"/>
      <c r="U8" s="1061"/>
      <c r="V8" s="1061"/>
      <c r="W8" s="1061"/>
      <c r="X8" s="1062"/>
      <c r="Y8" s="1063"/>
      <c r="Z8" s="1062"/>
      <c r="AA8" s="1062"/>
      <c r="AB8" s="1062"/>
      <c r="AC8" s="1062"/>
      <c r="AD8" s="1062"/>
      <c r="AE8" s="1063"/>
      <c r="AF8" s="1062"/>
      <c r="AG8" s="1062"/>
      <c r="AH8" s="1062"/>
      <c r="AI8" s="1184"/>
      <c r="AJ8" s="1184"/>
      <c r="AK8" s="1061"/>
      <c r="AL8" s="1061"/>
      <c r="AM8" s="1061"/>
      <c r="AN8" s="1061"/>
      <c r="AO8" s="1061"/>
      <c r="AP8" s="1062"/>
      <c r="AQ8" s="1063"/>
      <c r="AR8" s="1062"/>
      <c r="AS8" s="1062"/>
      <c r="AT8" s="1062"/>
      <c r="AU8" s="1062"/>
      <c r="AV8" s="1062"/>
      <c r="AW8" s="1063"/>
      <c r="AX8" s="1062"/>
      <c r="AY8" s="1062"/>
      <c r="AZ8" s="1062"/>
      <c r="BA8" s="1184"/>
      <c r="BB8" s="1184"/>
      <c r="BC8" s="1061"/>
      <c r="BD8" s="1061"/>
      <c r="BE8" s="1061"/>
      <c r="BF8" s="1061"/>
      <c r="BG8" s="1061"/>
      <c r="BH8" s="1062"/>
      <c r="BI8" s="1063"/>
      <c r="BJ8" s="1062"/>
      <c r="BK8" s="1062"/>
      <c r="BL8" s="1062"/>
      <c r="BM8" s="1062"/>
      <c r="BN8" s="1062"/>
      <c r="BO8" s="1063"/>
      <c r="BP8" s="1062"/>
      <c r="BQ8" s="1062"/>
      <c r="BR8" s="1062"/>
      <c r="BS8" s="1184"/>
      <c r="BT8" s="1184"/>
      <c r="BU8" s="1061"/>
      <c r="BV8" s="1061"/>
      <c r="BW8" s="1061"/>
      <c r="BX8" s="1061"/>
      <c r="BY8" s="1061"/>
      <c r="BZ8" s="1062"/>
      <c r="CA8" s="1063"/>
      <c r="CB8" s="1062"/>
      <c r="CC8" s="1062"/>
      <c r="CD8" s="1062"/>
      <c r="CE8" s="1062"/>
      <c r="CF8" s="1062"/>
      <c r="CG8" s="1063"/>
      <c r="CH8" s="1062"/>
      <c r="CI8" s="1062"/>
      <c r="CJ8" s="1062"/>
      <c r="CK8" s="1184"/>
      <c r="CL8" s="1184"/>
      <c r="CM8" s="1061"/>
      <c r="CN8" s="1061"/>
      <c r="CO8" s="1061"/>
      <c r="CP8" s="1061"/>
      <c r="CQ8" s="1061"/>
      <c r="CR8" s="1062"/>
      <c r="CS8" s="1063"/>
      <c r="CT8" s="1062"/>
      <c r="CU8" s="1062"/>
      <c r="CV8" s="1062"/>
      <c r="CW8" s="1062"/>
      <c r="CX8" s="1062"/>
      <c r="CY8" s="1063"/>
      <c r="CZ8" s="1062"/>
      <c r="DA8" s="1062"/>
      <c r="DB8" s="1062"/>
      <c r="DC8" s="1184"/>
      <c r="DD8" s="1184"/>
      <c r="DE8" s="1061"/>
      <c r="DF8" s="1061"/>
      <c r="DG8" s="1061"/>
      <c r="DH8" s="1061"/>
      <c r="DI8" s="1061"/>
      <c r="DJ8" s="1062"/>
      <c r="DK8" s="1063"/>
      <c r="DL8" s="1062"/>
      <c r="DM8" s="1062"/>
      <c r="DN8" s="1062"/>
      <c r="DO8" s="1062"/>
      <c r="DP8" s="1062"/>
      <c r="DQ8" s="1063"/>
      <c r="DR8" s="1062"/>
      <c r="DS8" s="1062"/>
      <c r="DT8" s="1062"/>
      <c r="DU8" s="1184"/>
      <c r="DV8" s="1184"/>
      <c r="DW8" s="1061"/>
      <c r="DX8" s="1061"/>
      <c r="DY8" s="1061"/>
      <c r="DZ8" s="1061"/>
      <c r="EA8" s="1061"/>
      <c r="EB8" s="1062"/>
      <c r="EC8" s="1063"/>
      <c r="ED8" s="1062"/>
      <c r="EE8" s="1062"/>
      <c r="EF8" s="1062"/>
      <c r="EG8" s="1062"/>
      <c r="EH8" s="1062"/>
      <c r="EI8" s="1063"/>
      <c r="EJ8" s="1062"/>
      <c r="EK8" s="1062"/>
      <c r="EL8" s="1062"/>
      <c r="EM8" s="1184"/>
      <c r="EN8" s="1184"/>
      <c r="EO8" s="1061"/>
      <c r="EP8" s="1061"/>
      <c r="EQ8" s="1061"/>
      <c r="ER8" s="1061"/>
      <c r="ES8" s="1061"/>
      <c r="ET8" s="1062"/>
      <c r="EU8" s="1063"/>
      <c r="EV8" s="1062"/>
      <c r="EW8" s="1062"/>
      <c r="EX8" s="1062"/>
      <c r="EY8" s="1062"/>
      <c r="EZ8" s="1062"/>
      <c r="FA8" s="1063"/>
      <c r="FB8" s="1062"/>
      <c r="FC8" s="1062"/>
      <c r="FD8" s="1062"/>
      <c r="FE8" s="1184"/>
      <c r="FF8" s="1184"/>
      <c r="FG8" s="1061"/>
      <c r="FH8" s="1061"/>
      <c r="FI8" s="1061"/>
      <c r="FJ8" s="1061"/>
      <c r="FK8" s="1061"/>
      <c r="FL8" s="1062"/>
      <c r="FM8" s="1063"/>
      <c r="FN8" s="1062"/>
      <c r="FO8" s="1062"/>
      <c r="FP8" s="1062"/>
      <c r="FQ8" s="1062"/>
      <c r="FR8" s="1062"/>
      <c r="FS8" s="1063"/>
      <c r="FT8" s="1062"/>
      <c r="FU8" s="1062"/>
      <c r="FV8" s="1062"/>
      <c r="FW8" s="1184"/>
      <c r="FX8" s="1184"/>
      <c r="FY8" s="1061"/>
      <c r="FZ8" s="1061"/>
      <c r="GA8" s="1061"/>
      <c r="GB8" s="1061"/>
      <c r="GC8" s="1061"/>
      <c r="GD8" s="1062"/>
      <c r="GE8" s="1063"/>
      <c r="GF8" s="1062"/>
      <c r="GG8" s="1062"/>
      <c r="GH8" s="1062"/>
      <c r="GI8" s="1062"/>
      <c r="GJ8" s="1062"/>
      <c r="GK8" s="1063"/>
      <c r="GL8" s="1062"/>
      <c r="GM8" s="1062"/>
      <c r="GN8" s="1062"/>
      <c r="GO8" s="1184"/>
      <c r="GP8" s="1184"/>
    </row>
    <row r="9" spans="1:198" ht="15" customHeight="1">
      <c r="A9" s="1480" t="s">
        <v>1079</v>
      </c>
      <c r="B9" s="1480"/>
      <c r="C9" s="1480"/>
      <c r="D9" s="1480"/>
      <c r="E9" s="1480"/>
      <c r="F9" s="1480"/>
      <c r="G9" s="1480"/>
      <c r="H9" s="1480"/>
      <c r="I9" s="1480"/>
      <c r="J9" s="1480"/>
      <c r="K9" s="1480"/>
      <c r="L9" s="1480"/>
      <c r="M9" s="1480"/>
      <c r="N9" s="1480"/>
      <c r="O9" s="1480"/>
      <c r="P9" s="1480"/>
      <c r="Q9" s="1480"/>
      <c r="R9" s="1480"/>
      <c r="S9" s="1480" t="s">
        <v>1079</v>
      </c>
      <c r="T9" s="1480"/>
      <c r="U9" s="1480"/>
      <c r="V9" s="1480"/>
      <c r="W9" s="1480"/>
      <c r="X9" s="1480"/>
      <c r="Y9" s="1480"/>
      <c r="Z9" s="1480"/>
      <c r="AA9" s="1480"/>
      <c r="AB9" s="1480"/>
      <c r="AC9" s="1480"/>
      <c r="AD9" s="1480"/>
      <c r="AE9" s="1480"/>
      <c r="AF9" s="1480"/>
      <c r="AG9" s="1480"/>
      <c r="AH9" s="1480"/>
      <c r="AI9" s="1480"/>
      <c r="AJ9" s="1480"/>
      <c r="AK9" s="1480" t="s">
        <v>1079</v>
      </c>
      <c r="AL9" s="1480"/>
      <c r="AM9" s="1480"/>
      <c r="AN9" s="1480"/>
      <c r="AO9" s="1480"/>
      <c r="AP9" s="1480"/>
      <c r="AQ9" s="1480"/>
      <c r="AR9" s="1480"/>
      <c r="AS9" s="1480"/>
      <c r="AT9" s="1480"/>
      <c r="AU9" s="1480"/>
      <c r="AV9" s="1480"/>
      <c r="AW9" s="1480"/>
      <c r="AX9" s="1480"/>
      <c r="AY9" s="1480"/>
      <c r="AZ9" s="1480"/>
      <c r="BA9" s="1480"/>
      <c r="BB9" s="1480"/>
      <c r="BC9" s="1480" t="s">
        <v>1079</v>
      </c>
      <c r="BD9" s="1480"/>
      <c r="BE9" s="1480"/>
      <c r="BF9" s="1480"/>
      <c r="BG9" s="1480"/>
      <c r="BH9" s="1480"/>
      <c r="BI9" s="1480"/>
      <c r="BJ9" s="1480"/>
      <c r="BK9" s="1480"/>
      <c r="BL9" s="1480"/>
      <c r="BM9" s="1480"/>
      <c r="BN9" s="1480"/>
      <c r="BO9" s="1480"/>
      <c r="BP9" s="1480"/>
      <c r="BQ9" s="1480"/>
      <c r="BR9" s="1480"/>
      <c r="BS9" s="1480"/>
      <c r="BT9" s="1480"/>
      <c r="BU9" s="1480" t="s">
        <v>1079</v>
      </c>
      <c r="BV9" s="1480"/>
      <c r="BW9" s="1480"/>
      <c r="BX9" s="1480"/>
      <c r="BY9" s="1480"/>
      <c r="BZ9" s="1480"/>
      <c r="CA9" s="1480"/>
      <c r="CB9" s="1480"/>
      <c r="CC9" s="1480"/>
      <c r="CD9" s="1480"/>
      <c r="CE9" s="1480"/>
      <c r="CF9" s="1480"/>
      <c r="CG9" s="1480"/>
      <c r="CH9" s="1480"/>
      <c r="CI9" s="1480"/>
      <c r="CJ9" s="1480"/>
      <c r="CK9" s="1480"/>
      <c r="CL9" s="1480"/>
      <c r="CM9" s="1480" t="s">
        <v>1079</v>
      </c>
      <c r="CN9" s="1480"/>
      <c r="CO9" s="1480"/>
      <c r="CP9" s="1480"/>
      <c r="CQ9" s="1480"/>
      <c r="CR9" s="1480"/>
      <c r="CS9" s="1480"/>
      <c r="CT9" s="1480"/>
      <c r="CU9" s="1480"/>
      <c r="CV9" s="1480"/>
      <c r="CW9" s="1480"/>
      <c r="CX9" s="1480"/>
      <c r="CY9" s="1480"/>
      <c r="CZ9" s="1480"/>
      <c r="DA9" s="1480"/>
      <c r="DB9" s="1480"/>
      <c r="DC9" s="1480"/>
      <c r="DD9" s="1480"/>
      <c r="DE9" s="1480" t="s">
        <v>1079</v>
      </c>
      <c r="DF9" s="1480"/>
      <c r="DG9" s="1480"/>
      <c r="DH9" s="1480"/>
      <c r="DI9" s="1480"/>
      <c r="DJ9" s="1480"/>
      <c r="DK9" s="1480"/>
      <c r="DL9" s="1480"/>
      <c r="DM9" s="1480"/>
      <c r="DN9" s="1480"/>
      <c r="DO9" s="1480"/>
      <c r="DP9" s="1480"/>
      <c r="DQ9" s="1480"/>
      <c r="DR9" s="1480"/>
      <c r="DS9" s="1480"/>
      <c r="DT9" s="1480"/>
      <c r="DU9" s="1480"/>
      <c r="DV9" s="1480"/>
      <c r="DW9" s="1480" t="s">
        <v>1079</v>
      </c>
      <c r="DX9" s="1480"/>
      <c r="DY9" s="1480"/>
      <c r="DZ9" s="1480"/>
      <c r="EA9" s="1480"/>
      <c r="EB9" s="1480"/>
      <c r="EC9" s="1480"/>
      <c r="ED9" s="1480"/>
      <c r="EE9" s="1480"/>
      <c r="EF9" s="1480"/>
      <c r="EG9" s="1480"/>
      <c r="EH9" s="1480"/>
      <c r="EI9" s="1480"/>
      <c r="EJ9" s="1480"/>
      <c r="EK9" s="1480"/>
      <c r="EL9" s="1480"/>
      <c r="EM9" s="1480"/>
      <c r="EN9" s="1480"/>
      <c r="EO9" s="1480" t="s">
        <v>1079</v>
      </c>
      <c r="EP9" s="1480"/>
      <c r="EQ9" s="1480"/>
      <c r="ER9" s="1480"/>
      <c r="ES9" s="1480"/>
      <c r="ET9" s="1480"/>
      <c r="EU9" s="1480"/>
      <c r="EV9" s="1480"/>
      <c r="EW9" s="1480"/>
      <c r="EX9" s="1480"/>
      <c r="EY9" s="1480"/>
      <c r="EZ9" s="1480"/>
      <c r="FA9" s="1480"/>
      <c r="FB9" s="1480"/>
      <c r="FC9" s="1480"/>
      <c r="FD9" s="1480"/>
      <c r="FE9" s="1480"/>
      <c r="FF9" s="1480"/>
      <c r="FG9" s="1480" t="s">
        <v>1079</v>
      </c>
      <c r="FH9" s="1480"/>
      <c r="FI9" s="1480"/>
      <c r="FJ9" s="1480"/>
      <c r="FK9" s="1480"/>
      <c r="FL9" s="1480"/>
      <c r="FM9" s="1480"/>
      <c r="FN9" s="1480"/>
      <c r="FO9" s="1480"/>
      <c r="FP9" s="1480"/>
      <c r="FQ9" s="1480"/>
      <c r="FR9" s="1480"/>
      <c r="FS9" s="1480"/>
      <c r="FT9" s="1480"/>
      <c r="FU9" s="1480"/>
      <c r="FV9" s="1480"/>
      <c r="FW9" s="1480"/>
      <c r="FX9" s="1480"/>
      <c r="FY9" s="1480" t="s">
        <v>1079</v>
      </c>
      <c r="FZ9" s="1480"/>
      <c r="GA9" s="1480"/>
      <c r="GB9" s="1480"/>
      <c r="GC9" s="1480"/>
      <c r="GD9" s="1480"/>
      <c r="GE9" s="1480"/>
      <c r="GF9" s="1480"/>
      <c r="GG9" s="1480"/>
      <c r="GH9" s="1480"/>
      <c r="GI9" s="1480"/>
      <c r="GJ9" s="1480"/>
      <c r="GK9" s="1480"/>
      <c r="GL9" s="1480"/>
      <c r="GM9" s="1480"/>
      <c r="GN9" s="1480"/>
      <c r="GO9" s="1480"/>
      <c r="GP9" s="1480"/>
    </row>
    <row r="10" spans="1:198" ht="15" customHeight="1">
      <c r="A10" s="1480"/>
      <c r="B10" s="1480"/>
      <c r="C10" s="1480"/>
      <c r="D10" s="1480"/>
      <c r="E10" s="1480"/>
      <c r="F10" s="1480"/>
      <c r="G10" s="1480"/>
      <c r="H10" s="1480"/>
      <c r="I10" s="1480"/>
      <c r="J10" s="1480"/>
      <c r="K10" s="1480"/>
      <c r="L10" s="1480"/>
      <c r="M10" s="1480"/>
      <c r="N10" s="1480"/>
      <c r="O10" s="1480"/>
      <c r="P10" s="1480"/>
      <c r="Q10" s="1480"/>
      <c r="R10" s="1480"/>
      <c r="S10" s="1480"/>
      <c r="T10" s="1480"/>
      <c r="U10" s="1480"/>
      <c r="V10" s="1480"/>
      <c r="W10" s="1480"/>
      <c r="X10" s="1480"/>
      <c r="Y10" s="1480"/>
      <c r="Z10" s="1480"/>
      <c r="AA10" s="1480"/>
      <c r="AB10" s="1480"/>
      <c r="AC10" s="1480"/>
      <c r="AD10" s="1480"/>
      <c r="AE10" s="1480"/>
      <c r="AF10" s="1480"/>
      <c r="AG10" s="1480"/>
      <c r="AH10" s="1480"/>
      <c r="AI10" s="1480"/>
      <c r="AJ10" s="1480"/>
      <c r="AK10" s="1480"/>
      <c r="AL10" s="1480"/>
      <c r="AM10" s="1480"/>
      <c r="AN10" s="1480"/>
      <c r="AO10" s="1480"/>
      <c r="AP10" s="1480"/>
      <c r="AQ10" s="1480"/>
      <c r="AR10" s="1480"/>
      <c r="AS10" s="1480"/>
      <c r="AT10" s="1480"/>
      <c r="AU10" s="1480"/>
      <c r="AV10" s="1480"/>
      <c r="AW10" s="1480"/>
      <c r="AX10" s="1480"/>
      <c r="AY10" s="1480"/>
      <c r="AZ10" s="1480"/>
      <c r="BA10" s="1480"/>
      <c r="BB10" s="1480"/>
      <c r="BC10" s="1480"/>
      <c r="BD10" s="1480"/>
      <c r="BE10" s="1480"/>
      <c r="BF10" s="1480"/>
      <c r="BG10" s="1480"/>
      <c r="BH10" s="1480"/>
      <c r="BI10" s="1480"/>
      <c r="BJ10" s="1480"/>
      <c r="BK10" s="1480"/>
      <c r="BL10" s="1480"/>
      <c r="BM10" s="1480"/>
      <c r="BN10" s="1480"/>
      <c r="BO10" s="1480"/>
      <c r="BP10" s="1480"/>
      <c r="BQ10" s="1480"/>
      <c r="BR10" s="1480"/>
      <c r="BS10" s="1480"/>
      <c r="BT10" s="1480"/>
      <c r="BU10" s="1480"/>
      <c r="BV10" s="1480"/>
      <c r="BW10" s="1480"/>
      <c r="BX10" s="1480"/>
      <c r="BY10" s="1480"/>
      <c r="BZ10" s="1480"/>
      <c r="CA10" s="1480"/>
      <c r="CB10" s="1480"/>
      <c r="CC10" s="1480"/>
      <c r="CD10" s="1480"/>
      <c r="CE10" s="1480"/>
      <c r="CF10" s="1480"/>
      <c r="CG10" s="1480"/>
      <c r="CH10" s="1480"/>
      <c r="CI10" s="1480"/>
      <c r="CJ10" s="1480"/>
      <c r="CK10" s="1480"/>
      <c r="CL10" s="1480"/>
      <c r="CM10" s="1480"/>
      <c r="CN10" s="1480"/>
      <c r="CO10" s="1480"/>
      <c r="CP10" s="1480"/>
      <c r="CQ10" s="1480"/>
      <c r="CR10" s="1480"/>
      <c r="CS10" s="1480"/>
      <c r="CT10" s="1480"/>
      <c r="CU10" s="1480"/>
      <c r="CV10" s="1480"/>
      <c r="CW10" s="1480"/>
      <c r="CX10" s="1480"/>
      <c r="CY10" s="1480"/>
      <c r="CZ10" s="1480"/>
      <c r="DA10" s="1480"/>
      <c r="DB10" s="1480"/>
      <c r="DC10" s="1480"/>
      <c r="DD10" s="1480"/>
      <c r="DE10" s="1480"/>
      <c r="DF10" s="1480"/>
      <c r="DG10" s="1480"/>
      <c r="DH10" s="1480"/>
      <c r="DI10" s="1480"/>
      <c r="DJ10" s="1480"/>
      <c r="DK10" s="1480"/>
      <c r="DL10" s="1480"/>
      <c r="DM10" s="1480"/>
      <c r="DN10" s="1480"/>
      <c r="DO10" s="1480"/>
      <c r="DP10" s="1480"/>
      <c r="DQ10" s="1480"/>
      <c r="DR10" s="1480"/>
      <c r="DS10" s="1480"/>
      <c r="DT10" s="1480"/>
      <c r="DU10" s="1480"/>
      <c r="DV10" s="1480"/>
      <c r="DW10" s="1480"/>
      <c r="DX10" s="1480"/>
      <c r="DY10" s="1480"/>
      <c r="DZ10" s="1480"/>
      <c r="EA10" s="1480"/>
      <c r="EB10" s="1480"/>
      <c r="EC10" s="1480"/>
      <c r="ED10" s="1480"/>
      <c r="EE10" s="1480"/>
      <c r="EF10" s="1480"/>
      <c r="EG10" s="1480"/>
      <c r="EH10" s="1480"/>
      <c r="EI10" s="1480"/>
      <c r="EJ10" s="1480"/>
      <c r="EK10" s="1480"/>
      <c r="EL10" s="1480"/>
      <c r="EM10" s="1480"/>
      <c r="EN10" s="1480"/>
      <c r="EO10" s="1480"/>
      <c r="EP10" s="1480"/>
      <c r="EQ10" s="1480"/>
      <c r="ER10" s="1480"/>
      <c r="ES10" s="1480"/>
      <c r="ET10" s="1480"/>
      <c r="EU10" s="1480"/>
      <c r="EV10" s="1480"/>
      <c r="EW10" s="1480"/>
      <c r="EX10" s="1480"/>
      <c r="EY10" s="1480"/>
      <c r="EZ10" s="1480"/>
      <c r="FA10" s="1480"/>
      <c r="FB10" s="1480"/>
      <c r="FC10" s="1480"/>
      <c r="FD10" s="1480"/>
      <c r="FE10" s="1480"/>
      <c r="FF10" s="1480"/>
      <c r="FG10" s="1480"/>
      <c r="FH10" s="1480"/>
      <c r="FI10" s="1480"/>
      <c r="FJ10" s="1480"/>
      <c r="FK10" s="1480"/>
      <c r="FL10" s="1480"/>
      <c r="FM10" s="1480"/>
      <c r="FN10" s="1480"/>
      <c r="FO10" s="1480"/>
      <c r="FP10" s="1480"/>
      <c r="FQ10" s="1480"/>
      <c r="FR10" s="1480"/>
      <c r="FS10" s="1480"/>
      <c r="FT10" s="1480"/>
      <c r="FU10" s="1480"/>
      <c r="FV10" s="1480"/>
      <c r="FW10" s="1480"/>
      <c r="FX10" s="1480"/>
      <c r="FY10" s="1480"/>
      <c r="FZ10" s="1480"/>
      <c r="GA10" s="1480"/>
      <c r="GB10" s="1480"/>
      <c r="GC10" s="1480"/>
      <c r="GD10" s="1480"/>
      <c r="GE10" s="1480"/>
      <c r="GF10" s="1480"/>
      <c r="GG10" s="1480"/>
      <c r="GH10" s="1480"/>
      <c r="GI10" s="1480"/>
      <c r="GJ10" s="1480"/>
      <c r="GK10" s="1480"/>
      <c r="GL10" s="1480"/>
      <c r="GM10" s="1480"/>
      <c r="GN10" s="1480"/>
      <c r="GO10" s="1480"/>
      <c r="GP10" s="1480"/>
    </row>
    <row r="11" spans="1:198" ht="15" customHeight="1">
      <c r="A11" s="1480"/>
      <c r="B11" s="1480"/>
      <c r="C11" s="1480"/>
      <c r="D11" s="1480"/>
      <c r="E11" s="1480"/>
      <c r="F11" s="1480"/>
      <c r="G11" s="1480"/>
      <c r="H11" s="1480"/>
      <c r="I11" s="1480"/>
      <c r="J11" s="1480"/>
      <c r="K11" s="1480"/>
      <c r="L11" s="1480"/>
      <c r="M11" s="1480"/>
      <c r="N11" s="1480"/>
      <c r="O11" s="1480"/>
      <c r="P11" s="1480"/>
      <c r="Q11" s="1480"/>
      <c r="R11" s="1480"/>
      <c r="S11" s="1480"/>
      <c r="T11" s="1480"/>
      <c r="U11" s="1480"/>
      <c r="V11" s="1480"/>
      <c r="W11" s="1480"/>
      <c r="X11" s="1480"/>
      <c r="Y11" s="1480"/>
      <c r="Z11" s="1480"/>
      <c r="AA11" s="1480"/>
      <c r="AB11" s="1480"/>
      <c r="AC11" s="1480"/>
      <c r="AD11" s="1480"/>
      <c r="AE11" s="1480"/>
      <c r="AF11" s="1480"/>
      <c r="AG11" s="1480"/>
      <c r="AH11" s="1480"/>
      <c r="AI11" s="1480"/>
      <c r="AJ11" s="1480"/>
      <c r="AK11" s="1480"/>
      <c r="AL11" s="1480"/>
      <c r="AM11" s="1480"/>
      <c r="AN11" s="1480"/>
      <c r="AO11" s="1480"/>
      <c r="AP11" s="1480"/>
      <c r="AQ11" s="1480"/>
      <c r="AR11" s="1480"/>
      <c r="AS11" s="1480"/>
      <c r="AT11" s="1480"/>
      <c r="AU11" s="1480"/>
      <c r="AV11" s="1480"/>
      <c r="AW11" s="1480"/>
      <c r="AX11" s="1480"/>
      <c r="AY11" s="1480"/>
      <c r="AZ11" s="1480"/>
      <c r="BA11" s="1480"/>
      <c r="BB11" s="1480"/>
      <c r="BC11" s="1480"/>
      <c r="BD11" s="1480"/>
      <c r="BE11" s="1480"/>
      <c r="BF11" s="1480"/>
      <c r="BG11" s="1480"/>
      <c r="BH11" s="1480"/>
      <c r="BI11" s="1480"/>
      <c r="BJ11" s="1480"/>
      <c r="BK11" s="1480"/>
      <c r="BL11" s="1480"/>
      <c r="BM11" s="1480"/>
      <c r="BN11" s="1480"/>
      <c r="BO11" s="1480"/>
      <c r="BP11" s="1480"/>
      <c r="BQ11" s="1480"/>
      <c r="BR11" s="1480"/>
      <c r="BS11" s="1480"/>
      <c r="BT11" s="1480"/>
      <c r="BU11" s="1480"/>
      <c r="BV11" s="1480"/>
      <c r="BW11" s="1480"/>
      <c r="BX11" s="1480"/>
      <c r="BY11" s="1480"/>
      <c r="BZ11" s="1480"/>
      <c r="CA11" s="1480"/>
      <c r="CB11" s="1480"/>
      <c r="CC11" s="1480"/>
      <c r="CD11" s="1480"/>
      <c r="CE11" s="1480"/>
      <c r="CF11" s="1480"/>
      <c r="CG11" s="1480"/>
      <c r="CH11" s="1480"/>
      <c r="CI11" s="1480"/>
      <c r="CJ11" s="1480"/>
      <c r="CK11" s="1480"/>
      <c r="CL11" s="1480"/>
      <c r="CM11" s="1480"/>
      <c r="CN11" s="1480"/>
      <c r="CO11" s="1480"/>
      <c r="CP11" s="1480"/>
      <c r="CQ11" s="1480"/>
      <c r="CR11" s="1480"/>
      <c r="CS11" s="1480"/>
      <c r="CT11" s="1480"/>
      <c r="CU11" s="1480"/>
      <c r="CV11" s="1480"/>
      <c r="CW11" s="1480"/>
      <c r="CX11" s="1480"/>
      <c r="CY11" s="1480"/>
      <c r="CZ11" s="1480"/>
      <c r="DA11" s="1480"/>
      <c r="DB11" s="1480"/>
      <c r="DC11" s="1480"/>
      <c r="DD11" s="1480"/>
      <c r="DE11" s="1480"/>
      <c r="DF11" s="1480"/>
      <c r="DG11" s="1480"/>
      <c r="DH11" s="1480"/>
      <c r="DI11" s="1480"/>
      <c r="DJ11" s="1480"/>
      <c r="DK11" s="1480"/>
      <c r="DL11" s="1480"/>
      <c r="DM11" s="1480"/>
      <c r="DN11" s="1480"/>
      <c r="DO11" s="1480"/>
      <c r="DP11" s="1480"/>
      <c r="DQ11" s="1480"/>
      <c r="DR11" s="1480"/>
      <c r="DS11" s="1480"/>
      <c r="DT11" s="1480"/>
      <c r="DU11" s="1480"/>
      <c r="DV11" s="1480"/>
      <c r="DW11" s="1480"/>
      <c r="DX11" s="1480"/>
      <c r="DY11" s="1480"/>
      <c r="DZ11" s="1480"/>
      <c r="EA11" s="1480"/>
      <c r="EB11" s="1480"/>
      <c r="EC11" s="1480"/>
      <c r="ED11" s="1480"/>
      <c r="EE11" s="1480"/>
      <c r="EF11" s="1480"/>
      <c r="EG11" s="1480"/>
      <c r="EH11" s="1480"/>
      <c r="EI11" s="1480"/>
      <c r="EJ11" s="1480"/>
      <c r="EK11" s="1480"/>
      <c r="EL11" s="1480"/>
      <c r="EM11" s="1480"/>
      <c r="EN11" s="1480"/>
      <c r="EO11" s="1480"/>
      <c r="EP11" s="1480"/>
      <c r="EQ11" s="1480"/>
      <c r="ER11" s="1480"/>
      <c r="ES11" s="1480"/>
      <c r="ET11" s="1480"/>
      <c r="EU11" s="1480"/>
      <c r="EV11" s="1480"/>
      <c r="EW11" s="1480"/>
      <c r="EX11" s="1480"/>
      <c r="EY11" s="1480"/>
      <c r="EZ11" s="1480"/>
      <c r="FA11" s="1480"/>
      <c r="FB11" s="1480"/>
      <c r="FC11" s="1480"/>
      <c r="FD11" s="1480"/>
      <c r="FE11" s="1480"/>
      <c r="FF11" s="1480"/>
      <c r="FG11" s="1480"/>
      <c r="FH11" s="1480"/>
      <c r="FI11" s="1480"/>
      <c r="FJ11" s="1480"/>
      <c r="FK11" s="1480"/>
      <c r="FL11" s="1480"/>
      <c r="FM11" s="1480"/>
      <c r="FN11" s="1480"/>
      <c r="FO11" s="1480"/>
      <c r="FP11" s="1480"/>
      <c r="FQ11" s="1480"/>
      <c r="FR11" s="1480"/>
      <c r="FS11" s="1480"/>
      <c r="FT11" s="1480"/>
      <c r="FU11" s="1480"/>
      <c r="FV11" s="1480"/>
      <c r="FW11" s="1480"/>
      <c r="FX11" s="1480"/>
      <c r="FY11" s="1480"/>
      <c r="FZ11" s="1480"/>
      <c r="GA11" s="1480"/>
      <c r="GB11" s="1480"/>
      <c r="GC11" s="1480"/>
      <c r="GD11" s="1480"/>
      <c r="GE11" s="1480"/>
      <c r="GF11" s="1480"/>
      <c r="GG11" s="1480"/>
      <c r="GH11" s="1480"/>
      <c r="GI11" s="1480"/>
      <c r="GJ11" s="1480"/>
      <c r="GK11" s="1480"/>
      <c r="GL11" s="1480"/>
      <c r="GM11" s="1480"/>
      <c r="GN11" s="1480"/>
      <c r="GO11" s="1480"/>
      <c r="GP11" s="1480"/>
    </row>
    <row r="12" spans="1:198" ht="14.25" customHeight="1">
      <c r="A12" s="1472" t="s">
        <v>1149</v>
      </c>
      <c r="B12" s="1472"/>
      <c r="C12" s="1472"/>
      <c r="D12" s="1472"/>
      <c r="E12" s="1472"/>
      <c r="F12" s="1472"/>
      <c r="G12" s="1472"/>
      <c r="H12" s="1472"/>
      <c r="I12" s="1472"/>
      <c r="J12" s="1472"/>
      <c r="K12" s="1472"/>
      <c r="L12" s="1472"/>
      <c r="M12" s="1472"/>
      <c r="N12" s="1472"/>
      <c r="O12" s="1472"/>
      <c r="P12" s="1472"/>
      <c r="Q12" s="1472"/>
      <c r="R12" s="1472"/>
      <c r="S12" s="1472" t="s">
        <v>1175</v>
      </c>
      <c r="T12" s="1472"/>
      <c r="U12" s="1472"/>
      <c r="V12" s="1472"/>
      <c r="W12" s="1472"/>
      <c r="X12" s="1472"/>
      <c r="Y12" s="1472"/>
      <c r="Z12" s="1472"/>
      <c r="AA12" s="1472"/>
      <c r="AB12" s="1472"/>
      <c r="AC12" s="1472"/>
      <c r="AD12" s="1472"/>
      <c r="AE12" s="1493" t="s">
        <v>1176</v>
      </c>
      <c r="AF12" s="1493"/>
      <c r="AG12" s="1493"/>
      <c r="AH12" s="1493"/>
      <c r="AI12" s="1493"/>
      <c r="AJ12" s="1493"/>
      <c r="AK12" s="1493" t="s">
        <v>1176</v>
      </c>
      <c r="AL12" s="1493"/>
      <c r="AM12" s="1493"/>
      <c r="AN12" s="1493"/>
      <c r="AO12" s="1493"/>
      <c r="AP12" s="1493"/>
      <c r="AQ12" s="1493"/>
      <c r="AR12" s="1493"/>
      <c r="AS12" s="1493"/>
      <c r="AT12" s="1493"/>
      <c r="AU12" s="1493"/>
      <c r="AV12" s="1493"/>
      <c r="AW12" s="1493"/>
      <c r="AX12" s="1493"/>
      <c r="AY12" s="1493"/>
      <c r="AZ12" s="1493"/>
      <c r="BA12" s="1493"/>
      <c r="BB12" s="1493"/>
      <c r="BC12" s="1493" t="s">
        <v>1176</v>
      </c>
      <c r="BD12" s="1493"/>
      <c r="BE12" s="1493"/>
      <c r="BF12" s="1493"/>
      <c r="BG12" s="1493"/>
      <c r="BH12" s="1493"/>
      <c r="BI12" s="1493"/>
      <c r="BJ12" s="1493"/>
      <c r="BK12" s="1493"/>
      <c r="BL12" s="1493"/>
      <c r="BM12" s="1493"/>
      <c r="BN12" s="1493"/>
      <c r="BO12" s="1472" t="s">
        <v>1175</v>
      </c>
      <c r="BP12" s="1472"/>
      <c r="BQ12" s="1472"/>
      <c r="BR12" s="1472"/>
      <c r="BS12" s="1472"/>
      <c r="BT12" s="1472"/>
      <c r="BU12" s="1472" t="s">
        <v>1149</v>
      </c>
      <c r="BV12" s="1472"/>
      <c r="BW12" s="1472"/>
      <c r="BX12" s="1472"/>
      <c r="BY12" s="1472"/>
      <c r="BZ12" s="1472"/>
      <c r="CA12" s="1472"/>
      <c r="CB12" s="1472"/>
      <c r="CC12" s="1472"/>
      <c r="CD12" s="1472"/>
      <c r="CE12" s="1472"/>
      <c r="CF12" s="1472"/>
      <c r="CG12" s="1472"/>
      <c r="CH12" s="1472"/>
      <c r="CI12" s="1472"/>
      <c r="CJ12" s="1472"/>
      <c r="CK12" s="1472"/>
      <c r="CL12" s="1472"/>
      <c r="CM12" s="1472" t="s">
        <v>1149</v>
      </c>
      <c r="CN12" s="1472"/>
      <c r="CO12" s="1472"/>
      <c r="CP12" s="1472"/>
      <c r="CQ12" s="1472"/>
      <c r="CR12" s="1472"/>
      <c r="CS12" s="1472"/>
      <c r="CT12" s="1472"/>
      <c r="CU12" s="1472"/>
      <c r="CV12" s="1472"/>
      <c r="CW12" s="1472"/>
      <c r="CX12" s="1472"/>
      <c r="CY12" s="1472"/>
      <c r="CZ12" s="1472"/>
      <c r="DA12" s="1472"/>
      <c r="DB12" s="1472"/>
      <c r="DC12" s="1472"/>
      <c r="DD12" s="1472"/>
      <c r="DE12" s="1472" t="s">
        <v>1149</v>
      </c>
      <c r="DF12" s="1472"/>
      <c r="DG12" s="1472"/>
      <c r="DH12" s="1472"/>
      <c r="DI12" s="1472"/>
      <c r="DJ12" s="1472"/>
      <c r="DK12" s="1472"/>
      <c r="DL12" s="1472"/>
      <c r="DM12" s="1472"/>
      <c r="DN12" s="1472"/>
      <c r="DO12" s="1472"/>
      <c r="DP12" s="1472"/>
      <c r="DQ12" s="1472"/>
      <c r="DR12" s="1472"/>
      <c r="DS12" s="1472"/>
      <c r="DT12" s="1472"/>
      <c r="DU12" s="1472"/>
      <c r="DV12" s="1472"/>
      <c r="DW12" s="1472" t="s">
        <v>1149</v>
      </c>
      <c r="DX12" s="1472"/>
      <c r="DY12" s="1472"/>
      <c r="DZ12" s="1472"/>
      <c r="EA12" s="1472"/>
      <c r="EB12" s="1472"/>
      <c r="EC12" s="1472"/>
      <c r="ED12" s="1472"/>
      <c r="EE12" s="1472"/>
      <c r="EF12" s="1472"/>
      <c r="EG12" s="1472"/>
      <c r="EH12" s="1472"/>
      <c r="EI12" s="1472"/>
      <c r="EJ12" s="1472"/>
      <c r="EK12" s="1472"/>
      <c r="EL12" s="1472"/>
      <c r="EM12" s="1472"/>
      <c r="EN12" s="1472"/>
      <c r="EO12" s="1493" t="s">
        <v>1176</v>
      </c>
      <c r="EP12" s="1493"/>
      <c r="EQ12" s="1493"/>
      <c r="ER12" s="1493"/>
      <c r="ES12" s="1493"/>
      <c r="ET12" s="1493"/>
      <c r="EU12" s="1472" t="s">
        <v>1149</v>
      </c>
      <c r="EV12" s="1472"/>
      <c r="EW12" s="1472"/>
      <c r="EX12" s="1472"/>
      <c r="EY12" s="1472"/>
      <c r="EZ12" s="1472"/>
      <c r="FA12" s="1472"/>
      <c r="FB12" s="1472"/>
      <c r="FC12" s="1472"/>
      <c r="FD12" s="1472"/>
      <c r="FE12" s="1472"/>
      <c r="FF12" s="1472"/>
      <c r="FG12" s="1472" t="s">
        <v>1149</v>
      </c>
      <c r="FH12" s="1472"/>
      <c r="FI12" s="1472"/>
      <c r="FJ12" s="1472"/>
      <c r="FK12" s="1472"/>
      <c r="FL12" s="1472"/>
      <c r="FM12" s="1472"/>
      <c r="FN12" s="1472"/>
      <c r="FO12" s="1472"/>
      <c r="FP12" s="1472"/>
      <c r="FQ12" s="1472"/>
      <c r="FR12" s="1472"/>
      <c r="FS12" s="1472"/>
      <c r="FT12" s="1472"/>
      <c r="FU12" s="1472"/>
      <c r="FV12" s="1472"/>
      <c r="FW12" s="1472"/>
      <c r="FX12" s="1472"/>
      <c r="FY12" s="1472" t="s">
        <v>1222</v>
      </c>
      <c r="FZ12" s="1472"/>
      <c r="GA12" s="1472"/>
      <c r="GB12" s="1472"/>
      <c r="GC12" s="1472"/>
      <c r="GD12" s="1472"/>
      <c r="GE12" s="1252"/>
      <c r="GF12" s="1252"/>
      <c r="GG12" s="1252"/>
      <c r="GH12" s="1252"/>
      <c r="GI12" s="1252"/>
      <c r="GJ12" s="1252"/>
      <c r="GK12" s="1252"/>
      <c r="GL12" s="1252"/>
      <c r="GM12" s="1252"/>
      <c r="GN12" s="1252"/>
      <c r="GO12" s="1252"/>
      <c r="GP12" s="1252"/>
    </row>
    <row r="13" spans="1:198" ht="14.25" customHeight="1">
      <c r="A13" s="1064" t="s">
        <v>1080</v>
      </c>
      <c r="S13" s="1064" t="s">
        <v>1080</v>
      </c>
      <c r="AK13" s="1065" t="s">
        <v>1080</v>
      </c>
      <c r="BC13" s="1066" t="s">
        <v>1081</v>
      </c>
      <c r="BD13" s="1066"/>
      <c r="BE13" s="1066"/>
      <c r="BF13" s="1066"/>
      <c r="BG13" s="1066"/>
      <c r="BH13" s="1066"/>
    </row>
    <row r="14" spans="1:198" s="1193" customFormat="1" ht="23">
      <c r="A14" s="1486" t="s">
        <v>1082</v>
      </c>
      <c r="B14" s="1487"/>
      <c r="C14" s="1488" t="s">
        <v>1131</v>
      </c>
      <c r="D14" s="1489"/>
      <c r="E14" s="1489"/>
      <c r="F14" s="1490"/>
      <c r="G14" s="1486" t="s">
        <v>1082</v>
      </c>
      <c r="H14" s="1487"/>
      <c r="I14" s="1488" t="s">
        <v>1143</v>
      </c>
      <c r="J14" s="1489"/>
      <c r="K14" s="1489"/>
      <c r="L14" s="1490"/>
      <c r="M14" s="1486" t="s">
        <v>1082</v>
      </c>
      <c r="N14" s="1494"/>
      <c r="O14" s="1488" t="s">
        <v>1144</v>
      </c>
      <c r="P14" s="1489"/>
      <c r="Q14" s="1489"/>
      <c r="R14" s="1490"/>
      <c r="S14" s="1486" t="s">
        <v>1082</v>
      </c>
      <c r="T14" s="1487"/>
      <c r="U14" s="1489" t="s">
        <v>1145</v>
      </c>
      <c r="V14" s="1489"/>
      <c r="W14" s="1489"/>
      <c r="X14" s="1490"/>
      <c r="Y14" s="1486" t="s">
        <v>1082</v>
      </c>
      <c r="Z14" s="1487"/>
      <c r="AA14" s="1488" t="s">
        <v>1127</v>
      </c>
      <c r="AB14" s="1489"/>
      <c r="AC14" s="1489"/>
      <c r="AD14" s="1490"/>
      <c r="AE14" s="1486" t="s">
        <v>1082</v>
      </c>
      <c r="AF14" s="1487"/>
      <c r="AG14" s="1489" t="s">
        <v>1173</v>
      </c>
      <c r="AH14" s="1489"/>
      <c r="AI14" s="1489"/>
      <c r="AJ14" s="1490"/>
      <c r="AK14" s="1486" t="s">
        <v>1082</v>
      </c>
      <c r="AL14" s="1494"/>
      <c r="AM14" s="1489" t="s">
        <v>1172</v>
      </c>
      <c r="AN14" s="1489"/>
      <c r="AO14" s="1489"/>
      <c r="AP14" s="1490"/>
      <c r="AQ14" s="1486" t="s">
        <v>1082</v>
      </c>
      <c r="AR14" s="1487"/>
      <c r="AS14" s="1489" t="s">
        <v>1171</v>
      </c>
      <c r="AT14" s="1489"/>
      <c r="AU14" s="1489"/>
      <c r="AV14" s="1490"/>
      <c r="AW14" s="1486" t="s">
        <v>1082</v>
      </c>
      <c r="AX14" s="1494"/>
      <c r="AY14" s="1489" t="s">
        <v>1170</v>
      </c>
      <c r="AZ14" s="1489"/>
      <c r="BA14" s="1489"/>
      <c r="BB14" s="1490"/>
      <c r="BC14" s="1486" t="s">
        <v>1082</v>
      </c>
      <c r="BD14" s="1487"/>
      <c r="BE14" s="1489" t="s">
        <v>1177</v>
      </c>
      <c r="BF14" s="1489"/>
      <c r="BG14" s="1489"/>
      <c r="BH14" s="1490"/>
      <c r="BI14" s="1486" t="s">
        <v>1082</v>
      </c>
      <c r="BJ14" s="1487"/>
      <c r="BK14" s="1488" t="s">
        <v>1178</v>
      </c>
      <c r="BL14" s="1489"/>
      <c r="BM14" s="1489"/>
      <c r="BN14" s="1490"/>
      <c r="BO14" s="1486" t="s">
        <v>1082</v>
      </c>
      <c r="BP14" s="1487"/>
      <c r="BQ14" s="1488" t="s">
        <v>1196</v>
      </c>
      <c r="BR14" s="1489"/>
      <c r="BS14" s="1489"/>
      <c r="BT14" s="1490"/>
      <c r="BU14" s="1486" t="s">
        <v>1082</v>
      </c>
      <c r="BV14" s="1487"/>
      <c r="BW14" s="1488" t="s">
        <v>1197</v>
      </c>
      <c r="BX14" s="1489"/>
      <c r="BY14" s="1489"/>
      <c r="BZ14" s="1490"/>
      <c r="CA14" s="1486" t="s">
        <v>1082</v>
      </c>
      <c r="CB14" s="1487"/>
      <c r="CC14" s="1488" t="s">
        <v>1198</v>
      </c>
      <c r="CD14" s="1489"/>
      <c r="CE14" s="1489"/>
      <c r="CF14" s="1490"/>
      <c r="CG14" s="1486" t="s">
        <v>1082</v>
      </c>
      <c r="CH14" s="1487"/>
      <c r="CI14" s="1488" t="s">
        <v>1189</v>
      </c>
      <c r="CJ14" s="1489"/>
      <c r="CK14" s="1489"/>
      <c r="CL14" s="1490"/>
      <c r="CM14" s="1486" t="s">
        <v>1082</v>
      </c>
      <c r="CN14" s="1487"/>
      <c r="CO14" s="1488" t="s">
        <v>1195</v>
      </c>
      <c r="CP14" s="1489"/>
      <c r="CQ14" s="1489"/>
      <c r="CR14" s="1490"/>
      <c r="CS14" s="1486" t="s">
        <v>1082</v>
      </c>
      <c r="CT14" s="1487"/>
      <c r="CU14" s="1488" t="s">
        <v>1203</v>
      </c>
      <c r="CV14" s="1489"/>
      <c r="CW14" s="1489"/>
      <c r="CX14" s="1490"/>
      <c r="CY14" s="1486" t="s">
        <v>1082</v>
      </c>
      <c r="CZ14" s="1487"/>
      <c r="DA14" s="1488" t="s">
        <v>1205</v>
      </c>
      <c r="DB14" s="1489"/>
      <c r="DC14" s="1489"/>
      <c r="DD14" s="1490"/>
      <c r="DE14" s="1486" t="s">
        <v>1082</v>
      </c>
      <c r="DF14" s="1487"/>
      <c r="DG14" s="1488" t="s">
        <v>1207</v>
      </c>
      <c r="DH14" s="1489"/>
      <c r="DI14" s="1489"/>
      <c r="DJ14" s="1490"/>
      <c r="DK14" s="1486" t="s">
        <v>1082</v>
      </c>
      <c r="DL14" s="1487"/>
      <c r="DM14" s="1488" t="s">
        <v>1128</v>
      </c>
      <c r="DN14" s="1489"/>
      <c r="DO14" s="1489"/>
      <c r="DP14" s="1490"/>
      <c r="DQ14" s="1486" t="s">
        <v>1082</v>
      </c>
      <c r="DR14" s="1487"/>
      <c r="DS14" s="1488" t="s">
        <v>1137</v>
      </c>
      <c r="DT14" s="1489"/>
      <c r="DU14" s="1489"/>
      <c r="DV14" s="1490"/>
      <c r="DW14" s="1486" t="s">
        <v>1082</v>
      </c>
      <c r="DX14" s="1487"/>
      <c r="DY14" s="1488" t="s">
        <v>1122</v>
      </c>
      <c r="DZ14" s="1489"/>
      <c r="EA14" s="1489"/>
      <c r="EB14" s="1490"/>
      <c r="EC14" s="1486" t="s">
        <v>1082</v>
      </c>
      <c r="ED14" s="1487"/>
      <c r="EE14" s="1488" t="s">
        <v>1135</v>
      </c>
      <c r="EF14" s="1489"/>
      <c r="EG14" s="1489"/>
      <c r="EH14" s="1490"/>
      <c r="EI14" s="1486" t="s">
        <v>1082</v>
      </c>
      <c r="EJ14" s="1487"/>
      <c r="EK14" s="1488" t="s">
        <v>1134</v>
      </c>
      <c r="EL14" s="1489"/>
      <c r="EM14" s="1489"/>
      <c r="EN14" s="1490"/>
      <c r="EO14" s="1486" t="s">
        <v>1082</v>
      </c>
      <c r="EP14" s="1487"/>
      <c r="EQ14" s="1488" t="s">
        <v>1218</v>
      </c>
      <c r="ER14" s="1489"/>
      <c r="ES14" s="1489"/>
      <c r="ET14" s="1490"/>
      <c r="EU14" s="1486" t="s">
        <v>1082</v>
      </c>
      <c r="EV14" s="1487"/>
      <c r="EW14" s="1488" t="s">
        <v>1209</v>
      </c>
      <c r="EX14" s="1489"/>
      <c r="EY14" s="1489"/>
      <c r="EZ14" s="1490"/>
      <c r="FA14" s="1486" t="s">
        <v>1082</v>
      </c>
      <c r="FB14" s="1487"/>
      <c r="FC14" s="1488" t="s">
        <v>1212</v>
      </c>
      <c r="FD14" s="1489"/>
      <c r="FE14" s="1489"/>
      <c r="FF14" s="1490"/>
      <c r="FG14" s="1486" t="s">
        <v>1082</v>
      </c>
      <c r="FH14" s="1487"/>
      <c r="FI14" s="1488" t="s">
        <v>1214</v>
      </c>
      <c r="FJ14" s="1489"/>
      <c r="FK14" s="1489"/>
      <c r="FL14" s="1490"/>
      <c r="FM14" s="1486" t="s">
        <v>1082</v>
      </c>
      <c r="FN14" s="1487"/>
      <c r="FO14" s="1488" t="s">
        <v>1216</v>
      </c>
      <c r="FP14" s="1489"/>
      <c r="FQ14" s="1489"/>
      <c r="FR14" s="1490"/>
      <c r="FS14" s="1486" t="s">
        <v>1082</v>
      </c>
      <c r="FT14" s="1487"/>
      <c r="FU14" s="1488" t="s">
        <v>1139</v>
      </c>
      <c r="FV14" s="1489"/>
      <c r="FW14" s="1489"/>
      <c r="FX14" s="1490"/>
      <c r="FY14" s="1486" t="s">
        <v>1082</v>
      </c>
      <c r="FZ14" s="1487"/>
      <c r="GA14" s="1488" t="s">
        <v>1221</v>
      </c>
      <c r="GB14" s="1489"/>
      <c r="GC14" s="1489"/>
      <c r="GD14" s="1490"/>
      <c r="GE14" s="1191" t="s">
        <v>1082</v>
      </c>
      <c r="GF14" s="1192"/>
      <c r="GG14" s="1473" t="s">
        <v>1220</v>
      </c>
      <c r="GH14" s="1474"/>
      <c r="GI14" s="1474"/>
      <c r="GJ14" s="1475"/>
    </row>
    <row r="15" spans="1:198" s="1193" customFormat="1" ht="36" customHeight="1">
      <c r="A15" s="1491" t="s">
        <v>1083</v>
      </c>
      <c r="B15" s="1492"/>
      <c r="C15" s="1481" t="s">
        <v>1132</v>
      </c>
      <c r="D15" s="1482"/>
      <c r="E15" s="1482"/>
      <c r="F15" s="1483"/>
      <c r="G15" s="1491" t="s">
        <v>1083</v>
      </c>
      <c r="H15" s="1492"/>
      <c r="I15" s="1481" t="s">
        <v>1146</v>
      </c>
      <c r="J15" s="1482"/>
      <c r="K15" s="1482"/>
      <c r="L15" s="1483"/>
      <c r="M15" s="1491" t="s">
        <v>1083</v>
      </c>
      <c r="N15" s="1482"/>
      <c r="O15" s="1481" t="s">
        <v>1147</v>
      </c>
      <c r="P15" s="1482"/>
      <c r="Q15" s="1482"/>
      <c r="R15" s="1483"/>
      <c r="S15" s="1491" t="s">
        <v>1083</v>
      </c>
      <c r="T15" s="1492"/>
      <c r="U15" s="1482" t="s">
        <v>1148</v>
      </c>
      <c r="V15" s="1482"/>
      <c r="W15" s="1482"/>
      <c r="X15" s="1483"/>
      <c r="Y15" s="1491" t="s">
        <v>1083</v>
      </c>
      <c r="Z15" s="1492"/>
      <c r="AA15" s="1481" t="s">
        <v>1129</v>
      </c>
      <c r="AB15" s="1482"/>
      <c r="AC15" s="1482"/>
      <c r="AD15" s="1483"/>
      <c r="AE15" s="1491" t="s">
        <v>1083</v>
      </c>
      <c r="AF15" s="1492"/>
      <c r="AG15" s="1482" t="s">
        <v>1169</v>
      </c>
      <c r="AH15" s="1482"/>
      <c r="AI15" s="1482"/>
      <c r="AJ15" s="1483"/>
      <c r="AK15" s="1491" t="s">
        <v>1083</v>
      </c>
      <c r="AL15" s="1482"/>
      <c r="AM15" s="1482" t="s">
        <v>1180</v>
      </c>
      <c r="AN15" s="1482"/>
      <c r="AO15" s="1482"/>
      <c r="AP15" s="1483"/>
      <c r="AQ15" s="1491" t="s">
        <v>1083</v>
      </c>
      <c r="AR15" s="1492"/>
      <c r="AS15" s="1482" t="s">
        <v>1181</v>
      </c>
      <c r="AT15" s="1482"/>
      <c r="AU15" s="1482"/>
      <c r="AV15" s="1483"/>
      <c r="AW15" s="1491" t="s">
        <v>1083</v>
      </c>
      <c r="AX15" s="1482"/>
      <c r="AY15" s="1482" t="s">
        <v>1182</v>
      </c>
      <c r="AZ15" s="1482"/>
      <c r="BA15" s="1482"/>
      <c r="BB15" s="1483"/>
      <c r="BC15" s="1491" t="s">
        <v>1083</v>
      </c>
      <c r="BD15" s="1492"/>
      <c r="BE15" s="1482" t="s">
        <v>1183</v>
      </c>
      <c r="BF15" s="1482"/>
      <c r="BG15" s="1482"/>
      <c r="BH15" s="1483"/>
      <c r="BI15" s="1491" t="s">
        <v>1083</v>
      </c>
      <c r="BJ15" s="1492"/>
      <c r="BK15" s="1481" t="s">
        <v>1179</v>
      </c>
      <c r="BL15" s="1482"/>
      <c r="BM15" s="1482"/>
      <c r="BN15" s="1483"/>
      <c r="BO15" s="1491" t="s">
        <v>1083</v>
      </c>
      <c r="BP15" s="1492"/>
      <c r="BQ15" s="1481" t="s">
        <v>1199</v>
      </c>
      <c r="BR15" s="1482"/>
      <c r="BS15" s="1482"/>
      <c r="BT15" s="1483"/>
      <c r="BU15" s="1491" t="s">
        <v>1083</v>
      </c>
      <c r="BV15" s="1492"/>
      <c r="BW15" s="1481" t="s">
        <v>1200</v>
      </c>
      <c r="BX15" s="1482"/>
      <c r="BY15" s="1482"/>
      <c r="BZ15" s="1483"/>
      <c r="CA15" s="1491" t="s">
        <v>1083</v>
      </c>
      <c r="CB15" s="1492"/>
      <c r="CC15" s="1481" t="s">
        <v>1201</v>
      </c>
      <c r="CD15" s="1482"/>
      <c r="CE15" s="1482"/>
      <c r="CF15" s="1483"/>
      <c r="CG15" s="1491" t="s">
        <v>1083</v>
      </c>
      <c r="CH15" s="1492"/>
      <c r="CI15" s="1481" t="s">
        <v>1190</v>
      </c>
      <c r="CJ15" s="1482"/>
      <c r="CK15" s="1482"/>
      <c r="CL15" s="1483"/>
      <c r="CM15" s="1491" t="s">
        <v>1083</v>
      </c>
      <c r="CN15" s="1492"/>
      <c r="CO15" s="1481" t="s">
        <v>1202</v>
      </c>
      <c r="CP15" s="1482"/>
      <c r="CQ15" s="1482"/>
      <c r="CR15" s="1483"/>
      <c r="CS15" s="1491" t="s">
        <v>1083</v>
      </c>
      <c r="CT15" s="1492"/>
      <c r="CU15" s="1481" t="s">
        <v>1204</v>
      </c>
      <c r="CV15" s="1482"/>
      <c r="CW15" s="1482"/>
      <c r="CX15" s="1483"/>
      <c r="CY15" s="1491" t="s">
        <v>1083</v>
      </c>
      <c r="CZ15" s="1492"/>
      <c r="DA15" s="1481" t="s">
        <v>1206</v>
      </c>
      <c r="DB15" s="1482"/>
      <c r="DC15" s="1482"/>
      <c r="DD15" s="1483"/>
      <c r="DE15" s="1491" t="s">
        <v>1083</v>
      </c>
      <c r="DF15" s="1492"/>
      <c r="DG15" s="1481" t="s">
        <v>1208</v>
      </c>
      <c r="DH15" s="1482"/>
      <c r="DI15" s="1482"/>
      <c r="DJ15" s="1483"/>
      <c r="DK15" s="1491" t="s">
        <v>1083</v>
      </c>
      <c r="DL15" s="1492"/>
      <c r="DM15" s="1481" t="s">
        <v>1130</v>
      </c>
      <c r="DN15" s="1482"/>
      <c r="DO15" s="1482"/>
      <c r="DP15" s="1483"/>
      <c r="DQ15" s="1491" t="s">
        <v>1083</v>
      </c>
      <c r="DR15" s="1492"/>
      <c r="DS15" s="1481" t="s">
        <v>1138</v>
      </c>
      <c r="DT15" s="1482"/>
      <c r="DU15" s="1482"/>
      <c r="DV15" s="1483"/>
      <c r="DW15" s="1491" t="s">
        <v>1083</v>
      </c>
      <c r="DX15" s="1492"/>
      <c r="DY15" s="1481" t="s">
        <v>1123</v>
      </c>
      <c r="DZ15" s="1482"/>
      <c r="EA15" s="1482"/>
      <c r="EB15" s="1483"/>
      <c r="EC15" s="1491" t="s">
        <v>1083</v>
      </c>
      <c r="ED15" s="1492"/>
      <c r="EE15" s="1481" t="s">
        <v>47</v>
      </c>
      <c r="EF15" s="1482"/>
      <c r="EG15" s="1482"/>
      <c r="EH15" s="1483"/>
      <c r="EI15" s="1491" t="s">
        <v>1083</v>
      </c>
      <c r="EJ15" s="1492"/>
      <c r="EK15" s="1481" t="s">
        <v>1133</v>
      </c>
      <c r="EL15" s="1482"/>
      <c r="EM15" s="1482"/>
      <c r="EN15" s="1483"/>
      <c r="EO15" s="1491" t="s">
        <v>1083</v>
      </c>
      <c r="EP15" s="1492"/>
      <c r="EQ15" s="1481" t="s">
        <v>1219</v>
      </c>
      <c r="ER15" s="1482"/>
      <c r="ES15" s="1482"/>
      <c r="ET15" s="1483"/>
      <c r="EU15" s="1491" t="s">
        <v>1083</v>
      </c>
      <c r="EV15" s="1492"/>
      <c r="EW15" s="1481" t="s">
        <v>1211</v>
      </c>
      <c r="EX15" s="1482"/>
      <c r="EY15" s="1482"/>
      <c r="EZ15" s="1483"/>
      <c r="FA15" s="1491" t="s">
        <v>1083</v>
      </c>
      <c r="FB15" s="1492"/>
      <c r="FC15" s="1481" t="s">
        <v>1213</v>
      </c>
      <c r="FD15" s="1482"/>
      <c r="FE15" s="1482"/>
      <c r="FF15" s="1483"/>
      <c r="FG15" s="1491" t="s">
        <v>1083</v>
      </c>
      <c r="FH15" s="1492"/>
      <c r="FI15" s="1481" t="s">
        <v>1215</v>
      </c>
      <c r="FJ15" s="1482"/>
      <c r="FK15" s="1482"/>
      <c r="FL15" s="1483"/>
      <c r="FM15" s="1491" t="s">
        <v>1083</v>
      </c>
      <c r="FN15" s="1492"/>
      <c r="FO15" s="1481" t="s">
        <v>1217</v>
      </c>
      <c r="FP15" s="1482"/>
      <c r="FQ15" s="1482"/>
      <c r="FR15" s="1483"/>
      <c r="FS15" s="1491" t="s">
        <v>1083</v>
      </c>
      <c r="FT15" s="1492"/>
      <c r="FU15" s="1481" t="s">
        <v>1140</v>
      </c>
      <c r="FV15" s="1482"/>
      <c r="FW15" s="1482"/>
      <c r="FX15" s="1483"/>
      <c r="FY15" s="1491" t="s">
        <v>1083</v>
      </c>
      <c r="FZ15" s="1492"/>
      <c r="GA15" s="1481" t="s">
        <v>47</v>
      </c>
      <c r="GB15" s="1482"/>
      <c r="GC15" s="1482"/>
      <c r="GD15" s="1483"/>
      <c r="GE15" s="1194" t="s">
        <v>1083</v>
      </c>
      <c r="GF15" s="1195"/>
      <c r="GG15" s="1196"/>
      <c r="GH15" s="1197"/>
      <c r="GI15" s="1197"/>
      <c r="GJ15" s="1198"/>
    </row>
    <row r="16" spans="1:198" ht="14.25" customHeight="1">
      <c r="A16" s="1067" t="s">
        <v>1084</v>
      </c>
      <c r="B16" s="1068" t="s">
        <v>1085</v>
      </c>
      <c r="C16" s="1498" t="s">
        <v>1086</v>
      </c>
      <c r="D16" s="1484"/>
      <c r="E16" s="1485"/>
      <c r="F16" s="1069" t="s">
        <v>1087</v>
      </c>
      <c r="G16" s="1070" t="s">
        <v>1084</v>
      </c>
      <c r="H16" s="1068" t="s">
        <v>1085</v>
      </c>
      <c r="I16" s="1495" t="s">
        <v>1086</v>
      </c>
      <c r="J16" s="1496"/>
      <c r="K16" s="1497"/>
      <c r="L16" s="1069" t="s">
        <v>1087</v>
      </c>
      <c r="M16" s="1070" t="s">
        <v>1084</v>
      </c>
      <c r="N16" s="1205" t="s">
        <v>1085</v>
      </c>
      <c r="O16" s="1498" t="s">
        <v>1086</v>
      </c>
      <c r="P16" s="1484"/>
      <c r="Q16" s="1485"/>
      <c r="R16" s="1069" t="s">
        <v>1087</v>
      </c>
      <c r="S16" s="1070" t="s">
        <v>1084</v>
      </c>
      <c r="T16" s="1068" t="s">
        <v>1085</v>
      </c>
      <c r="U16" s="1484" t="s">
        <v>1086</v>
      </c>
      <c r="V16" s="1484"/>
      <c r="W16" s="1485"/>
      <c r="X16" s="1069" t="s">
        <v>1087</v>
      </c>
      <c r="Y16" s="1070" t="s">
        <v>1084</v>
      </c>
      <c r="Z16" s="1068" t="s">
        <v>1085</v>
      </c>
      <c r="AA16" s="1498" t="s">
        <v>1086</v>
      </c>
      <c r="AB16" s="1484"/>
      <c r="AC16" s="1485"/>
      <c r="AD16" s="1069" t="s">
        <v>1087</v>
      </c>
      <c r="AE16" s="1070" t="s">
        <v>1084</v>
      </c>
      <c r="AF16" s="1068" t="s">
        <v>1085</v>
      </c>
      <c r="AG16" s="1484" t="s">
        <v>1086</v>
      </c>
      <c r="AH16" s="1484"/>
      <c r="AI16" s="1485"/>
      <c r="AJ16" s="1069" t="s">
        <v>1087</v>
      </c>
      <c r="AK16" s="1070" t="s">
        <v>1084</v>
      </c>
      <c r="AL16" s="1205" t="s">
        <v>1085</v>
      </c>
      <c r="AM16" s="1498" t="s">
        <v>1086</v>
      </c>
      <c r="AN16" s="1484"/>
      <c r="AO16" s="1485"/>
      <c r="AP16" s="1069" t="s">
        <v>1087</v>
      </c>
      <c r="AQ16" s="1070" t="s">
        <v>1084</v>
      </c>
      <c r="AR16" s="1068" t="s">
        <v>1085</v>
      </c>
      <c r="AS16" s="1484" t="s">
        <v>1086</v>
      </c>
      <c r="AT16" s="1484"/>
      <c r="AU16" s="1485"/>
      <c r="AV16" s="1069" t="s">
        <v>1087</v>
      </c>
      <c r="AW16" s="1070" t="s">
        <v>1084</v>
      </c>
      <c r="AX16" s="1205" t="s">
        <v>1085</v>
      </c>
      <c r="AY16" s="1498" t="s">
        <v>1086</v>
      </c>
      <c r="AZ16" s="1484"/>
      <c r="BA16" s="1485"/>
      <c r="BB16" s="1069" t="s">
        <v>1087</v>
      </c>
      <c r="BC16" s="1070" t="s">
        <v>1084</v>
      </c>
      <c r="BD16" s="1068" t="s">
        <v>1085</v>
      </c>
      <c r="BE16" s="1484" t="s">
        <v>1086</v>
      </c>
      <c r="BF16" s="1484"/>
      <c r="BG16" s="1485"/>
      <c r="BH16" s="1069" t="s">
        <v>1087</v>
      </c>
      <c r="BI16" s="1070" t="s">
        <v>1084</v>
      </c>
      <c r="BJ16" s="1068" t="s">
        <v>1085</v>
      </c>
      <c r="BK16" s="1498" t="s">
        <v>1086</v>
      </c>
      <c r="BL16" s="1484"/>
      <c r="BM16" s="1485"/>
      <c r="BN16" s="1069" t="s">
        <v>1087</v>
      </c>
      <c r="BO16" s="1070" t="s">
        <v>1084</v>
      </c>
      <c r="BP16" s="1068" t="s">
        <v>1085</v>
      </c>
      <c r="BQ16" s="1484" t="s">
        <v>1086</v>
      </c>
      <c r="BR16" s="1484"/>
      <c r="BS16" s="1485"/>
      <c r="BT16" s="1069" t="s">
        <v>1087</v>
      </c>
      <c r="BU16" s="1070" t="s">
        <v>1084</v>
      </c>
      <c r="BV16" s="1068" t="s">
        <v>1085</v>
      </c>
      <c r="BW16" s="1484" t="s">
        <v>1086</v>
      </c>
      <c r="BX16" s="1484"/>
      <c r="BY16" s="1485"/>
      <c r="BZ16" s="1069" t="s">
        <v>1087</v>
      </c>
      <c r="CA16" s="1070" t="s">
        <v>1084</v>
      </c>
      <c r="CB16" s="1068" t="s">
        <v>1085</v>
      </c>
      <c r="CC16" s="1484" t="s">
        <v>1086</v>
      </c>
      <c r="CD16" s="1484"/>
      <c r="CE16" s="1485"/>
      <c r="CF16" s="1069" t="s">
        <v>1087</v>
      </c>
      <c r="CG16" s="1070" t="s">
        <v>1084</v>
      </c>
      <c r="CH16" s="1068" t="s">
        <v>1085</v>
      </c>
      <c r="CI16" s="1484" t="s">
        <v>1086</v>
      </c>
      <c r="CJ16" s="1484"/>
      <c r="CK16" s="1485"/>
      <c r="CL16" s="1069" t="s">
        <v>1087</v>
      </c>
      <c r="CM16" s="1071" t="s">
        <v>1084</v>
      </c>
      <c r="CN16" s="1068" t="s">
        <v>1085</v>
      </c>
      <c r="CO16" s="1484" t="s">
        <v>1086</v>
      </c>
      <c r="CP16" s="1484"/>
      <c r="CQ16" s="1485"/>
      <c r="CR16" s="1069" t="s">
        <v>1087</v>
      </c>
      <c r="CS16" s="1071" t="s">
        <v>1084</v>
      </c>
      <c r="CT16" s="1068" t="s">
        <v>1085</v>
      </c>
      <c r="CU16" s="1484" t="s">
        <v>1086</v>
      </c>
      <c r="CV16" s="1484"/>
      <c r="CW16" s="1485"/>
      <c r="CX16" s="1069" t="s">
        <v>1087</v>
      </c>
      <c r="CY16" s="1071" t="s">
        <v>1084</v>
      </c>
      <c r="CZ16" s="1068" t="s">
        <v>1085</v>
      </c>
      <c r="DA16" s="1484" t="s">
        <v>1086</v>
      </c>
      <c r="DB16" s="1484"/>
      <c r="DC16" s="1485"/>
      <c r="DD16" s="1069" t="s">
        <v>1087</v>
      </c>
      <c r="DE16" s="1071" t="s">
        <v>1084</v>
      </c>
      <c r="DF16" s="1068" t="s">
        <v>1085</v>
      </c>
      <c r="DG16" s="1484" t="s">
        <v>1086</v>
      </c>
      <c r="DH16" s="1484"/>
      <c r="DI16" s="1485"/>
      <c r="DJ16" s="1069" t="s">
        <v>1087</v>
      </c>
      <c r="DK16" s="1070" t="s">
        <v>1084</v>
      </c>
      <c r="DL16" s="1068" t="s">
        <v>1085</v>
      </c>
      <c r="DM16" s="1484" t="s">
        <v>1086</v>
      </c>
      <c r="DN16" s="1484"/>
      <c r="DO16" s="1485"/>
      <c r="DP16" s="1069" t="s">
        <v>1087</v>
      </c>
      <c r="DQ16" s="1071" t="s">
        <v>1084</v>
      </c>
      <c r="DR16" s="1068" t="s">
        <v>1085</v>
      </c>
      <c r="DS16" s="1484" t="s">
        <v>1086</v>
      </c>
      <c r="DT16" s="1484"/>
      <c r="DU16" s="1485"/>
      <c r="DV16" s="1069" t="s">
        <v>1087</v>
      </c>
      <c r="DW16" s="1070" t="s">
        <v>1084</v>
      </c>
      <c r="DX16" s="1068" t="s">
        <v>1085</v>
      </c>
      <c r="DY16" s="1484" t="s">
        <v>1086</v>
      </c>
      <c r="DZ16" s="1484"/>
      <c r="EA16" s="1485"/>
      <c r="EB16" s="1069" t="s">
        <v>1087</v>
      </c>
      <c r="EC16" s="1071" t="s">
        <v>1084</v>
      </c>
      <c r="ED16" s="1068" t="s">
        <v>1085</v>
      </c>
      <c r="EE16" s="1484" t="s">
        <v>1086</v>
      </c>
      <c r="EF16" s="1484"/>
      <c r="EG16" s="1485"/>
      <c r="EH16" s="1069" t="s">
        <v>1087</v>
      </c>
      <c r="EI16" s="1071" t="s">
        <v>1084</v>
      </c>
      <c r="EJ16" s="1068" t="s">
        <v>1085</v>
      </c>
      <c r="EK16" s="1484" t="s">
        <v>1086</v>
      </c>
      <c r="EL16" s="1484"/>
      <c r="EM16" s="1485"/>
      <c r="EN16" s="1069" t="s">
        <v>1087</v>
      </c>
      <c r="EO16" s="1071" t="s">
        <v>1084</v>
      </c>
      <c r="EP16" s="1068" t="s">
        <v>1085</v>
      </c>
      <c r="EQ16" s="1484" t="s">
        <v>1086</v>
      </c>
      <c r="ER16" s="1484"/>
      <c r="ES16" s="1485"/>
      <c r="ET16" s="1069" t="s">
        <v>1087</v>
      </c>
      <c r="EU16" s="1071" t="s">
        <v>1084</v>
      </c>
      <c r="EV16" s="1068" t="s">
        <v>1085</v>
      </c>
      <c r="EW16" s="1484" t="s">
        <v>1086</v>
      </c>
      <c r="EX16" s="1484"/>
      <c r="EY16" s="1485"/>
      <c r="EZ16" s="1069" t="s">
        <v>1087</v>
      </c>
      <c r="FA16" s="1071" t="s">
        <v>1084</v>
      </c>
      <c r="FB16" s="1068" t="s">
        <v>1085</v>
      </c>
      <c r="FC16" s="1484" t="s">
        <v>1086</v>
      </c>
      <c r="FD16" s="1484"/>
      <c r="FE16" s="1485"/>
      <c r="FF16" s="1069" t="s">
        <v>1087</v>
      </c>
      <c r="FG16" s="1071" t="s">
        <v>1084</v>
      </c>
      <c r="FH16" s="1068" t="s">
        <v>1085</v>
      </c>
      <c r="FI16" s="1484" t="s">
        <v>1086</v>
      </c>
      <c r="FJ16" s="1484"/>
      <c r="FK16" s="1485"/>
      <c r="FL16" s="1069" t="s">
        <v>1087</v>
      </c>
      <c r="FM16" s="1071" t="s">
        <v>1084</v>
      </c>
      <c r="FN16" s="1068" t="s">
        <v>1085</v>
      </c>
      <c r="FO16" s="1484" t="s">
        <v>1086</v>
      </c>
      <c r="FP16" s="1484"/>
      <c r="FQ16" s="1485"/>
      <c r="FR16" s="1069" t="s">
        <v>1087</v>
      </c>
      <c r="FS16" s="1071" t="s">
        <v>1084</v>
      </c>
      <c r="FT16" s="1068" t="s">
        <v>1085</v>
      </c>
      <c r="FU16" s="1484" t="s">
        <v>1086</v>
      </c>
      <c r="FV16" s="1484"/>
      <c r="FW16" s="1485"/>
      <c r="FX16" s="1069" t="s">
        <v>1087</v>
      </c>
      <c r="FY16" s="1071" t="s">
        <v>1084</v>
      </c>
      <c r="FZ16" s="1068" t="s">
        <v>1085</v>
      </c>
      <c r="GA16" s="1484" t="s">
        <v>1086</v>
      </c>
      <c r="GB16" s="1484"/>
      <c r="GC16" s="1485"/>
      <c r="GD16" s="1069" t="s">
        <v>1087</v>
      </c>
      <c r="GE16" s="1071" t="s">
        <v>1084</v>
      </c>
      <c r="GF16" s="1068" t="s">
        <v>1085</v>
      </c>
      <c r="GG16" s="1495" t="s">
        <v>1086</v>
      </c>
      <c r="GH16" s="1496"/>
      <c r="GI16" s="1497"/>
      <c r="GJ16" s="1069" t="s">
        <v>1087</v>
      </c>
    </row>
    <row r="17" spans="1:192" s="1259" customFormat="1" ht="32.25" customHeight="1">
      <c r="A17" s="1253" t="s">
        <v>1088</v>
      </c>
      <c r="B17" s="1254" t="s">
        <v>1089</v>
      </c>
      <c r="C17" s="1072" t="s">
        <v>1090</v>
      </c>
      <c r="D17" s="1073" t="s">
        <v>1091</v>
      </c>
      <c r="E17" s="1074" t="s">
        <v>1092</v>
      </c>
      <c r="F17" s="1075" t="s">
        <v>1093</v>
      </c>
      <c r="G17" s="1255" t="s">
        <v>1088</v>
      </c>
      <c r="H17" s="1254" t="s">
        <v>1089</v>
      </c>
      <c r="I17" s="1072" t="s">
        <v>1090</v>
      </c>
      <c r="J17" s="1073" t="s">
        <v>1091</v>
      </c>
      <c r="K17" s="1074" t="s">
        <v>1092</v>
      </c>
      <c r="L17" s="1075" t="s">
        <v>1093</v>
      </c>
      <c r="M17" s="1255" t="s">
        <v>1088</v>
      </c>
      <c r="N17" s="1256" t="s">
        <v>1089</v>
      </c>
      <c r="O17" s="1190" t="s">
        <v>1090</v>
      </c>
      <c r="P17" s="1073" t="s">
        <v>1091</v>
      </c>
      <c r="Q17" s="1074" t="s">
        <v>1092</v>
      </c>
      <c r="R17" s="1075" t="s">
        <v>1093</v>
      </c>
      <c r="S17" s="1255" t="s">
        <v>1088</v>
      </c>
      <c r="T17" s="1254" t="s">
        <v>1089</v>
      </c>
      <c r="U17" s="1072" t="s">
        <v>1090</v>
      </c>
      <c r="V17" s="1073" t="s">
        <v>1091</v>
      </c>
      <c r="W17" s="1074" t="s">
        <v>1092</v>
      </c>
      <c r="X17" s="1075" t="s">
        <v>1093</v>
      </c>
      <c r="Y17" s="1255" t="s">
        <v>1088</v>
      </c>
      <c r="Z17" s="1254" t="s">
        <v>1089</v>
      </c>
      <c r="AA17" s="1190" t="s">
        <v>1090</v>
      </c>
      <c r="AB17" s="1073" t="s">
        <v>1091</v>
      </c>
      <c r="AC17" s="1074" t="s">
        <v>1092</v>
      </c>
      <c r="AD17" s="1075" t="s">
        <v>1093</v>
      </c>
      <c r="AE17" s="1255" t="s">
        <v>1088</v>
      </c>
      <c r="AF17" s="1257" t="s">
        <v>1089</v>
      </c>
      <c r="AG17" s="1072" t="s">
        <v>1090</v>
      </c>
      <c r="AH17" s="1073" t="s">
        <v>1091</v>
      </c>
      <c r="AI17" s="1074" t="s">
        <v>1092</v>
      </c>
      <c r="AJ17" s="1075" t="s">
        <v>1093</v>
      </c>
      <c r="AK17" s="1255" t="s">
        <v>1088</v>
      </c>
      <c r="AL17" s="1256" t="s">
        <v>1089</v>
      </c>
      <c r="AM17" s="1190" t="s">
        <v>1090</v>
      </c>
      <c r="AN17" s="1073" t="s">
        <v>1091</v>
      </c>
      <c r="AO17" s="1074" t="s">
        <v>1092</v>
      </c>
      <c r="AP17" s="1075" t="s">
        <v>1093</v>
      </c>
      <c r="AQ17" s="1255" t="s">
        <v>1088</v>
      </c>
      <c r="AR17" s="1254" t="s">
        <v>1089</v>
      </c>
      <c r="AS17" s="1072" t="s">
        <v>1090</v>
      </c>
      <c r="AT17" s="1073" t="s">
        <v>1091</v>
      </c>
      <c r="AU17" s="1074" t="s">
        <v>1092</v>
      </c>
      <c r="AV17" s="1075" t="s">
        <v>1093</v>
      </c>
      <c r="AW17" s="1255" t="s">
        <v>1088</v>
      </c>
      <c r="AX17" s="1256" t="s">
        <v>1089</v>
      </c>
      <c r="AY17" s="1190" t="s">
        <v>1090</v>
      </c>
      <c r="AZ17" s="1073" t="s">
        <v>1091</v>
      </c>
      <c r="BA17" s="1074" t="s">
        <v>1092</v>
      </c>
      <c r="BB17" s="1075" t="s">
        <v>1093</v>
      </c>
      <c r="BC17" s="1255" t="s">
        <v>1088</v>
      </c>
      <c r="BD17" s="1254" t="s">
        <v>1089</v>
      </c>
      <c r="BE17" s="1072" t="s">
        <v>1090</v>
      </c>
      <c r="BF17" s="1073" t="s">
        <v>1091</v>
      </c>
      <c r="BG17" s="1074" t="s">
        <v>1092</v>
      </c>
      <c r="BH17" s="1075" t="s">
        <v>1093</v>
      </c>
      <c r="BI17" s="1255" t="s">
        <v>1088</v>
      </c>
      <c r="BJ17" s="1254" t="s">
        <v>1089</v>
      </c>
      <c r="BK17" s="1190" t="s">
        <v>1090</v>
      </c>
      <c r="BL17" s="1073" t="s">
        <v>1091</v>
      </c>
      <c r="BM17" s="1074" t="s">
        <v>1092</v>
      </c>
      <c r="BN17" s="1075" t="s">
        <v>1093</v>
      </c>
      <c r="BO17" s="1255" t="s">
        <v>1088</v>
      </c>
      <c r="BP17" s="1258" t="s">
        <v>1089</v>
      </c>
      <c r="BQ17" s="1072" t="s">
        <v>1090</v>
      </c>
      <c r="BR17" s="1073" t="s">
        <v>1091</v>
      </c>
      <c r="BS17" s="1074" t="s">
        <v>1092</v>
      </c>
      <c r="BT17" s="1075" t="s">
        <v>1093</v>
      </c>
      <c r="BU17" s="1255" t="s">
        <v>1088</v>
      </c>
      <c r="BV17" s="1258" t="s">
        <v>1089</v>
      </c>
      <c r="BW17" s="1072" t="s">
        <v>1090</v>
      </c>
      <c r="BX17" s="1073" t="s">
        <v>1091</v>
      </c>
      <c r="BY17" s="1074" t="s">
        <v>1092</v>
      </c>
      <c r="BZ17" s="1075" t="s">
        <v>1093</v>
      </c>
      <c r="CA17" s="1255" t="s">
        <v>1088</v>
      </c>
      <c r="CB17" s="1258" t="s">
        <v>1089</v>
      </c>
      <c r="CC17" s="1072" t="s">
        <v>1090</v>
      </c>
      <c r="CD17" s="1073" t="s">
        <v>1091</v>
      </c>
      <c r="CE17" s="1074" t="s">
        <v>1092</v>
      </c>
      <c r="CF17" s="1075" t="s">
        <v>1093</v>
      </c>
      <c r="CG17" s="1255" t="s">
        <v>1088</v>
      </c>
      <c r="CH17" s="1258" t="s">
        <v>1089</v>
      </c>
      <c r="CI17" s="1072" t="s">
        <v>1090</v>
      </c>
      <c r="CJ17" s="1073" t="s">
        <v>1091</v>
      </c>
      <c r="CK17" s="1074" t="s">
        <v>1092</v>
      </c>
      <c r="CL17" s="1075" t="s">
        <v>1093</v>
      </c>
      <c r="CM17" s="1253" t="s">
        <v>1088</v>
      </c>
      <c r="CN17" s="1254" t="s">
        <v>1089</v>
      </c>
      <c r="CO17" s="1072" t="s">
        <v>1090</v>
      </c>
      <c r="CP17" s="1073" t="s">
        <v>1091</v>
      </c>
      <c r="CQ17" s="1074" t="s">
        <v>1092</v>
      </c>
      <c r="CR17" s="1075" t="s">
        <v>1093</v>
      </c>
      <c r="CS17" s="1253" t="s">
        <v>1088</v>
      </c>
      <c r="CT17" s="1254" t="s">
        <v>1089</v>
      </c>
      <c r="CU17" s="1072" t="s">
        <v>1090</v>
      </c>
      <c r="CV17" s="1073" t="s">
        <v>1091</v>
      </c>
      <c r="CW17" s="1074" t="s">
        <v>1092</v>
      </c>
      <c r="CX17" s="1075" t="s">
        <v>1093</v>
      </c>
      <c r="CY17" s="1253" t="s">
        <v>1088</v>
      </c>
      <c r="CZ17" s="1254" t="s">
        <v>1089</v>
      </c>
      <c r="DA17" s="1072" t="s">
        <v>1090</v>
      </c>
      <c r="DB17" s="1073" t="s">
        <v>1091</v>
      </c>
      <c r="DC17" s="1074" t="s">
        <v>1092</v>
      </c>
      <c r="DD17" s="1075" t="s">
        <v>1093</v>
      </c>
      <c r="DE17" s="1253" t="s">
        <v>1088</v>
      </c>
      <c r="DF17" s="1254" t="s">
        <v>1089</v>
      </c>
      <c r="DG17" s="1072" t="s">
        <v>1090</v>
      </c>
      <c r="DH17" s="1073" t="s">
        <v>1091</v>
      </c>
      <c r="DI17" s="1074" t="s">
        <v>1092</v>
      </c>
      <c r="DJ17" s="1075" t="s">
        <v>1093</v>
      </c>
      <c r="DK17" s="1255" t="s">
        <v>1088</v>
      </c>
      <c r="DL17" s="1258" t="s">
        <v>1089</v>
      </c>
      <c r="DM17" s="1072" t="s">
        <v>1090</v>
      </c>
      <c r="DN17" s="1073" t="s">
        <v>1091</v>
      </c>
      <c r="DO17" s="1074" t="s">
        <v>1092</v>
      </c>
      <c r="DP17" s="1075" t="s">
        <v>1093</v>
      </c>
      <c r="DQ17" s="1253" t="s">
        <v>1088</v>
      </c>
      <c r="DR17" s="1254" t="s">
        <v>1089</v>
      </c>
      <c r="DS17" s="1072" t="s">
        <v>1090</v>
      </c>
      <c r="DT17" s="1073" t="s">
        <v>1091</v>
      </c>
      <c r="DU17" s="1074" t="s">
        <v>1092</v>
      </c>
      <c r="DV17" s="1075" t="s">
        <v>1093</v>
      </c>
      <c r="DW17" s="1255" t="s">
        <v>1088</v>
      </c>
      <c r="DX17" s="1254" t="s">
        <v>1089</v>
      </c>
      <c r="DY17" s="1072" t="s">
        <v>1090</v>
      </c>
      <c r="DZ17" s="1073" t="s">
        <v>1091</v>
      </c>
      <c r="EA17" s="1074" t="s">
        <v>1092</v>
      </c>
      <c r="EB17" s="1075" t="s">
        <v>1093</v>
      </c>
      <c r="EC17" s="1253" t="s">
        <v>1088</v>
      </c>
      <c r="ED17" s="1254" t="s">
        <v>1089</v>
      </c>
      <c r="EE17" s="1072" t="s">
        <v>1090</v>
      </c>
      <c r="EF17" s="1073" t="s">
        <v>1091</v>
      </c>
      <c r="EG17" s="1074" t="s">
        <v>1092</v>
      </c>
      <c r="EH17" s="1075" t="s">
        <v>1093</v>
      </c>
      <c r="EI17" s="1253" t="s">
        <v>1088</v>
      </c>
      <c r="EJ17" s="1254" t="s">
        <v>1089</v>
      </c>
      <c r="EK17" s="1072" t="s">
        <v>1090</v>
      </c>
      <c r="EL17" s="1073" t="s">
        <v>1091</v>
      </c>
      <c r="EM17" s="1074" t="s">
        <v>1092</v>
      </c>
      <c r="EN17" s="1075" t="s">
        <v>1093</v>
      </c>
      <c r="EO17" s="1253" t="s">
        <v>1088</v>
      </c>
      <c r="EP17" s="1254" t="s">
        <v>1089</v>
      </c>
      <c r="EQ17" s="1072" t="s">
        <v>1090</v>
      </c>
      <c r="ER17" s="1073" t="s">
        <v>1091</v>
      </c>
      <c r="ES17" s="1074" t="s">
        <v>1092</v>
      </c>
      <c r="ET17" s="1075" t="s">
        <v>1093</v>
      </c>
      <c r="EU17" s="1253" t="s">
        <v>1088</v>
      </c>
      <c r="EV17" s="1254" t="s">
        <v>1089</v>
      </c>
      <c r="EW17" s="1072" t="s">
        <v>1090</v>
      </c>
      <c r="EX17" s="1073" t="s">
        <v>1091</v>
      </c>
      <c r="EY17" s="1074" t="s">
        <v>1092</v>
      </c>
      <c r="EZ17" s="1075" t="s">
        <v>1093</v>
      </c>
      <c r="FA17" s="1253" t="s">
        <v>1088</v>
      </c>
      <c r="FB17" s="1254" t="s">
        <v>1089</v>
      </c>
      <c r="FC17" s="1072" t="s">
        <v>1090</v>
      </c>
      <c r="FD17" s="1073" t="s">
        <v>1091</v>
      </c>
      <c r="FE17" s="1074" t="s">
        <v>1092</v>
      </c>
      <c r="FF17" s="1075" t="s">
        <v>1093</v>
      </c>
      <c r="FG17" s="1253" t="s">
        <v>1088</v>
      </c>
      <c r="FH17" s="1254" t="s">
        <v>1089</v>
      </c>
      <c r="FI17" s="1072" t="s">
        <v>1090</v>
      </c>
      <c r="FJ17" s="1073" t="s">
        <v>1091</v>
      </c>
      <c r="FK17" s="1074" t="s">
        <v>1092</v>
      </c>
      <c r="FL17" s="1075" t="s">
        <v>1093</v>
      </c>
      <c r="FM17" s="1253" t="s">
        <v>1088</v>
      </c>
      <c r="FN17" s="1254" t="s">
        <v>1089</v>
      </c>
      <c r="FO17" s="1072" t="s">
        <v>1090</v>
      </c>
      <c r="FP17" s="1073" t="s">
        <v>1091</v>
      </c>
      <c r="FQ17" s="1074" t="s">
        <v>1092</v>
      </c>
      <c r="FR17" s="1075" t="s">
        <v>1093</v>
      </c>
      <c r="FS17" s="1253" t="s">
        <v>1088</v>
      </c>
      <c r="FT17" s="1254" t="s">
        <v>1089</v>
      </c>
      <c r="FU17" s="1072" t="s">
        <v>1090</v>
      </c>
      <c r="FV17" s="1073" t="s">
        <v>1091</v>
      </c>
      <c r="FW17" s="1074" t="s">
        <v>1092</v>
      </c>
      <c r="FX17" s="1075" t="s">
        <v>1093</v>
      </c>
      <c r="FY17" s="1253" t="s">
        <v>1088</v>
      </c>
      <c r="FZ17" s="1254" t="s">
        <v>1089</v>
      </c>
      <c r="GA17" s="1072" t="s">
        <v>1090</v>
      </c>
      <c r="GB17" s="1073" t="s">
        <v>1091</v>
      </c>
      <c r="GC17" s="1074" t="s">
        <v>1092</v>
      </c>
      <c r="GD17" s="1075" t="s">
        <v>1093</v>
      </c>
      <c r="GE17" s="1253" t="s">
        <v>1088</v>
      </c>
      <c r="GF17" s="1254" t="s">
        <v>1089</v>
      </c>
      <c r="GG17" s="1072" t="s">
        <v>1090</v>
      </c>
      <c r="GH17" s="1073" t="s">
        <v>1091</v>
      </c>
      <c r="GI17" s="1074" t="s">
        <v>1094</v>
      </c>
      <c r="GJ17" s="1075" t="s">
        <v>1093</v>
      </c>
    </row>
    <row r="18" spans="1:192" s="1081" customFormat="1" ht="15" customHeight="1">
      <c r="A18" s="1076" t="s">
        <v>34</v>
      </c>
      <c r="B18" s="1077" t="s">
        <v>1095</v>
      </c>
      <c r="C18" s="1078">
        <v>0</v>
      </c>
      <c r="D18" s="1078">
        <v>0</v>
      </c>
      <c r="E18" s="1078">
        <v>0</v>
      </c>
      <c r="F18" s="1079">
        <v>0</v>
      </c>
      <c r="G18" s="1076" t="s">
        <v>34</v>
      </c>
      <c r="H18" s="1077" t="s">
        <v>1095</v>
      </c>
      <c r="I18" s="1203">
        <v>0</v>
      </c>
      <c r="J18" s="1078">
        <v>0</v>
      </c>
      <c r="K18" s="1078">
        <v>0</v>
      </c>
      <c r="L18" s="1079">
        <v>0</v>
      </c>
      <c r="M18" s="1076" t="s">
        <v>34</v>
      </c>
      <c r="N18" s="1206" t="s">
        <v>1095</v>
      </c>
      <c r="O18" s="1078">
        <v>0</v>
      </c>
      <c r="P18" s="1078">
        <v>0</v>
      </c>
      <c r="Q18" s="1078">
        <v>0</v>
      </c>
      <c r="R18" s="1079">
        <v>0</v>
      </c>
      <c r="S18" s="1076" t="s">
        <v>34</v>
      </c>
      <c r="T18" s="1077" t="s">
        <v>1095</v>
      </c>
      <c r="U18" s="1203">
        <v>0</v>
      </c>
      <c r="V18" s="1078">
        <v>0</v>
      </c>
      <c r="W18" s="1078">
        <v>0</v>
      </c>
      <c r="X18" s="1079">
        <v>0</v>
      </c>
      <c r="Y18" s="1076" t="s">
        <v>34</v>
      </c>
      <c r="Z18" s="1077" t="s">
        <v>1095</v>
      </c>
      <c r="AA18" s="1078">
        <v>0</v>
      </c>
      <c r="AB18" s="1078">
        <v>0</v>
      </c>
      <c r="AC18" s="1078">
        <v>0</v>
      </c>
      <c r="AD18" s="1079">
        <v>0</v>
      </c>
      <c r="AE18" s="1240" t="s">
        <v>80</v>
      </c>
      <c r="AF18" s="1077" t="s">
        <v>1095</v>
      </c>
      <c r="AG18" s="1239" cm="1">
        <f t="array" ref="AG18:AG50">IFERROR(VLOOKUP(AE18:AE50,'AL Melting'!A59:L87,2,FALSE),0)</f>
        <v>0.12352941176470589</v>
      </c>
      <c r="AH18" s="1239" cm="1">
        <f t="array" ref="AH18:AH50">IFERROR(VLOOKUP(AE18:AE50,'AL Melting'!A59:L87,3,FALSE),0)</f>
        <v>0.54105882352941181</v>
      </c>
      <c r="AI18" s="1082" t="s">
        <v>1174</v>
      </c>
      <c r="AJ18" s="1079">
        <v>0</v>
      </c>
      <c r="AK18" s="1240" t="s">
        <v>80</v>
      </c>
      <c r="AL18" s="1206" t="s">
        <v>1095</v>
      </c>
      <c r="AM18" s="1239" cm="1">
        <f t="array" ref="AM18:AM50">IFERROR(VLOOKUP(AK18:AK50,'AL Melting'!A59:L87,4,FALSE),0)</f>
        <v>0.12352941176470589</v>
      </c>
      <c r="AN18" s="1239" cm="1">
        <f t="array" ref="AN18:AN50">IFERROR(VLOOKUP(AK18:AK50,'AL Melting'!A59:L87,5,FALSE),0)</f>
        <v>0.54105882352941181</v>
      </c>
      <c r="AO18" s="1082" t="s">
        <v>1174</v>
      </c>
      <c r="AP18" s="1079">
        <v>0</v>
      </c>
      <c r="AQ18" s="1240" t="s">
        <v>80</v>
      </c>
      <c r="AR18" s="1077" t="s">
        <v>1095</v>
      </c>
      <c r="AS18" s="1239" cm="1">
        <f t="array" ref="AS18:AS50">IFERROR(VLOOKUP(AQ18:AQ50,'AL Melting'!A59:L87,6,FALSE),0)</f>
        <v>0.12352941176470589</v>
      </c>
      <c r="AT18" s="1239" cm="1">
        <f t="array" ref="AT18:AT50">IFERROR(VLOOKUP(AQ18:AQ50,'AL Melting'!A59:L87,7,FALSE),0)</f>
        <v>0.54105882352941181</v>
      </c>
      <c r="AU18" s="1082" t="s">
        <v>1174</v>
      </c>
      <c r="AV18" s="1079">
        <v>0</v>
      </c>
      <c r="AW18" s="1240" t="s">
        <v>80</v>
      </c>
      <c r="AX18" s="1206" t="s">
        <v>1095</v>
      </c>
      <c r="AY18" s="1239" cm="1">
        <f t="array" ref="AY18:AY50">IFERROR(VLOOKUP(AW18:AW50,'AL Melting'!A59:L87,8,FALSE),0)</f>
        <v>0.12352941176470589</v>
      </c>
      <c r="AZ18" s="1239" cm="1">
        <f t="array" ref="AZ18:AZ50">IFERROR(VLOOKUP(AW18:AW50,'AL Melting'!A59:L87,9,FALSE),0)</f>
        <v>0.54105882352941181</v>
      </c>
      <c r="BA18" s="1082" t="s">
        <v>1174</v>
      </c>
      <c r="BB18" s="1079">
        <v>0</v>
      </c>
      <c r="BC18" s="1240" t="s">
        <v>80</v>
      </c>
      <c r="BD18" s="1077" t="s">
        <v>1095</v>
      </c>
      <c r="BE18" s="1239" cm="1">
        <f t="array" ref="BE18:BE50">IFERROR(VLOOKUP(BC18:BC50,'AL Melting'!A59:L87,10,FALSE),0)</f>
        <v>0.12352941176470589</v>
      </c>
      <c r="BF18" s="1239" cm="1">
        <f t="array" ref="BF18:BF50">IFERROR(VLOOKUP(BC18:BC50,'AL Melting'!A59:L87,11,FALSE),0)</f>
        <v>0.54105882352941181</v>
      </c>
      <c r="BG18" s="1082" t="s">
        <v>1174</v>
      </c>
      <c r="BH18" s="1079">
        <v>0</v>
      </c>
      <c r="BI18" s="1240" t="s">
        <v>80</v>
      </c>
      <c r="BJ18" s="1077" t="s">
        <v>1095</v>
      </c>
      <c r="BK18" s="1082" t="s">
        <v>1141</v>
      </c>
      <c r="BL18" s="1082" t="s">
        <v>1141</v>
      </c>
      <c r="BM18" s="1239" cm="1">
        <f t="array" ref="BM18:BM50">IFERROR(VLOOKUP(BI18:BI50,'AL Melting'!A59:L87,12,FALSE),0)</f>
        <v>2.7052941176470591</v>
      </c>
      <c r="BN18" s="1079">
        <v>0</v>
      </c>
      <c r="BO18" s="1076" t="s">
        <v>34</v>
      </c>
      <c r="BP18" s="1077" t="s">
        <v>1095</v>
      </c>
      <c r="BQ18" s="1078">
        <v>0</v>
      </c>
      <c r="BR18" s="1078">
        <v>0</v>
      </c>
      <c r="BS18" s="1078">
        <v>0</v>
      </c>
      <c r="BT18" s="1079">
        <v>0</v>
      </c>
      <c r="BU18" s="1076" t="s">
        <v>34</v>
      </c>
      <c r="BV18" s="1077" t="s">
        <v>1095</v>
      </c>
      <c r="BW18" s="1078">
        <v>0</v>
      </c>
      <c r="BX18" s="1078">
        <v>0</v>
      </c>
      <c r="BY18" s="1078">
        <v>0</v>
      </c>
      <c r="BZ18" s="1079">
        <v>0</v>
      </c>
      <c r="CA18" s="1076" t="s">
        <v>34</v>
      </c>
      <c r="CB18" s="1077" t="s">
        <v>1095</v>
      </c>
      <c r="CC18" s="1078">
        <v>0</v>
      </c>
      <c r="CD18" s="1078">
        <v>0</v>
      </c>
      <c r="CE18" s="1078">
        <v>0</v>
      </c>
      <c r="CF18" s="1079">
        <v>0</v>
      </c>
      <c r="CG18" s="1240" t="s">
        <v>80</v>
      </c>
      <c r="CH18" s="1077" t="s">
        <v>1095</v>
      </c>
      <c r="CI18" s="1080">
        <f>'Core Making VOC-HAP'!C217+'Core Making VOC-HAP'!E217+'Core Making VOC-HAP'!G217</f>
        <v>3.7882352941176471E-2</v>
      </c>
      <c r="CJ18" s="1080">
        <f>'Core Making VOC-HAP'!D217+'Core Making VOC-HAP'!F217+'Core Making VOC-HAP'!H217</f>
        <v>0.16592470588235297</v>
      </c>
      <c r="CK18" s="1080">
        <f>'Core Making VOC-HAP'!I217</f>
        <v>0.16592470588235297</v>
      </c>
      <c r="CL18" s="1079">
        <v>0</v>
      </c>
      <c r="CM18" s="1076" t="s">
        <v>34</v>
      </c>
      <c r="CN18" s="1077" t="s">
        <v>1095</v>
      </c>
      <c r="CO18" s="1078">
        <v>0</v>
      </c>
      <c r="CP18" s="1078">
        <v>0</v>
      </c>
      <c r="CQ18" s="1078">
        <v>0</v>
      </c>
      <c r="CR18" s="1079">
        <v>0</v>
      </c>
      <c r="CS18" s="1076" t="s">
        <v>34</v>
      </c>
      <c r="CT18" s="1077" t="s">
        <v>1095</v>
      </c>
      <c r="CU18" s="1078">
        <v>0</v>
      </c>
      <c r="CV18" s="1078">
        <v>0</v>
      </c>
      <c r="CW18" s="1078">
        <v>0</v>
      </c>
      <c r="CX18" s="1079">
        <v>0</v>
      </c>
      <c r="CY18" s="1076" t="s">
        <v>34</v>
      </c>
      <c r="CZ18" s="1077" t="s">
        <v>1095</v>
      </c>
      <c r="DA18" s="1078">
        <v>0</v>
      </c>
      <c r="DB18" s="1078">
        <v>0</v>
      </c>
      <c r="DC18" s="1078">
        <v>0</v>
      </c>
      <c r="DD18" s="1079">
        <v>0</v>
      </c>
      <c r="DE18" s="1076" t="s">
        <v>34</v>
      </c>
      <c r="DF18" s="1077" t="s">
        <v>1095</v>
      </c>
      <c r="DG18" s="1078">
        <v>0</v>
      </c>
      <c r="DH18" s="1078">
        <v>0</v>
      </c>
      <c r="DI18" s="1078">
        <v>0</v>
      </c>
      <c r="DJ18" s="1079">
        <v>0</v>
      </c>
      <c r="DK18" s="1076" t="s">
        <v>34</v>
      </c>
      <c r="DL18" s="1077" t="s">
        <v>1095</v>
      </c>
      <c r="DM18" s="1078">
        <v>0</v>
      </c>
      <c r="DN18" s="1078">
        <v>0</v>
      </c>
      <c r="DO18" s="1078">
        <v>0</v>
      </c>
      <c r="DP18" s="1079">
        <v>0</v>
      </c>
      <c r="DQ18" s="1076" t="s">
        <v>34</v>
      </c>
      <c r="DR18" s="1077" t="s">
        <v>1095</v>
      </c>
      <c r="DS18" s="1078">
        <v>0</v>
      </c>
      <c r="DT18" s="1078">
        <v>0</v>
      </c>
      <c r="DU18" s="1078">
        <v>0</v>
      </c>
      <c r="DV18" s="1079">
        <v>0</v>
      </c>
      <c r="DW18" s="1076" t="s">
        <v>34</v>
      </c>
      <c r="DX18" s="1077" t="s">
        <v>1095</v>
      </c>
      <c r="DY18" s="1078">
        <v>0</v>
      </c>
      <c r="DZ18" s="1078">
        <v>0</v>
      </c>
      <c r="EA18" s="1078">
        <v>0</v>
      </c>
      <c r="EB18" s="1079">
        <v>0</v>
      </c>
      <c r="EC18" s="1076" t="s">
        <v>34</v>
      </c>
      <c r="ED18" s="1077" t="s">
        <v>1095</v>
      </c>
      <c r="EE18" s="1082">
        <f>'IA-Transfer Ladle'!E31*'IA-Transfer Ladle'!$C$10</f>
        <v>9.5000000000000001E-2</v>
      </c>
      <c r="EF18" s="1082">
        <f>'IA-Transfer Ladle'!F31*'IA-Transfer Ladle'!$C$10</f>
        <v>0.41610000000000003</v>
      </c>
      <c r="EG18" s="1082">
        <f>'IA-Transfer Ladle'!G31</f>
        <v>3.7499999999999999E-2</v>
      </c>
      <c r="EH18" s="1079">
        <v>0</v>
      </c>
      <c r="EI18" s="1240" t="s">
        <v>80</v>
      </c>
      <c r="EJ18" s="1077" t="s">
        <v>1095</v>
      </c>
      <c r="EK18" s="1239" cm="1">
        <f t="array" ref="EK18:EK50">IFERROR(VLOOKUP(EI18:EI50,'Ladle Preheaters - Nat Gas'!A13:H41,5,FALSE),0)</f>
        <v>0.16470588235294117</v>
      </c>
      <c r="EL18" s="1239" cm="1">
        <f t="array" ref="EL18:EL50">IFERROR(VLOOKUP(EI18:EI50,'Ladle Preheaters - Nat Gas'!A13:H41,7,FALSE),0)</f>
        <v>0.72141176470588231</v>
      </c>
      <c r="EM18" s="1239" cm="1">
        <f t="array" ref="EM18:EM50">IFERROR(VLOOKUP(EI18:EI50,'Ladle Preheaters - Nat Gas'!A13:H41,7,FALSE),0)</f>
        <v>0.72141176470588231</v>
      </c>
      <c r="EN18" s="1079">
        <v>0</v>
      </c>
      <c r="EO18" s="1240" t="s">
        <v>80</v>
      </c>
      <c r="EP18" s="1206" t="s">
        <v>1095</v>
      </c>
      <c r="EQ18" s="1239" cm="1">
        <f t="array" ref="EQ18:EQ50">IFERROR(VLOOKUP(EO18:EO50,'Core Oven - Natural Gas'!A13:H42,5,FALSE),0)</f>
        <v>2.8823529411764703E-2</v>
      </c>
      <c r="ER18" s="1239" cm="1">
        <f t="array" ref="ER18:ER50">IFERROR(VLOOKUP(EO18:EO50,'Core Oven - Natural Gas'!A13:H42,7,FALSE),0)</f>
        <v>0.12624705882352941</v>
      </c>
      <c r="ES18" s="1239" cm="1">
        <f t="array" ref="ES18:ES50">IFERROR(VLOOKUP(EO18:EO50,'Core Oven - Natural Gas'!A13:H42,7,FALSE),0)</f>
        <v>0.12624705882352941</v>
      </c>
      <c r="ET18" s="1079">
        <v>0</v>
      </c>
      <c r="EU18" s="1076" t="s">
        <v>34</v>
      </c>
      <c r="EV18" s="1077" t="s">
        <v>1095</v>
      </c>
      <c r="EW18" s="1078">
        <v>0</v>
      </c>
      <c r="EX18" s="1078">
        <v>0</v>
      </c>
      <c r="EY18" s="1078">
        <v>0</v>
      </c>
      <c r="EZ18" s="1079">
        <v>0</v>
      </c>
      <c r="FA18" s="1076" t="s">
        <v>34</v>
      </c>
      <c r="FB18" s="1077" t="s">
        <v>1095</v>
      </c>
      <c r="FC18" s="1078">
        <v>0</v>
      </c>
      <c r="FD18" s="1078">
        <v>0</v>
      </c>
      <c r="FE18" s="1078">
        <v>0</v>
      </c>
      <c r="FF18" s="1079">
        <v>0</v>
      </c>
      <c r="FG18" s="1076" t="s">
        <v>34</v>
      </c>
      <c r="FH18" s="1077" t="s">
        <v>1095</v>
      </c>
      <c r="FI18" s="1078">
        <v>0</v>
      </c>
      <c r="FJ18" s="1078">
        <v>0</v>
      </c>
      <c r="FK18" s="1078">
        <v>0</v>
      </c>
      <c r="FL18" s="1079">
        <v>0</v>
      </c>
      <c r="FM18" s="1076" t="s">
        <v>34</v>
      </c>
      <c r="FN18" s="1077" t="s">
        <v>1095</v>
      </c>
      <c r="FO18" s="1078">
        <v>0</v>
      </c>
      <c r="FP18" s="1078">
        <v>0</v>
      </c>
      <c r="FQ18" s="1078">
        <v>0</v>
      </c>
      <c r="FR18" s="1079">
        <v>0</v>
      </c>
      <c r="FS18" s="1076" t="s">
        <v>34</v>
      </c>
      <c r="FT18" s="1077" t="s">
        <v>1095</v>
      </c>
      <c r="FU18" s="1078">
        <v>0</v>
      </c>
      <c r="FV18" s="1078">
        <v>0</v>
      </c>
      <c r="FW18" s="1078">
        <v>0</v>
      </c>
      <c r="FX18" s="1079">
        <v>0</v>
      </c>
      <c r="FY18" s="1076" t="s">
        <v>34</v>
      </c>
      <c r="FZ18" s="1077" t="s">
        <v>1095</v>
      </c>
      <c r="GA18" s="1078">
        <v>0</v>
      </c>
      <c r="GB18" s="1078">
        <v>0</v>
      </c>
      <c r="GC18" s="1078">
        <v>0</v>
      </c>
      <c r="GD18" s="1079">
        <v>0</v>
      </c>
      <c r="GE18" s="1076" t="s">
        <v>34</v>
      </c>
      <c r="GF18" s="1077" t="s">
        <v>1095</v>
      </c>
      <c r="GG18" s="1261">
        <f>C18+I18+O18+U18+AA18+AG18+AM18+AS18+AY18+BE18+BQ18+BW18+CC18+CI18+CO18+CU18+DA18+DG18+DM18+DS18+DY18+EE18+EK18+EQ18+EW18+FC18+FI18+FO18+FU18+GA18</f>
        <v>0.94405882352941173</v>
      </c>
      <c r="GH18" s="1261">
        <f>D18+J18+P18+V18+AB18+AH18+AN18+AT18+AZ18+BF18+BR18+BX18+CD18+CJ18+CP18+CV18+DB18+DH18+DN18+DT18+DZ18+EF18+EL18+ER18+EX18+FD18+FJ18+FP18+FV18+GB18</f>
        <v>4.1349776470588235</v>
      </c>
      <c r="GI18" s="1261">
        <f>E18+K18+Q18+W18+AC18+BM18+BS18+BY18+CE18+CK18+CQ18+CW18+DC18+DI18+DO18+DU18+EA18+EG18+EM18+ES18+EY18+FE18+FK18+FQ18+FW18</f>
        <v>3.7563776470588239</v>
      </c>
      <c r="GJ18" s="1199">
        <f t="shared" ref="GJ18:GJ50" si="0">AD18+EB18+DP18+F18+EH18+EN18+DV18+FX18+GD18</f>
        <v>0</v>
      </c>
    </row>
    <row r="19" spans="1:192" s="1081" customFormat="1" ht="15" customHeight="1">
      <c r="A19" s="1076" t="s">
        <v>33</v>
      </c>
      <c r="B19" s="1077" t="s">
        <v>47</v>
      </c>
      <c r="C19" s="1078">
        <v>0</v>
      </c>
      <c r="D19" s="1078">
        <v>0</v>
      </c>
      <c r="E19" s="1078">
        <v>0</v>
      </c>
      <c r="F19" s="1079">
        <v>0</v>
      </c>
      <c r="G19" s="1076" t="s">
        <v>33</v>
      </c>
      <c r="H19" s="1077" t="s">
        <v>47</v>
      </c>
      <c r="I19" s="1203">
        <v>0</v>
      </c>
      <c r="J19" s="1078">
        <v>0</v>
      </c>
      <c r="K19" s="1078">
        <v>0</v>
      </c>
      <c r="L19" s="1079">
        <v>0</v>
      </c>
      <c r="M19" s="1076" t="s">
        <v>33</v>
      </c>
      <c r="N19" s="1206" t="s">
        <v>47</v>
      </c>
      <c r="O19" s="1078">
        <v>0</v>
      </c>
      <c r="P19" s="1078">
        <v>0</v>
      </c>
      <c r="Q19" s="1078">
        <v>0</v>
      </c>
      <c r="R19" s="1079">
        <v>0</v>
      </c>
      <c r="S19" s="1076" t="s">
        <v>33</v>
      </c>
      <c r="T19" s="1077" t="s">
        <v>47</v>
      </c>
      <c r="U19" s="1203">
        <v>0</v>
      </c>
      <c r="V19" s="1078">
        <v>0</v>
      </c>
      <c r="W19" s="1078">
        <v>0</v>
      </c>
      <c r="X19" s="1079">
        <v>0</v>
      </c>
      <c r="Y19" s="1076" t="s">
        <v>33</v>
      </c>
      <c r="Z19" s="1077" t="s">
        <v>47</v>
      </c>
      <c r="AA19" s="1078">
        <v>0</v>
      </c>
      <c r="AB19" s="1078">
        <v>0</v>
      </c>
      <c r="AC19" s="1078">
        <v>0</v>
      </c>
      <c r="AD19" s="1079">
        <v>0</v>
      </c>
      <c r="AE19" s="1240" t="s">
        <v>79</v>
      </c>
      <c r="AF19" s="1077" t="s">
        <v>47</v>
      </c>
      <c r="AG19" s="1239">
        <v>0.65705882352941181</v>
      </c>
      <c r="AH19" s="1239">
        <v>2.8779176470588235</v>
      </c>
      <c r="AI19" s="1082" t="s">
        <v>1174</v>
      </c>
      <c r="AJ19" s="1079">
        <v>0</v>
      </c>
      <c r="AK19" s="1240" t="s">
        <v>79</v>
      </c>
      <c r="AL19" s="1206" t="s">
        <v>47</v>
      </c>
      <c r="AM19" s="1239">
        <v>0.65705882352941181</v>
      </c>
      <c r="AN19" s="1239">
        <v>2.8779176470588235</v>
      </c>
      <c r="AO19" s="1082" t="s">
        <v>1174</v>
      </c>
      <c r="AP19" s="1079">
        <v>0</v>
      </c>
      <c r="AQ19" s="1240" t="s">
        <v>79</v>
      </c>
      <c r="AR19" s="1077" t="s">
        <v>47</v>
      </c>
      <c r="AS19" s="1239">
        <v>0.65705882352941181</v>
      </c>
      <c r="AT19" s="1239">
        <v>2.8779176470588235</v>
      </c>
      <c r="AU19" s="1082" t="s">
        <v>1174</v>
      </c>
      <c r="AV19" s="1079">
        <v>0</v>
      </c>
      <c r="AW19" s="1240" t="s">
        <v>79</v>
      </c>
      <c r="AX19" s="1206" t="s">
        <v>47</v>
      </c>
      <c r="AY19" s="1239">
        <v>0.65705882352941181</v>
      </c>
      <c r="AZ19" s="1239">
        <v>2.8779176470588235</v>
      </c>
      <c r="BA19" s="1082" t="s">
        <v>1174</v>
      </c>
      <c r="BB19" s="1079">
        <v>0</v>
      </c>
      <c r="BC19" s="1240" t="s">
        <v>79</v>
      </c>
      <c r="BD19" s="1077" t="s">
        <v>47</v>
      </c>
      <c r="BE19" s="1239">
        <v>0.65705882352941181</v>
      </c>
      <c r="BF19" s="1239">
        <v>2.8779176470588235</v>
      </c>
      <c r="BG19" s="1082" t="s">
        <v>1174</v>
      </c>
      <c r="BH19" s="1079">
        <v>0</v>
      </c>
      <c r="BI19" s="1240" t="s">
        <v>79</v>
      </c>
      <c r="BJ19" s="1077" t="s">
        <v>47</v>
      </c>
      <c r="BK19" s="1082" t="s">
        <v>1141</v>
      </c>
      <c r="BL19" s="1082" t="s">
        <v>1141</v>
      </c>
      <c r="BM19" s="1239">
        <v>4.0705882352941174</v>
      </c>
      <c r="BN19" s="1079">
        <v>0</v>
      </c>
      <c r="BO19" s="1076" t="s">
        <v>33</v>
      </c>
      <c r="BP19" s="1077" t="s">
        <v>47</v>
      </c>
      <c r="BQ19" s="1078">
        <v>0</v>
      </c>
      <c r="BR19" s="1078">
        <v>0</v>
      </c>
      <c r="BS19" s="1078">
        <v>0</v>
      </c>
      <c r="BT19" s="1079">
        <v>0</v>
      </c>
      <c r="BU19" s="1076" t="s">
        <v>33</v>
      </c>
      <c r="BV19" s="1077" t="s">
        <v>47</v>
      </c>
      <c r="BW19" s="1078">
        <v>0</v>
      </c>
      <c r="BX19" s="1078">
        <v>0</v>
      </c>
      <c r="BY19" s="1078">
        <v>0</v>
      </c>
      <c r="BZ19" s="1079">
        <v>0</v>
      </c>
      <c r="CA19" s="1076" t="s">
        <v>33</v>
      </c>
      <c r="CB19" s="1077" t="s">
        <v>47</v>
      </c>
      <c r="CC19" s="1078">
        <v>0</v>
      </c>
      <c r="CD19" s="1078">
        <v>0</v>
      </c>
      <c r="CE19" s="1078">
        <v>0</v>
      </c>
      <c r="CF19" s="1079">
        <v>0</v>
      </c>
      <c r="CG19" s="1240" t="s">
        <v>79</v>
      </c>
      <c r="CH19" s="1077" t="s">
        <v>47</v>
      </c>
      <c r="CI19" s="1080">
        <f>'Core Making VOC-HAP'!C216+'Core Making VOC-HAP'!E216+'Core Making VOC-HAP'!G216</f>
        <v>4.5098039215686274E-2</v>
      </c>
      <c r="CJ19" s="1080">
        <f>'Core Making VOC-HAP'!D216+'Core Making VOC-HAP'!F216+'Core Making VOC-HAP'!H216</f>
        <v>0.1975294117647059</v>
      </c>
      <c r="CK19" s="1080">
        <f>'Core Making VOC-HAP'!I216</f>
        <v>0.1975294117647059</v>
      </c>
      <c r="CL19" s="1079">
        <v>0</v>
      </c>
      <c r="CM19" s="1076" t="s">
        <v>33</v>
      </c>
      <c r="CN19" s="1077" t="s">
        <v>47</v>
      </c>
      <c r="CO19" s="1078">
        <v>0</v>
      </c>
      <c r="CP19" s="1078">
        <v>0</v>
      </c>
      <c r="CQ19" s="1078">
        <v>0</v>
      </c>
      <c r="CR19" s="1079">
        <v>0</v>
      </c>
      <c r="CS19" s="1076" t="s">
        <v>33</v>
      </c>
      <c r="CT19" s="1077" t="s">
        <v>47</v>
      </c>
      <c r="CU19" s="1078">
        <v>0</v>
      </c>
      <c r="CV19" s="1078">
        <v>0</v>
      </c>
      <c r="CW19" s="1078">
        <v>0</v>
      </c>
      <c r="CX19" s="1079">
        <v>0</v>
      </c>
      <c r="CY19" s="1076" t="s">
        <v>33</v>
      </c>
      <c r="CZ19" s="1077" t="s">
        <v>47</v>
      </c>
      <c r="DA19" s="1078">
        <v>0</v>
      </c>
      <c r="DB19" s="1078">
        <v>0</v>
      </c>
      <c r="DC19" s="1078">
        <v>0</v>
      </c>
      <c r="DD19" s="1079">
        <v>0</v>
      </c>
      <c r="DE19" s="1076" t="s">
        <v>33</v>
      </c>
      <c r="DF19" s="1077" t="s">
        <v>47</v>
      </c>
      <c r="DG19" s="1078">
        <v>0</v>
      </c>
      <c r="DH19" s="1078">
        <v>0</v>
      </c>
      <c r="DI19" s="1078">
        <v>0</v>
      </c>
      <c r="DJ19" s="1079">
        <v>0</v>
      </c>
      <c r="DK19" s="1076" t="s">
        <v>33</v>
      </c>
      <c r="DL19" s="1077" t="s">
        <v>47</v>
      </c>
      <c r="DM19" s="1078">
        <v>0</v>
      </c>
      <c r="DN19" s="1078">
        <v>0</v>
      </c>
      <c r="DO19" s="1078">
        <v>0</v>
      </c>
      <c r="DP19" s="1079">
        <v>0</v>
      </c>
      <c r="DQ19" s="1076" t="s">
        <v>33</v>
      </c>
      <c r="DR19" s="1077" t="s">
        <v>47</v>
      </c>
      <c r="DS19" s="1078">
        <v>0</v>
      </c>
      <c r="DT19" s="1078">
        <v>0</v>
      </c>
      <c r="DU19" s="1078">
        <v>0</v>
      </c>
      <c r="DV19" s="1079">
        <v>0</v>
      </c>
      <c r="DW19" s="1076" t="s">
        <v>33</v>
      </c>
      <c r="DX19" s="1077" t="s">
        <v>47</v>
      </c>
      <c r="DY19" s="1082">
        <f>'Pouring-Casting-Cooling'!E23</f>
        <v>3.7999999999999999E-2</v>
      </c>
      <c r="DZ19" s="1082">
        <f>'Pouring-Casting-Cooling'!F23</f>
        <v>0.16644</v>
      </c>
      <c r="EA19" s="1082">
        <f>'Pouring-Casting-Cooling'!G23</f>
        <v>1.4999999999999999E-2</v>
      </c>
      <c r="EB19" s="1079">
        <v>0</v>
      </c>
      <c r="EC19" s="1076" t="s">
        <v>33</v>
      </c>
      <c r="ED19" s="1077" t="s">
        <v>47</v>
      </c>
      <c r="EE19" s="1082">
        <f>'IA-Transfer Ladle'!E30*'IA-Transfer Ladle'!$C$10</f>
        <v>9.1200000000000003E-2</v>
      </c>
      <c r="EF19" s="1082">
        <f>'IA-Transfer Ladle'!F30*'IA-Transfer Ladle'!$C$10</f>
        <v>0.39945600000000003</v>
      </c>
      <c r="EG19" s="1082">
        <f>'IA-Transfer Ladle'!G30</f>
        <v>3.5999999999999997E-2</v>
      </c>
      <c r="EH19" s="1079">
        <v>0</v>
      </c>
      <c r="EI19" s="1240" t="s">
        <v>79</v>
      </c>
      <c r="EJ19" s="1077" t="s">
        <v>47</v>
      </c>
      <c r="EK19" s="1239">
        <v>0.19607843137254902</v>
      </c>
      <c r="EL19" s="1239">
        <v>0.85882352941176465</v>
      </c>
      <c r="EM19" s="1239">
        <v>0.85882352941176465</v>
      </c>
      <c r="EN19" s="1079">
        <v>0</v>
      </c>
      <c r="EO19" s="1240" t="s">
        <v>79</v>
      </c>
      <c r="EP19" s="1206" t="s">
        <v>47</v>
      </c>
      <c r="EQ19" s="1239">
        <v>3.4313725490196074E-2</v>
      </c>
      <c r="ER19" s="1239">
        <v>0.1502941176470588</v>
      </c>
      <c r="ES19" s="1239">
        <v>0.1502941176470588</v>
      </c>
      <c r="ET19" s="1079">
        <v>0</v>
      </c>
      <c r="EU19" s="1076" t="s">
        <v>33</v>
      </c>
      <c r="EV19" s="1077" t="s">
        <v>47</v>
      </c>
      <c r="EW19" s="1078">
        <v>0</v>
      </c>
      <c r="EX19" s="1078">
        <v>0</v>
      </c>
      <c r="EY19" s="1078">
        <v>0</v>
      </c>
      <c r="EZ19" s="1079">
        <v>0</v>
      </c>
      <c r="FA19" s="1076" t="s">
        <v>33</v>
      </c>
      <c r="FB19" s="1077" t="s">
        <v>47</v>
      </c>
      <c r="FC19" s="1078">
        <v>0</v>
      </c>
      <c r="FD19" s="1078">
        <v>0</v>
      </c>
      <c r="FE19" s="1078">
        <v>0</v>
      </c>
      <c r="FF19" s="1079">
        <v>0</v>
      </c>
      <c r="FG19" s="1076" t="s">
        <v>33</v>
      </c>
      <c r="FH19" s="1077" t="s">
        <v>47</v>
      </c>
      <c r="FI19" s="1078">
        <v>0</v>
      </c>
      <c r="FJ19" s="1078">
        <v>0</v>
      </c>
      <c r="FK19" s="1078">
        <v>0</v>
      </c>
      <c r="FL19" s="1079">
        <v>0</v>
      </c>
      <c r="FM19" s="1076" t="s">
        <v>33</v>
      </c>
      <c r="FN19" s="1077" t="s">
        <v>47</v>
      </c>
      <c r="FO19" s="1078">
        <v>0</v>
      </c>
      <c r="FP19" s="1078">
        <v>0</v>
      </c>
      <c r="FQ19" s="1078">
        <v>0</v>
      </c>
      <c r="FR19" s="1079">
        <v>0</v>
      </c>
      <c r="FS19" s="1076" t="s">
        <v>33</v>
      </c>
      <c r="FT19" s="1077" t="s">
        <v>47</v>
      </c>
      <c r="FU19" s="1078">
        <v>0</v>
      </c>
      <c r="FV19" s="1078">
        <v>0</v>
      </c>
      <c r="FW19" s="1078">
        <v>0</v>
      </c>
      <c r="FX19" s="1079">
        <v>0</v>
      </c>
      <c r="FY19" s="1076" t="s">
        <v>33</v>
      </c>
      <c r="FZ19" s="1077" t="s">
        <v>47</v>
      </c>
      <c r="GA19" s="1078">
        <v>0</v>
      </c>
      <c r="GB19" s="1078">
        <v>0</v>
      </c>
      <c r="GC19" s="1078">
        <v>0</v>
      </c>
      <c r="GD19" s="1079">
        <v>0</v>
      </c>
      <c r="GE19" s="1076" t="s">
        <v>33</v>
      </c>
      <c r="GF19" s="1077" t="s">
        <v>47</v>
      </c>
      <c r="GG19" s="1261">
        <f>C19+I19+O19+U19+AA19+AG19+AM19+AS19+AY19+BE19+BQ19+BW19+CC19+CI19+CO19+CU19+DA19+DG19+DM19+DS19+DY19+EE19+EK19+EQ19+EW19+FC19+FI19+FO19+FU19+GA19</f>
        <v>3.6899843137254904</v>
      </c>
      <c r="GH19" s="1261">
        <f>D19+J19+P19+V19+AB19+AH19+AN19+AT19+AZ19+BF19+BR19+BX19+CD19+CJ19+CP19+CV19+DB19+DH19+DN19+DT19+DZ19+EF19+EL19+ER19+EX19+FD19+FJ19+FP19+FV19+GB19</f>
        <v>16.162131294117643</v>
      </c>
      <c r="GI19" s="1261">
        <f>E19+K19+Q19+W19+AC19+BM19+BS19+BY19+CE19+CK19+CQ19+CW19+DC19+DI19+DO19+DU19+EA19+EG19+EM19+ES19+EY19+FE19+FK19+FQ19+FW19</f>
        <v>5.3282352941176461</v>
      </c>
      <c r="GJ19" s="1199">
        <f t="shared" si="0"/>
        <v>0</v>
      </c>
    </row>
    <row r="20" spans="1:192" s="1081" customFormat="1" ht="15" customHeight="1">
      <c r="A20" s="1076" t="s">
        <v>35</v>
      </c>
      <c r="B20" s="1077" t="s">
        <v>47</v>
      </c>
      <c r="C20" s="1078">
        <v>0</v>
      </c>
      <c r="D20" s="1078">
        <v>0</v>
      </c>
      <c r="E20" s="1078">
        <v>0</v>
      </c>
      <c r="F20" s="1079">
        <v>0</v>
      </c>
      <c r="G20" s="1076" t="s">
        <v>35</v>
      </c>
      <c r="H20" s="1077" t="s">
        <v>47</v>
      </c>
      <c r="I20" s="1204">
        <f>'Brass Melting'!E33</f>
        <v>20</v>
      </c>
      <c r="J20" s="1204">
        <f>'Brass Melting'!F33</f>
        <v>87.6</v>
      </c>
      <c r="K20" s="1082" t="s">
        <v>1142</v>
      </c>
      <c r="L20" s="1079">
        <v>0</v>
      </c>
      <c r="M20" s="1076" t="s">
        <v>35</v>
      </c>
      <c r="N20" s="1206" t="s">
        <v>47</v>
      </c>
      <c r="O20" s="1082">
        <f>'Brass Melting'!I33</f>
        <v>20</v>
      </c>
      <c r="P20" s="1082">
        <f>'Brass Melting'!J33</f>
        <v>87.6</v>
      </c>
      <c r="Q20" s="1082" t="s">
        <v>1142</v>
      </c>
      <c r="R20" s="1079">
        <v>0</v>
      </c>
      <c r="S20" s="1076" t="s">
        <v>35</v>
      </c>
      <c r="T20" s="1077" t="s">
        <v>47</v>
      </c>
      <c r="U20" s="1204">
        <f>'Brass Melting'!M33</f>
        <v>6</v>
      </c>
      <c r="V20" s="1204">
        <f>'Brass Melting'!N33</f>
        <v>26.28</v>
      </c>
      <c r="W20" s="1082" t="s">
        <v>1142</v>
      </c>
      <c r="X20" s="1079">
        <v>0</v>
      </c>
      <c r="Y20" s="1076" t="s">
        <v>35</v>
      </c>
      <c r="Z20" s="1077" t="s">
        <v>47</v>
      </c>
      <c r="AA20" s="1082" t="s">
        <v>1141</v>
      </c>
      <c r="AB20" s="1082" t="s">
        <v>1141</v>
      </c>
      <c r="AC20" s="1082">
        <f>'Brass Melting'!Q33</f>
        <v>3.0033999999999983</v>
      </c>
      <c r="AD20" s="1079">
        <v>0</v>
      </c>
      <c r="AE20" s="1240" t="s">
        <v>19</v>
      </c>
      <c r="AF20" s="1077" t="s">
        <v>47</v>
      </c>
      <c r="AG20" s="1239">
        <v>0.58117647058823529</v>
      </c>
      <c r="AH20" s="1239">
        <v>2.5455529411764704</v>
      </c>
      <c r="AI20" s="1082" t="s">
        <v>1174</v>
      </c>
      <c r="AJ20" s="1079">
        <v>0</v>
      </c>
      <c r="AK20" s="1240" t="s">
        <v>19</v>
      </c>
      <c r="AL20" s="1206" t="s">
        <v>47</v>
      </c>
      <c r="AM20" s="1239">
        <v>0.58117647058823529</v>
      </c>
      <c r="AN20" s="1239">
        <v>2.5455529411764704</v>
      </c>
      <c r="AO20" s="1082" t="s">
        <v>1174</v>
      </c>
      <c r="AP20" s="1079">
        <v>0</v>
      </c>
      <c r="AQ20" s="1240" t="s">
        <v>19</v>
      </c>
      <c r="AR20" s="1077" t="s">
        <v>47</v>
      </c>
      <c r="AS20" s="1239">
        <v>0.58117647058823529</v>
      </c>
      <c r="AT20" s="1239">
        <v>2.5455529411764704</v>
      </c>
      <c r="AU20" s="1082" t="s">
        <v>1174</v>
      </c>
      <c r="AV20" s="1079">
        <v>0</v>
      </c>
      <c r="AW20" s="1240" t="s">
        <v>19</v>
      </c>
      <c r="AX20" s="1206" t="s">
        <v>47</v>
      </c>
      <c r="AY20" s="1239">
        <v>0.58117647058823529</v>
      </c>
      <c r="AZ20" s="1239">
        <v>2.5455529411764704</v>
      </c>
      <c r="BA20" s="1082" t="s">
        <v>1174</v>
      </c>
      <c r="BB20" s="1079">
        <v>0</v>
      </c>
      <c r="BC20" s="1240" t="s">
        <v>19</v>
      </c>
      <c r="BD20" s="1077" t="s">
        <v>47</v>
      </c>
      <c r="BE20" s="1239">
        <v>0.58117647058823529</v>
      </c>
      <c r="BF20" s="1239">
        <v>2.5455529411764704</v>
      </c>
      <c r="BG20" s="1082" t="s">
        <v>1174</v>
      </c>
      <c r="BH20" s="1079">
        <v>0</v>
      </c>
      <c r="BI20" s="1240" t="s">
        <v>19</v>
      </c>
      <c r="BJ20" s="1077" t="s">
        <v>47</v>
      </c>
      <c r="BK20" s="1082" t="s">
        <v>1141</v>
      </c>
      <c r="BL20" s="1082" t="s">
        <v>1141</v>
      </c>
      <c r="BM20" s="1239">
        <v>1.194764705882353</v>
      </c>
      <c r="BN20" s="1079">
        <v>0</v>
      </c>
      <c r="BO20" s="1076" t="s">
        <v>35</v>
      </c>
      <c r="BP20" s="1077" t="s">
        <v>47</v>
      </c>
      <c r="BQ20" s="1082">
        <f>'Sand Handling (incl Mold&amp;Core)'!I14</f>
        <v>7.397260273972603</v>
      </c>
      <c r="BR20" s="1082">
        <f>'Sand Handling (incl Mold&amp;Core)'!J14</f>
        <v>32.4</v>
      </c>
      <c r="BS20" s="1078" t="s">
        <v>1194</v>
      </c>
      <c r="BT20" s="1079">
        <v>0</v>
      </c>
      <c r="BU20" s="1076" t="s">
        <v>35</v>
      </c>
      <c r="BV20" s="1077" t="s">
        <v>47</v>
      </c>
      <c r="BW20" s="1082">
        <f>'Sand Handling (incl Mold&amp;Core)'!I15</f>
        <v>0.20260273972602738</v>
      </c>
      <c r="BX20" s="1082">
        <f>'Sand Handling (incl Mold&amp;Core)'!J15</f>
        <v>0.88739999999999997</v>
      </c>
      <c r="BY20" s="1078" t="s">
        <v>1194</v>
      </c>
      <c r="BZ20" s="1079">
        <v>0</v>
      </c>
      <c r="CA20" s="1076" t="s">
        <v>35</v>
      </c>
      <c r="CB20" s="1077" t="s">
        <v>47</v>
      </c>
      <c r="CC20" s="1082">
        <f>'Sand Handling (incl Mold&amp;Core)'!I16</f>
        <v>0.20260273972602738</v>
      </c>
      <c r="CD20" s="1082">
        <f>'Sand Handling (incl Mold&amp;Core)'!J16</f>
        <v>0.88739999999999997</v>
      </c>
      <c r="CE20" s="1078" t="s">
        <v>1194</v>
      </c>
      <c r="CF20" s="1079">
        <v>0</v>
      </c>
      <c r="CG20" s="1240" t="s">
        <v>19</v>
      </c>
      <c r="CH20" s="1077" t="s">
        <v>47</v>
      </c>
      <c r="CI20" s="1080">
        <f>'Core Making VOC-HAP'!C213+'Core Making VOC-HAP'!E213+'Core Making VOC-HAP'!G213</f>
        <v>3.4274509803921566E-3</v>
      </c>
      <c r="CJ20" s="1080">
        <f>'Core Making VOC-HAP'!D213+'Core Making VOC-HAP'!F213+'Core Making VOC-HAP'!H213</f>
        <v>1.5012235294117646E-2</v>
      </c>
      <c r="CK20" s="1080">
        <f>'Core Making VOC-HAP'!I213</f>
        <v>1.5012235294117646E-2</v>
      </c>
      <c r="CL20" s="1079">
        <v>0</v>
      </c>
      <c r="CM20" s="1076" t="s">
        <v>35</v>
      </c>
      <c r="CN20" s="1077" t="s">
        <v>47</v>
      </c>
      <c r="CO20" s="1082">
        <f>'Sand Handling (incl Mold&amp;Core)'!I10</f>
        <v>10.8</v>
      </c>
      <c r="CP20" s="1082">
        <f>'Sand Handling (incl Mold&amp;Core)'!J10</f>
        <v>47.304000000000002</v>
      </c>
      <c r="CQ20" s="1082" t="s">
        <v>1194</v>
      </c>
      <c r="CR20" s="1079">
        <v>0</v>
      </c>
      <c r="CS20" s="1076" t="s">
        <v>35</v>
      </c>
      <c r="CT20" s="1077" t="s">
        <v>47</v>
      </c>
      <c r="CU20" s="1082">
        <f>'Sand Handling (incl Mold&amp;Core)'!I11</f>
        <v>10.8</v>
      </c>
      <c r="CV20" s="1082">
        <f>'Sand Handling (incl Mold&amp;Core)'!J11</f>
        <v>47.304000000000002</v>
      </c>
      <c r="CW20" s="1082" t="s">
        <v>1194</v>
      </c>
      <c r="CX20" s="1079">
        <v>0</v>
      </c>
      <c r="CY20" s="1076" t="s">
        <v>35</v>
      </c>
      <c r="CZ20" s="1077" t="s">
        <v>47</v>
      </c>
      <c r="DA20" s="1082">
        <f>'Sand Handling (incl Mold&amp;Core)'!I12</f>
        <v>10.8</v>
      </c>
      <c r="DB20" s="1082">
        <f>'Sand Handling (incl Mold&amp;Core)'!J12</f>
        <v>47.304000000000002</v>
      </c>
      <c r="DC20" s="1082" t="s">
        <v>1194</v>
      </c>
      <c r="DD20" s="1079">
        <v>0</v>
      </c>
      <c r="DE20" s="1076" t="s">
        <v>35</v>
      </c>
      <c r="DF20" s="1077" t="s">
        <v>47</v>
      </c>
      <c r="DG20" s="1082">
        <f>'Sand Handling (incl Mold&amp;Core)'!I13</f>
        <v>10.8</v>
      </c>
      <c r="DH20" s="1082">
        <f>'Sand Handling (incl Mold&amp;Core)'!J13</f>
        <v>47.304000000000002</v>
      </c>
      <c r="DI20" s="1082" t="s">
        <v>1194</v>
      </c>
      <c r="DJ20" s="1079">
        <v>0</v>
      </c>
      <c r="DK20" s="1076" t="s">
        <v>35</v>
      </c>
      <c r="DL20" s="1077" t="s">
        <v>47</v>
      </c>
      <c r="DM20" s="1078">
        <v>0</v>
      </c>
      <c r="DN20" s="1078">
        <v>0</v>
      </c>
      <c r="DO20" s="1078">
        <v>0</v>
      </c>
      <c r="DP20" s="1079">
        <v>0</v>
      </c>
      <c r="DQ20" s="1076" t="s">
        <v>35</v>
      </c>
      <c r="DR20" s="1077" t="s">
        <v>47</v>
      </c>
      <c r="DS20" s="1082" t="s">
        <v>1141</v>
      </c>
      <c r="DT20" s="1082" t="s">
        <v>1141</v>
      </c>
      <c r="DU20" s="1082">
        <f>SUM('Sand Handling (incl Mold&amp;Core)'!K10:K16)</f>
        <v>27.9</v>
      </c>
      <c r="DV20" s="1079">
        <v>0</v>
      </c>
      <c r="DW20" s="1076" t="s">
        <v>35</v>
      </c>
      <c r="DX20" s="1077" t="s">
        <v>47</v>
      </c>
      <c r="DY20" s="1082">
        <f>'Pouring-Casting-Cooling'!E20</f>
        <v>15.959999999999999</v>
      </c>
      <c r="DZ20" s="1082">
        <f>'Pouring-Casting-Cooling'!F20</f>
        <v>69.904800000000009</v>
      </c>
      <c r="EA20" s="1082">
        <f>'Pouring-Casting-Cooling'!G20</f>
        <v>6.3</v>
      </c>
      <c r="EB20" s="1079">
        <v>0</v>
      </c>
      <c r="EC20" s="1076" t="s">
        <v>35</v>
      </c>
      <c r="ED20" s="1077" t="s">
        <v>47</v>
      </c>
      <c r="EE20" s="1082">
        <f>'IA-Transfer Ladle'!E27*'IA-Transfer Ladle'!$C$10</f>
        <v>0.45599999999999996</v>
      </c>
      <c r="EF20" s="1082">
        <f>'IA-Transfer Ladle'!F27*'IA-Transfer Ladle'!$C$10</f>
        <v>1.9972799999999997</v>
      </c>
      <c r="EG20" s="1082">
        <f>'IA-Transfer Ladle'!G27</f>
        <v>0.18</v>
      </c>
      <c r="EH20" s="1079">
        <v>0</v>
      </c>
      <c r="EI20" s="1240" t="s">
        <v>19</v>
      </c>
      <c r="EJ20" s="1077" t="s">
        <v>47</v>
      </c>
      <c r="EK20" s="1239">
        <v>1.4901960784313724E-2</v>
      </c>
      <c r="EL20" s="1239">
        <v>6.5270588235294108E-2</v>
      </c>
      <c r="EM20" s="1239">
        <v>6.5270588235294108E-2</v>
      </c>
      <c r="EN20" s="1079">
        <v>0</v>
      </c>
      <c r="EO20" s="1240" t="s">
        <v>19</v>
      </c>
      <c r="EP20" s="1206" t="s">
        <v>47</v>
      </c>
      <c r="EQ20" s="1239">
        <v>2.6078431372549013E-3</v>
      </c>
      <c r="ER20" s="1239">
        <v>1.1422352941176469E-2</v>
      </c>
      <c r="ES20" s="1239">
        <v>1.1422352941176469E-2</v>
      </c>
      <c r="ET20" s="1079">
        <v>0</v>
      </c>
      <c r="EU20" s="1076" t="s">
        <v>35</v>
      </c>
      <c r="EV20" s="1077" t="s">
        <v>47</v>
      </c>
      <c r="EW20" s="1082">
        <f>Shotblast!E28</f>
        <v>64.599999999999994</v>
      </c>
      <c r="EX20" s="1082">
        <f>Shotblast!F28</f>
        <v>282.94799999999998</v>
      </c>
      <c r="EY20" s="1082" t="s">
        <v>1210</v>
      </c>
      <c r="EZ20" s="1079">
        <v>0</v>
      </c>
      <c r="FA20" s="1076" t="s">
        <v>35</v>
      </c>
      <c r="FB20" s="1077" t="s">
        <v>47</v>
      </c>
      <c r="FC20" s="1082">
        <f>EW20</f>
        <v>64.599999999999994</v>
      </c>
      <c r="FD20" s="1082">
        <f>EX20</f>
        <v>282.94799999999998</v>
      </c>
      <c r="FE20" s="1082" t="s">
        <v>1210</v>
      </c>
      <c r="FF20" s="1079">
        <v>0</v>
      </c>
      <c r="FG20" s="1076" t="s">
        <v>35</v>
      </c>
      <c r="FH20" s="1077" t="s">
        <v>47</v>
      </c>
      <c r="FI20" s="1082">
        <f>EW20</f>
        <v>64.599999999999994</v>
      </c>
      <c r="FJ20" s="1082">
        <f>EX20</f>
        <v>282.94799999999998</v>
      </c>
      <c r="FK20" s="1082" t="s">
        <v>1210</v>
      </c>
      <c r="FL20" s="1079">
        <v>0</v>
      </c>
      <c r="FM20" s="1076" t="s">
        <v>35</v>
      </c>
      <c r="FN20" s="1077" t="s">
        <v>47</v>
      </c>
      <c r="FO20" s="1082" t="s">
        <v>1141</v>
      </c>
      <c r="FP20" s="1082" t="s">
        <v>1141</v>
      </c>
      <c r="FQ20" s="1082">
        <f>Shotblast!H28</f>
        <v>0.255</v>
      </c>
      <c r="FR20" s="1079">
        <v>0</v>
      </c>
      <c r="FS20" s="1076" t="s">
        <v>35</v>
      </c>
      <c r="FT20" s="1077" t="s">
        <v>47</v>
      </c>
      <c r="FU20" s="1082">
        <f>'Shakeout, Green Sand'!E25</f>
        <v>4.3636363636363633</v>
      </c>
      <c r="FV20" s="1082">
        <f>'Shakeout, Green Sand'!F25</f>
        <v>19.112727272727273</v>
      </c>
      <c r="FW20" s="1082">
        <f>'Shakeout, Green Sand'!I25</f>
        <v>2.3519999999999999</v>
      </c>
      <c r="FX20" s="1079">
        <v>0</v>
      </c>
      <c r="FY20" s="1076" t="s">
        <v>35</v>
      </c>
      <c r="FZ20" s="1077" t="s">
        <v>47</v>
      </c>
      <c r="GA20" s="1082">
        <f>'Knockout, Silica Sand'!E25</f>
        <v>4.3636363636363633</v>
      </c>
      <c r="GB20" s="1082">
        <f>'Knockout, Silica Sand'!F25</f>
        <v>19.112727272727273</v>
      </c>
      <c r="GC20" s="1082">
        <f>'Knockout, Silica Sand'!I25</f>
        <v>1.9488000000000001</v>
      </c>
      <c r="GD20" s="1079">
        <v>0</v>
      </c>
      <c r="GE20" s="1076" t="s">
        <v>35</v>
      </c>
      <c r="GF20" s="1077" t="s">
        <v>47</v>
      </c>
      <c r="GG20" s="1261">
        <f>C20+I20+O20+U20+AG20+AM20+AS20+AY20+BE20+BQ20+BW20+CC20+CI20+CO20+CU20+DA20+DG20+DM20+DY20+EE20+EK20+EQ20+EW20+FC20+FI20+FU20+GA20</f>
        <v>318.87255808854047</v>
      </c>
      <c r="GH20" s="1261">
        <f>D20+J20+P20+V20+AH20+AN20+AT20+AZ20+BF20+BR20+BX20+CD20+CJ20+CP20+CV20+DB20+DH20+DN20+DZ20+EF20+EL20+ER20+EX20+FD20+FJ20+FV20+GB20</f>
        <v>1396.6618044278071</v>
      </c>
      <c r="GI20" s="1261">
        <f>E20+AC20+BM20+CK20+DO20+DU20+EA20+EG20+EM20+ES20+FQ20+FW20</f>
        <v>41.276869882352933</v>
      </c>
      <c r="GJ20" s="1199">
        <f t="shared" si="0"/>
        <v>0</v>
      </c>
    </row>
    <row r="21" spans="1:192" s="1081" customFormat="1" ht="15" customHeight="1">
      <c r="A21" s="1076" t="s">
        <v>162</v>
      </c>
      <c r="B21" s="1077" t="s">
        <v>47</v>
      </c>
      <c r="C21" s="1078">
        <v>0</v>
      </c>
      <c r="D21" s="1078">
        <v>0</v>
      </c>
      <c r="E21" s="1078">
        <v>0</v>
      </c>
      <c r="F21" s="1079">
        <v>0</v>
      </c>
      <c r="G21" s="1076" t="s">
        <v>162</v>
      </c>
      <c r="H21" s="1077" t="s">
        <v>47</v>
      </c>
      <c r="I21" s="1204">
        <f>'Brass Melting'!E34</f>
        <v>20</v>
      </c>
      <c r="J21" s="1204">
        <f>'Brass Melting'!F34</f>
        <v>87.6</v>
      </c>
      <c r="K21" s="1082" t="s">
        <v>1142</v>
      </c>
      <c r="L21" s="1079">
        <v>0</v>
      </c>
      <c r="M21" s="1076" t="s">
        <v>162</v>
      </c>
      <c r="N21" s="1206" t="s">
        <v>47</v>
      </c>
      <c r="O21" s="1082">
        <f>'Brass Melting'!I34</f>
        <v>20</v>
      </c>
      <c r="P21" s="1082">
        <f>'Brass Melting'!J34</f>
        <v>87.6</v>
      </c>
      <c r="Q21" s="1082" t="s">
        <v>1142</v>
      </c>
      <c r="R21" s="1079">
        <v>0</v>
      </c>
      <c r="S21" s="1076" t="s">
        <v>162</v>
      </c>
      <c r="T21" s="1077" t="s">
        <v>47</v>
      </c>
      <c r="U21" s="1204">
        <f>'Brass Melting'!M34</f>
        <v>6</v>
      </c>
      <c r="V21" s="1204">
        <f>'Brass Melting'!N34</f>
        <v>26.28</v>
      </c>
      <c r="W21" s="1082" t="s">
        <v>1142</v>
      </c>
      <c r="X21" s="1079">
        <v>0</v>
      </c>
      <c r="Y21" s="1076" t="s">
        <v>162</v>
      </c>
      <c r="Z21" s="1077" t="s">
        <v>47</v>
      </c>
      <c r="AA21" s="1082" t="s">
        <v>1141</v>
      </c>
      <c r="AB21" s="1082" t="s">
        <v>1141</v>
      </c>
      <c r="AC21" s="1082">
        <f>'Brass Melting'!Q34</f>
        <v>3.0033999999999983</v>
      </c>
      <c r="AD21" s="1079">
        <v>0</v>
      </c>
      <c r="AE21" s="1240" t="s">
        <v>77</v>
      </c>
      <c r="AF21" s="1077" t="s">
        <v>47</v>
      </c>
      <c r="AG21" s="1239">
        <v>0.52117647058823535</v>
      </c>
      <c r="AH21" s="1239">
        <v>2.2827529411764709</v>
      </c>
      <c r="AI21" s="1082" t="s">
        <v>1174</v>
      </c>
      <c r="AJ21" s="1079">
        <v>0</v>
      </c>
      <c r="AK21" s="1240" t="s">
        <v>77</v>
      </c>
      <c r="AL21" s="1206" t="s">
        <v>47</v>
      </c>
      <c r="AM21" s="1239">
        <v>0.52117647058823535</v>
      </c>
      <c r="AN21" s="1239">
        <v>2.2827529411764709</v>
      </c>
      <c r="AO21" s="1082" t="s">
        <v>1174</v>
      </c>
      <c r="AP21" s="1079">
        <v>0</v>
      </c>
      <c r="AQ21" s="1240" t="s">
        <v>77</v>
      </c>
      <c r="AR21" s="1077" t="s">
        <v>47</v>
      </c>
      <c r="AS21" s="1239">
        <v>0.52117647058823535</v>
      </c>
      <c r="AT21" s="1239">
        <v>2.2827529411764709</v>
      </c>
      <c r="AU21" s="1082" t="s">
        <v>1174</v>
      </c>
      <c r="AV21" s="1079">
        <v>0</v>
      </c>
      <c r="AW21" s="1240" t="s">
        <v>77</v>
      </c>
      <c r="AX21" s="1206" t="s">
        <v>47</v>
      </c>
      <c r="AY21" s="1239">
        <v>0.52117647058823535</v>
      </c>
      <c r="AZ21" s="1239">
        <v>2.2827529411764709</v>
      </c>
      <c r="BA21" s="1082" t="s">
        <v>1174</v>
      </c>
      <c r="BB21" s="1079">
        <v>0</v>
      </c>
      <c r="BC21" s="1240" t="s">
        <v>77</v>
      </c>
      <c r="BD21" s="1077" t="s">
        <v>47</v>
      </c>
      <c r="BE21" s="1239">
        <v>0.52117647058823535</v>
      </c>
      <c r="BF21" s="1239">
        <v>2.2827529411764709</v>
      </c>
      <c r="BG21" s="1082" t="s">
        <v>1174</v>
      </c>
      <c r="BH21" s="1079">
        <v>0</v>
      </c>
      <c r="BI21" s="1240" t="s">
        <v>77</v>
      </c>
      <c r="BJ21" s="1077" t="s">
        <v>47</v>
      </c>
      <c r="BK21" s="1082" t="s">
        <v>1141</v>
      </c>
      <c r="BL21" s="1082" t="s">
        <v>1141</v>
      </c>
      <c r="BM21" s="1239">
        <v>1.0947647058823529</v>
      </c>
      <c r="BN21" s="1079">
        <v>0</v>
      </c>
      <c r="BO21" s="1076" t="s">
        <v>162</v>
      </c>
      <c r="BP21" s="1077" t="s">
        <v>47</v>
      </c>
      <c r="BQ21" s="1082">
        <f>'Sand Handling (incl Mold&amp;Core)'!L14</f>
        <v>6.1643835616438354</v>
      </c>
      <c r="BR21" s="1082">
        <f>'Sand Handling (incl Mold&amp;Core)'!M14</f>
        <v>27</v>
      </c>
      <c r="BS21" s="1078" t="s">
        <v>1194</v>
      </c>
      <c r="BT21" s="1079">
        <v>0</v>
      </c>
      <c r="BU21" s="1076" t="s">
        <v>162</v>
      </c>
      <c r="BV21" s="1077" t="s">
        <v>47</v>
      </c>
      <c r="BW21" s="1082">
        <f>'Sand Handling (incl Mold&amp;Core)'!L15</f>
        <v>0.16883561643835615</v>
      </c>
      <c r="BX21" s="1082">
        <f>'Sand Handling (incl Mold&amp;Core)'!M15</f>
        <v>0.73950000000000005</v>
      </c>
      <c r="BY21" s="1078" t="s">
        <v>1194</v>
      </c>
      <c r="BZ21" s="1079">
        <v>0</v>
      </c>
      <c r="CA21" s="1076" t="s">
        <v>162</v>
      </c>
      <c r="CB21" s="1077" t="s">
        <v>47</v>
      </c>
      <c r="CC21" s="1082">
        <f>'Sand Handling (incl Mold&amp;Core)'!L16</f>
        <v>0.16883561643835615</v>
      </c>
      <c r="CD21" s="1082">
        <f>'Sand Handling (incl Mold&amp;Core)'!M16</f>
        <v>0.73950000000000005</v>
      </c>
      <c r="CE21" s="1078" t="s">
        <v>1194</v>
      </c>
      <c r="CF21" s="1079">
        <v>0</v>
      </c>
      <c r="CG21" s="1240" t="s">
        <v>77</v>
      </c>
      <c r="CH21" s="1077" t="s">
        <v>47</v>
      </c>
      <c r="CI21" s="1080">
        <f>'Core Making VOC-HAP'!C214+'Core Making VOC-HAP'!E214+'Core Making VOC-HAP'!G214</f>
        <v>3.4274509803921566E-3</v>
      </c>
      <c r="CJ21" s="1080">
        <f>'Core Making VOC-HAP'!D214+'Core Making VOC-HAP'!F214+'Core Making VOC-HAP'!H214</f>
        <v>1.5012235294117646E-2</v>
      </c>
      <c r="CK21" s="1080">
        <f>'Core Making VOC-HAP'!I214</f>
        <v>1.5012235294117646E-2</v>
      </c>
      <c r="CL21" s="1079">
        <v>0</v>
      </c>
      <c r="CM21" s="1076" t="s">
        <v>162</v>
      </c>
      <c r="CN21" s="1077" t="s">
        <v>47</v>
      </c>
      <c r="CO21" s="1082">
        <f>'Sand Handling (incl Mold&amp;Core)'!L10</f>
        <v>9</v>
      </c>
      <c r="CP21" s="1082">
        <f>'Sand Handling (incl Mold&amp;Core)'!M10</f>
        <v>39.42</v>
      </c>
      <c r="CQ21" s="1082" t="s">
        <v>1194</v>
      </c>
      <c r="CR21" s="1079">
        <v>0</v>
      </c>
      <c r="CS21" s="1076" t="s">
        <v>162</v>
      </c>
      <c r="CT21" s="1077" t="s">
        <v>47</v>
      </c>
      <c r="CU21" s="1082">
        <f>'Sand Handling (incl Mold&amp;Core)'!L11</f>
        <v>9</v>
      </c>
      <c r="CV21" s="1082">
        <f>'Sand Handling (incl Mold&amp;Core)'!M11</f>
        <v>39.42</v>
      </c>
      <c r="CW21" s="1082" t="s">
        <v>1194</v>
      </c>
      <c r="CX21" s="1079">
        <v>0</v>
      </c>
      <c r="CY21" s="1076" t="s">
        <v>162</v>
      </c>
      <c r="CZ21" s="1077" t="s">
        <v>47</v>
      </c>
      <c r="DA21" s="1082">
        <f>'Sand Handling (incl Mold&amp;Core)'!L12</f>
        <v>9</v>
      </c>
      <c r="DB21" s="1082">
        <f>'Sand Handling (incl Mold&amp;Core)'!M12</f>
        <v>39.42</v>
      </c>
      <c r="DC21" s="1082" t="s">
        <v>1194</v>
      </c>
      <c r="DD21" s="1079">
        <v>0</v>
      </c>
      <c r="DE21" s="1076" t="s">
        <v>162</v>
      </c>
      <c r="DF21" s="1077" t="s">
        <v>47</v>
      </c>
      <c r="DG21" s="1082">
        <f>'Sand Handling (incl Mold&amp;Core)'!L13</f>
        <v>9</v>
      </c>
      <c r="DH21" s="1082">
        <f>'Sand Handling (incl Mold&amp;Core)'!M13</f>
        <v>39.42</v>
      </c>
      <c r="DI21" s="1082" t="s">
        <v>1194</v>
      </c>
      <c r="DJ21" s="1079">
        <v>0</v>
      </c>
      <c r="DK21" s="1076" t="s">
        <v>162</v>
      </c>
      <c r="DL21" s="1077" t="s">
        <v>47</v>
      </c>
      <c r="DM21" s="1078">
        <v>0</v>
      </c>
      <c r="DN21" s="1078">
        <v>0</v>
      </c>
      <c r="DO21" s="1078">
        <v>0</v>
      </c>
      <c r="DP21" s="1079">
        <v>0</v>
      </c>
      <c r="DQ21" s="1076" t="s">
        <v>162</v>
      </c>
      <c r="DR21" s="1077" t="s">
        <v>47</v>
      </c>
      <c r="DS21" s="1082" t="s">
        <v>1141</v>
      </c>
      <c r="DT21" s="1082" t="s">
        <v>1141</v>
      </c>
      <c r="DU21" s="1082">
        <f>SUM('Sand Handling (incl Mold&amp;Core)'!N10:N16)</f>
        <v>23.25</v>
      </c>
      <c r="DV21" s="1079">
        <v>0</v>
      </c>
      <c r="DW21" s="1076" t="s">
        <v>162</v>
      </c>
      <c r="DX21" s="1077" t="s">
        <v>47</v>
      </c>
      <c r="DY21" s="1082">
        <f>'Pouring-Casting-Cooling'!E21</f>
        <v>7.8279999999999994</v>
      </c>
      <c r="DZ21" s="1082">
        <f>'Pouring-Casting-Cooling'!F21</f>
        <v>34.286639999999998</v>
      </c>
      <c r="EA21" s="1082">
        <f>'Pouring-Casting-Cooling'!G21</f>
        <v>3.09</v>
      </c>
      <c r="EB21" s="1079">
        <v>0</v>
      </c>
      <c r="EC21" s="1076" t="s">
        <v>162</v>
      </c>
      <c r="ED21" s="1077" t="s">
        <v>47</v>
      </c>
      <c r="EE21" s="1082">
        <f>'IA-Transfer Ladle'!E28*'IA-Transfer Ladle'!$C$10</f>
        <v>0.22343999999999997</v>
      </c>
      <c r="EF21" s="1082">
        <f>'IA-Transfer Ladle'!F28*'IA-Transfer Ladle'!$C$10</f>
        <v>0.97866719999999985</v>
      </c>
      <c r="EG21" s="1082">
        <f>'IA-Transfer Ladle'!G28</f>
        <v>8.8200000000000001E-2</v>
      </c>
      <c r="EH21" s="1079">
        <v>0</v>
      </c>
      <c r="EI21" s="1240" t="s">
        <v>77</v>
      </c>
      <c r="EJ21" s="1077" t="s">
        <v>47</v>
      </c>
      <c r="EK21" s="1239">
        <v>1.4901960784313724E-2</v>
      </c>
      <c r="EL21" s="1239">
        <v>6.5270588235294108E-2</v>
      </c>
      <c r="EM21" s="1239">
        <v>6.5270588235294108E-2</v>
      </c>
      <c r="EN21" s="1079">
        <v>0</v>
      </c>
      <c r="EO21" s="1240" t="s">
        <v>77</v>
      </c>
      <c r="EP21" s="1206" t="s">
        <v>47</v>
      </c>
      <c r="EQ21" s="1239">
        <v>2.6078431372549013E-3</v>
      </c>
      <c r="ER21" s="1239">
        <v>1.1422352941176469E-2</v>
      </c>
      <c r="ES21" s="1239">
        <v>1.1422352941176469E-2</v>
      </c>
      <c r="ET21" s="1079">
        <v>0</v>
      </c>
      <c r="EU21" s="1076" t="s">
        <v>162</v>
      </c>
      <c r="EV21" s="1077" t="s">
        <v>47</v>
      </c>
      <c r="EW21" s="1082">
        <f>Shotblast!E29</f>
        <v>6.46</v>
      </c>
      <c r="EX21" s="1082">
        <f>Shotblast!F29</f>
        <v>28.294799999999999</v>
      </c>
      <c r="EY21" s="1082" t="s">
        <v>1210</v>
      </c>
      <c r="EZ21" s="1079">
        <v>0</v>
      </c>
      <c r="FA21" s="1076" t="s">
        <v>162</v>
      </c>
      <c r="FB21" s="1077" t="s">
        <v>47</v>
      </c>
      <c r="FC21" s="1082">
        <f t="shared" ref="FC21:FD22" si="1">EW21</f>
        <v>6.46</v>
      </c>
      <c r="FD21" s="1082">
        <f t="shared" si="1"/>
        <v>28.294799999999999</v>
      </c>
      <c r="FE21" s="1082" t="s">
        <v>1210</v>
      </c>
      <c r="FF21" s="1079">
        <v>0</v>
      </c>
      <c r="FG21" s="1076" t="s">
        <v>162</v>
      </c>
      <c r="FH21" s="1077" t="s">
        <v>47</v>
      </c>
      <c r="FI21" s="1082">
        <f t="shared" ref="FI21:FI22" si="2">EW21</f>
        <v>6.46</v>
      </c>
      <c r="FJ21" s="1082">
        <f t="shared" ref="FJ21:FJ22" si="3">EX21</f>
        <v>28.294799999999999</v>
      </c>
      <c r="FK21" s="1082" t="s">
        <v>1210</v>
      </c>
      <c r="FL21" s="1079">
        <v>0</v>
      </c>
      <c r="FM21" s="1076" t="s">
        <v>162</v>
      </c>
      <c r="FN21" s="1077" t="s">
        <v>47</v>
      </c>
      <c r="FO21" s="1082" t="s">
        <v>1141</v>
      </c>
      <c r="FP21" s="1082" t="s">
        <v>1141</v>
      </c>
      <c r="FQ21" s="1082">
        <f>Shotblast!H29</f>
        <v>0.17849999999999999</v>
      </c>
      <c r="FR21" s="1079">
        <v>0</v>
      </c>
      <c r="FS21" s="1076" t="s">
        <v>162</v>
      </c>
      <c r="FT21" s="1077" t="s">
        <v>47</v>
      </c>
      <c r="FU21" s="1082">
        <f>'Shakeout, Green Sand'!E26</f>
        <v>3.0545454545454547</v>
      </c>
      <c r="FV21" s="1082">
        <f>'Shakeout, Green Sand'!F26</f>
        <v>13.378909090909092</v>
      </c>
      <c r="FW21" s="1082">
        <f>'Shakeout, Green Sand'!I26</f>
        <v>1.6464000000000001</v>
      </c>
      <c r="FX21" s="1079">
        <v>0</v>
      </c>
      <c r="FY21" s="1076" t="s">
        <v>162</v>
      </c>
      <c r="FZ21" s="1077" t="s">
        <v>47</v>
      </c>
      <c r="GA21" s="1082">
        <f>'Knockout, Silica Sand'!E26</f>
        <v>3.0545454545454538</v>
      </c>
      <c r="GB21" s="1082">
        <f>'Knockout, Silica Sand'!F26</f>
        <v>13.378909090909088</v>
      </c>
      <c r="GC21" s="1082">
        <f>'Knockout, Silica Sand'!I26</f>
        <v>1.4851199999999998</v>
      </c>
      <c r="GD21" s="1079">
        <v>0</v>
      </c>
      <c r="GE21" s="1076" t="s">
        <v>162</v>
      </c>
      <c r="GF21" s="1077" t="s">
        <v>47</v>
      </c>
      <c r="GG21" s="1261">
        <f t="shared" ref="GG21:GH22" si="4">C21+I21+O21+U21+AG21+AM21+AS21+AY21+BE21+BQ21+BW21+CC21+CI21+CO21+CU21+DA21+DG21+DM21+DY21+EE21+EK21+EQ21+EW21+FC21+FI21+FU21+GA21</f>
        <v>124.66940531145458</v>
      </c>
      <c r="GH21" s="1261">
        <f t="shared" si="4"/>
        <v>546.0519952641713</v>
      </c>
      <c r="GI21" s="1261">
        <f>E21+AC21+BM21+CK21+DO21+DU21+EA21+EG21+EM21+ES21+FQ21+FW21</f>
        <v>32.442969882352941</v>
      </c>
      <c r="GJ21" s="1199">
        <f t="shared" si="0"/>
        <v>0</v>
      </c>
    </row>
    <row r="22" spans="1:192" s="1081" customFormat="1" ht="15" customHeight="1">
      <c r="A22" s="1076" t="s">
        <v>163</v>
      </c>
      <c r="B22" s="1077" t="s">
        <v>47</v>
      </c>
      <c r="C22" s="1078">
        <v>0</v>
      </c>
      <c r="D22" s="1078">
        <v>0</v>
      </c>
      <c r="E22" s="1078">
        <v>0</v>
      </c>
      <c r="F22" s="1079">
        <v>0</v>
      </c>
      <c r="G22" s="1076" t="s">
        <v>163</v>
      </c>
      <c r="H22" s="1077" t="s">
        <v>47</v>
      </c>
      <c r="I22" s="1204">
        <f>'Brass Melting'!E35</f>
        <v>20</v>
      </c>
      <c r="J22" s="1204">
        <f>'Brass Melting'!F35</f>
        <v>87.6</v>
      </c>
      <c r="K22" s="1082" t="s">
        <v>1142</v>
      </c>
      <c r="L22" s="1079">
        <v>0</v>
      </c>
      <c r="M22" s="1076" t="s">
        <v>163</v>
      </c>
      <c r="N22" s="1206" t="s">
        <v>47</v>
      </c>
      <c r="O22" s="1082">
        <f>'Brass Melting'!I35</f>
        <v>20</v>
      </c>
      <c r="P22" s="1082">
        <f>'Brass Melting'!J35</f>
        <v>87.6</v>
      </c>
      <c r="Q22" s="1082" t="s">
        <v>1142</v>
      </c>
      <c r="R22" s="1079">
        <v>0</v>
      </c>
      <c r="S22" s="1076" t="s">
        <v>163</v>
      </c>
      <c r="T22" s="1077" t="s">
        <v>47</v>
      </c>
      <c r="U22" s="1204">
        <f>'Brass Melting'!M35</f>
        <v>6</v>
      </c>
      <c r="V22" s="1204">
        <f>'Brass Melting'!N35</f>
        <v>26.28</v>
      </c>
      <c r="W22" s="1082" t="s">
        <v>1142</v>
      </c>
      <c r="X22" s="1079">
        <v>0</v>
      </c>
      <c r="Y22" s="1076" t="s">
        <v>163</v>
      </c>
      <c r="Z22" s="1077" t="s">
        <v>47</v>
      </c>
      <c r="AA22" s="1082" t="s">
        <v>1141</v>
      </c>
      <c r="AB22" s="1082" t="s">
        <v>1141</v>
      </c>
      <c r="AC22" s="1082">
        <f>'Brass Melting'!Q35</f>
        <v>3.0033999999999983</v>
      </c>
      <c r="AD22" s="1079">
        <v>0</v>
      </c>
      <c r="AE22" s="1240" t="s">
        <v>78</v>
      </c>
      <c r="AF22" s="1077" t="s">
        <v>47</v>
      </c>
      <c r="AG22" s="1239">
        <v>0.52117647058823535</v>
      </c>
      <c r="AH22" s="1239">
        <v>2.2827529411764709</v>
      </c>
      <c r="AI22" s="1082" t="s">
        <v>1174</v>
      </c>
      <c r="AJ22" s="1079">
        <v>0</v>
      </c>
      <c r="AK22" s="1240" t="s">
        <v>78</v>
      </c>
      <c r="AL22" s="1206" t="s">
        <v>47</v>
      </c>
      <c r="AM22" s="1239">
        <v>0.52117647058823535</v>
      </c>
      <c r="AN22" s="1239">
        <v>2.2827529411764709</v>
      </c>
      <c r="AO22" s="1082" t="s">
        <v>1174</v>
      </c>
      <c r="AP22" s="1079">
        <v>0</v>
      </c>
      <c r="AQ22" s="1240" t="s">
        <v>78</v>
      </c>
      <c r="AR22" s="1077" t="s">
        <v>47</v>
      </c>
      <c r="AS22" s="1239">
        <v>0.52117647058823535</v>
      </c>
      <c r="AT22" s="1239">
        <v>2.2827529411764709</v>
      </c>
      <c r="AU22" s="1082" t="s">
        <v>1174</v>
      </c>
      <c r="AV22" s="1079">
        <v>0</v>
      </c>
      <c r="AW22" s="1240" t="s">
        <v>78</v>
      </c>
      <c r="AX22" s="1206" t="s">
        <v>47</v>
      </c>
      <c r="AY22" s="1239">
        <v>0.52117647058823535</v>
      </c>
      <c r="AZ22" s="1239">
        <v>2.2827529411764709</v>
      </c>
      <c r="BA22" s="1082" t="s">
        <v>1174</v>
      </c>
      <c r="BB22" s="1079">
        <v>0</v>
      </c>
      <c r="BC22" s="1240" t="s">
        <v>78</v>
      </c>
      <c r="BD22" s="1077" t="s">
        <v>47</v>
      </c>
      <c r="BE22" s="1239">
        <v>0.52117647058823535</v>
      </c>
      <c r="BF22" s="1239">
        <v>2.2827529411764709</v>
      </c>
      <c r="BG22" s="1082" t="s">
        <v>1174</v>
      </c>
      <c r="BH22" s="1079">
        <v>0</v>
      </c>
      <c r="BI22" s="1240" t="s">
        <v>78</v>
      </c>
      <c r="BJ22" s="1077" t="s">
        <v>47</v>
      </c>
      <c r="BK22" s="1082" t="s">
        <v>1141</v>
      </c>
      <c r="BL22" s="1082" t="s">
        <v>1141</v>
      </c>
      <c r="BM22" s="1239">
        <v>1.0947647058823529</v>
      </c>
      <c r="BN22" s="1079">
        <v>0</v>
      </c>
      <c r="BO22" s="1076" t="s">
        <v>163</v>
      </c>
      <c r="BP22" s="1077" t="s">
        <v>47</v>
      </c>
      <c r="BQ22" s="1082">
        <f>'Sand Handling (incl Mold&amp;Core)'!O14</f>
        <v>5.3424657534246576</v>
      </c>
      <c r="BR22" s="1082">
        <f>'Sand Handling (incl Mold&amp;Core)'!P14</f>
        <v>23.4</v>
      </c>
      <c r="BS22" s="1078" t="s">
        <v>1194</v>
      </c>
      <c r="BT22" s="1079">
        <v>0</v>
      </c>
      <c r="BU22" s="1076" t="s">
        <v>163</v>
      </c>
      <c r="BV22" s="1077" t="s">
        <v>47</v>
      </c>
      <c r="BW22" s="1082">
        <f>'Sand Handling (incl Mold&amp;Core)'!O15</f>
        <v>0.146324200913242</v>
      </c>
      <c r="BX22" s="1082">
        <f>'Sand Handling (incl Mold&amp;Core)'!P15</f>
        <v>0.64090000000000003</v>
      </c>
      <c r="BY22" s="1078" t="s">
        <v>1194</v>
      </c>
      <c r="BZ22" s="1079">
        <v>0</v>
      </c>
      <c r="CA22" s="1076" t="s">
        <v>163</v>
      </c>
      <c r="CB22" s="1077" t="s">
        <v>47</v>
      </c>
      <c r="CC22" s="1082">
        <f>'Sand Handling (incl Mold&amp;Core)'!O16</f>
        <v>0.146324200913242</v>
      </c>
      <c r="CD22" s="1082">
        <f>'Sand Handling (incl Mold&amp;Core)'!P16</f>
        <v>0.64090000000000003</v>
      </c>
      <c r="CE22" s="1078" t="s">
        <v>1194</v>
      </c>
      <c r="CF22" s="1079">
        <v>0</v>
      </c>
      <c r="CG22" s="1240" t="s">
        <v>78</v>
      </c>
      <c r="CH22" s="1077" t="s">
        <v>47</v>
      </c>
      <c r="CI22" s="1080">
        <f>'Core Making VOC-HAP'!C215+'Core Making VOC-HAP'!E215+'Core Making VOC-HAP'!G215</f>
        <v>3.4274509803921566E-3</v>
      </c>
      <c r="CJ22" s="1080">
        <f>'Core Making VOC-HAP'!D215+'Core Making VOC-HAP'!F215+'Core Making VOC-HAP'!H215</f>
        <v>1.5012235294117646E-2</v>
      </c>
      <c r="CK22" s="1080">
        <f>'Core Making VOC-HAP'!I215</f>
        <v>1.5012235294117646E-2</v>
      </c>
      <c r="CL22" s="1079">
        <v>0</v>
      </c>
      <c r="CM22" s="1076" t="s">
        <v>163</v>
      </c>
      <c r="CN22" s="1077" t="s">
        <v>47</v>
      </c>
      <c r="CO22" s="1082">
        <f>'Sand Handling (incl Mold&amp;Core)'!O10</f>
        <v>7.8</v>
      </c>
      <c r="CP22" s="1082">
        <f>'Sand Handling (incl Mold&amp;Core)'!P10</f>
        <v>34.164000000000001</v>
      </c>
      <c r="CQ22" s="1082" t="s">
        <v>1194</v>
      </c>
      <c r="CR22" s="1079">
        <v>0</v>
      </c>
      <c r="CS22" s="1076" t="s">
        <v>163</v>
      </c>
      <c r="CT22" s="1077" t="s">
        <v>47</v>
      </c>
      <c r="CU22" s="1082">
        <f>'Sand Handling (incl Mold&amp;Core)'!O11</f>
        <v>7.8</v>
      </c>
      <c r="CV22" s="1082">
        <f>'Sand Handling (incl Mold&amp;Core)'!P11</f>
        <v>34.164000000000001</v>
      </c>
      <c r="CW22" s="1082" t="s">
        <v>1194</v>
      </c>
      <c r="CX22" s="1079">
        <v>0</v>
      </c>
      <c r="CY22" s="1076" t="s">
        <v>163</v>
      </c>
      <c r="CZ22" s="1077" t="s">
        <v>47</v>
      </c>
      <c r="DA22" s="1082">
        <f>'Sand Handling (incl Mold&amp;Core)'!O12</f>
        <v>7.8</v>
      </c>
      <c r="DB22" s="1082">
        <f>'Sand Handling (incl Mold&amp;Core)'!P12</f>
        <v>34.164000000000001</v>
      </c>
      <c r="DC22" s="1082" t="s">
        <v>1194</v>
      </c>
      <c r="DD22" s="1079">
        <v>0</v>
      </c>
      <c r="DE22" s="1076" t="s">
        <v>163</v>
      </c>
      <c r="DF22" s="1077" t="s">
        <v>47</v>
      </c>
      <c r="DG22" s="1082">
        <f>'Sand Handling (incl Mold&amp;Core)'!O13</f>
        <v>7.8</v>
      </c>
      <c r="DH22" s="1082">
        <f>'Sand Handling (incl Mold&amp;Core)'!P13</f>
        <v>34.164000000000001</v>
      </c>
      <c r="DI22" s="1082" t="s">
        <v>1194</v>
      </c>
      <c r="DJ22" s="1079">
        <v>0</v>
      </c>
      <c r="DK22" s="1076" t="s">
        <v>163</v>
      </c>
      <c r="DL22" s="1077" t="s">
        <v>47</v>
      </c>
      <c r="DM22" s="1078">
        <v>0</v>
      </c>
      <c r="DN22" s="1078">
        <v>0</v>
      </c>
      <c r="DO22" s="1078">
        <v>0</v>
      </c>
      <c r="DP22" s="1079">
        <v>0</v>
      </c>
      <c r="DQ22" s="1076" t="s">
        <v>163</v>
      </c>
      <c r="DR22" s="1077" t="s">
        <v>47</v>
      </c>
      <c r="DS22" s="1082" t="s">
        <v>1141</v>
      </c>
      <c r="DT22" s="1082" t="s">
        <v>1141</v>
      </c>
      <c r="DU22" s="1082">
        <f>SUM('Sand Handling (incl Mold&amp;Core)'!Q10:Q16)</f>
        <v>20.149999999999999</v>
      </c>
      <c r="DV22" s="1079">
        <v>0</v>
      </c>
      <c r="DW22" s="1076" t="s">
        <v>163</v>
      </c>
      <c r="DX22" s="1077" t="s">
        <v>47</v>
      </c>
      <c r="DY22" s="1082">
        <f>'Pouring-Casting-Cooling'!E22</f>
        <v>3.8379999999999996</v>
      </c>
      <c r="DZ22" s="1082">
        <f>'Pouring-Casting-Cooling'!F22</f>
        <v>16.81044</v>
      </c>
      <c r="EA22" s="1082">
        <f>'Pouring-Casting-Cooling'!G22</f>
        <v>1.5149999999999999</v>
      </c>
      <c r="EB22" s="1079">
        <v>0</v>
      </c>
      <c r="EC22" s="1076" t="s">
        <v>163</v>
      </c>
      <c r="ED22" s="1077" t="s">
        <v>47</v>
      </c>
      <c r="EE22" s="1082">
        <f>'IA-Transfer Ladle'!E29*'IA-Transfer Ladle'!$C$10</f>
        <v>0.10944</v>
      </c>
      <c r="EF22" s="1082">
        <f>'IA-Transfer Ladle'!F29*'IA-Transfer Ladle'!$C$10</f>
        <v>0.47934719999999997</v>
      </c>
      <c r="EG22" s="1082">
        <f>'IA-Transfer Ladle'!G29</f>
        <v>4.3199999999999995E-2</v>
      </c>
      <c r="EH22" s="1079">
        <v>0</v>
      </c>
      <c r="EI22" s="1240" t="s">
        <v>78</v>
      </c>
      <c r="EJ22" s="1077" t="s">
        <v>47</v>
      </c>
      <c r="EK22" s="1239">
        <v>1.4901960784313724E-2</v>
      </c>
      <c r="EL22" s="1239">
        <v>6.5270588235294108E-2</v>
      </c>
      <c r="EM22" s="1239">
        <v>6.5270588235294108E-2</v>
      </c>
      <c r="EN22" s="1079">
        <v>0</v>
      </c>
      <c r="EO22" s="1240" t="s">
        <v>78</v>
      </c>
      <c r="EP22" s="1206" t="s">
        <v>47</v>
      </c>
      <c r="EQ22" s="1239">
        <v>2.6078431372549013E-3</v>
      </c>
      <c r="ER22" s="1239">
        <v>1.1422352941176469E-2</v>
      </c>
      <c r="ES22" s="1239">
        <v>1.1422352941176469E-2</v>
      </c>
      <c r="ET22" s="1079">
        <v>0</v>
      </c>
      <c r="EU22" s="1076" t="s">
        <v>163</v>
      </c>
      <c r="EV22" s="1077" t="s">
        <v>47</v>
      </c>
      <c r="EW22" s="1082">
        <f>Shotblast!E30</f>
        <v>6.46</v>
      </c>
      <c r="EX22" s="1082">
        <f>Shotblast!F30</f>
        <v>28.294799999999999</v>
      </c>
      <c r="EY22" s="1082" t="s">
        <v>1210</v>
      </c>
      <c r="EZ22" s="1079">
        <v>0</v>
      </c>
      <c r="FA22" s="1076" t="s">
        <v>163</v>
      </c>
      <c r="FB22" s="1077" t="s">
        <v>47</v>
      </c>
      <c r="FC22" s="1082">
        <f t="shared" si="1"/>
        <v>6.46</v>
      </c>
      <c r="FD22" s="1082">
        <f t="shared" si="1"/>
        <v>28.294799999999999</v>
      </c>
      <c r="FE22" s="1082" t="s">
        <v>1210</v>
      </c>
      <c r="FF22" s="1079">
        <v>0</v>
      </c>
      <c r="FG22" s="1076" t="s">
        <v>163</v>
      </c>
      <c r="FH22" s="1077" t="s">
        <v>47</v>
      </c>
      <c r="FI22" s="1082">
        <f t="shared" si="2"/>
        <v>6.46</v>
      </c>
      <c r="FJ22" s="1082">
        <f t="shared" si="3"/>
        <v>28.294799999999999</v>
      </c>
      <c r="FK22" s="1082" t="s">
        <v>1210</v>
      </c>
      <c r="FL22" s="1079">
        <v>0</v>
      </c>
      <c r="FM22" s="1076" t="s">
        <v>163</v>
      </c>
      <c r="FN22" s="1077" t="s">
        <v>47</v>
      </c>
      <c r="FO22" s="1082" t="s">
        <v>1141</v>
      </c>
      <c r="FP22" s="1082" t="s">
        <v>1141</v>
      </c>
      <c r="FQ22" s="1082">
        <f>Shotblast!H30</f>
        <v>0.17849999999999999</v>
      </c>
      <c r="FR22" s="1079">
        <v>0</v>
      </c>
      <c r="FS22" s="1076" t="s">
        <v>163</v>
      </c>
      <c r="FT22" s="1077" t="s">
        <v>47</v>
      </c>
      <c r="FU22" s="1082">
        <f>'Shakeout, Green Sand'!E27</f>
        <v>1.8272727272727272</v>
      </c>
      <c r="FV22" s="1082">
        <f>'Shakeout, Green Sand'!F27</f>
        <v>8.0034545454545452</v>
      </c>
      <c r="FW22" s="1082">
        <f>'Shakeout, Green Sand'!I27</f>
        <v>0.98490000000000011</v>
      </c>
      <c r="FX22" s="1079">
        <v>0</v>
      </c>
      <c r="FY22" s="1076" t="s">
        <v>163</v>
      </c>
      <c r="FZ22" s="1077" t="s">
        <v>47</v>
      </c>
      <c r="GA22" s="1082">
        <f>'Knockout, Silica Sand'!E27</f>
        <v>1.8327272727272728</v>
      </c>
      <c r="GB22" s="1082">
        <f>'Knockout, Silica Sand'!F27</f>
        <v>8.0273454545454559</v>
      </c>
      <c r="GC22" s="1082">
        <f>'Knockout, Silica Sand'!I27</f>
        <v>0.89107199999999998</v>
      </c>
      <c r="GD22" s="1079">
        <v>0</v>
      </c>
      <c r="GE22" s="1076" t="s">
        <v>163</v>
      </c>
      <c r="GF22" s="1077" t="s">
        <v>47</v>
      </c>
      <c r="GG22" s="1261">
        <f t="shared" si="4"/>
        <v>112.44937376309426</v>
      </c>
      <c r="GH22" s="1261">
        <f t="shared" si="4"/>
        <v>492.52825708235298</v>
      </c>
      <c r="GI22" s="1261">
        <f>E22+AC22+BM22+CK22+DO22+DU22+EA22+EG22+EM22+ES22+FQ22+FW22</f>
        <v>27.061469882352938</v>
      </c>
      <c r="GJ22" s="1199">
        <f t="shared" si="0"/>
        <v>0</v>
      </c>
    </row>
    <row r="23" spans="1:192" s="1081" customFormat="1" ht="15" customHeight="1">
      <c r="A23" s="1076" t="s">
        <v>1096</v>
      </c>
      <c r="B23" s="1077" t="s">
        <v>1097</v>
      </c>
      <c r="C23" s="1078">
        <v>0</v>
      </c>
      <c r="D23" s="1078">
        <v>0</v>
      </c>
      <c r="E23" s="1078">
        <v>0</v>
      </c>
      <c r="F23" s="1079">
        <v>0</v>
      </c>
      <c r="G23" s="1076" t="s">
        <v>1096</v>
      </c>
      <c r="H23" s="1077" t="s">
        <v>1097</v>
      </c>
      <c r="I23" s="1204">
        <f>'Brass Melting'!E38</f>
        <v>0.03</v>
      </c>
      <c r="J23" s="1204">
        <f>'Brass Melting'!F38</f>
        <v>0.13140000000000002</v>
      </c>
      <c r="K23" s="1082" t="s">
        <v>1142</v>
      </c>
      <c r="L23" s="1079">
        <v>0</v>
      </c>
      <c r="M23" s="1076" t="s">
        <v>1096</v>
      </c>
      <c r="N23" s="1206" t="s">
        <v>1097</v>
      </c>
      <c r="O23" s="1082">
        <f>'Brass Melting'!I38</f>
        <v>0.03</v>
      </c>
      <c r="P23" s="1082">
        <f>'Brass Melting'!J38</f>
        <v>0.13140000000000002</v>
      </c>
      <c r="Q23" s="1082" t="s">
        <v>1142</v>
      </c>
      <c r="R23" s="1079">
        <v>0</v>
      </c>
      <c r="S23" s="1076" t="s">
        <v>1096</v>
      </c>
      <c r="T23" s="1077" t="s">
        <v>1097</v>
      </c>
      <c r="U23" s="1204">
        <f>'Brass Melting'!M38</f>
        <v>8.9999999999999993E-3</v>
      </c>
      <c r="V23" s="1204">
        <f>'Brass Melting'!N38</f>
        <v>3.9419999999999997E-2</v>
      </c>
      <c r="W23" s="1082" t="s">
        <v>1142</v>
      </c>
      <c r="X23" s="1079">
        <v>0</v>
      </c>
      <c r="Y23" s="1076" t="s">
        <v>1096</v>
      </c>
      <c r="Z23" s="1077" t="s">
        <v>1097</v>
      </c>
      <c r="AA23" s="1082" t="s">
        <v>1141</v>
      </c>
      <c r="AB23" s="1082" t="s">
        <v>1141</v>
      </c>
      <c r="AC23" s="1080">
        <f>'Brass Melting'!Q38</f>
        <v>4.5050999999999971E-3</v>
      </c>
      <c r="AD23" s="1079">
        <v>0</v>
      </c>
      <c r="AE23" s="1240" t="s">
        <v>81</v>
      </c>
      <c r="AF23" s="1077" t="s">
        <v>1097</v>
      </c>
      <c r="AG23" s="1239">
        <v>0.75088235294117645</v>
      </c>
      <c r="AH23" s="1239">
        <v>3.2888647058823528</v>
      </c>
      <c r="AI23" s="1082" t="s">
        <v>1174</v>
      </c>
      <c r="AJ23" s="1079">
        <v>0</v>
      </c>
      <c r="AK23" s="1240" t="s">
        <v>81</v>
      </c>
      <c r="AL23" s="1206" t="s">
        <v>1097</v>
      </c>
      <c r="AM23" s="1239">
        <v>0.75088235294117645</v>
      </c>
      <c r="AN23" s="1239">
        <v>3.2888647058823528</v>
      </c>
      <c r="AO23" s="1082" t="s">
        <v>1174</v>
      </c>
      <c r="AP23" s="1079">
        <v>0</v>
      </c>
      <c r="AQ23" s="1240" t="s">
        <v>81</v>
      </c>
      <c r="AR23" s="1077" t="s">
        <v>1097</v>
      </c>
      <c r="AS23" s="1239">
        <v>0.75088235294117645</v>
      </c>
      <c r="AT23" s="1239">
        <v>3.2888647058823528</v>
      </c>
      <c r="AU23" s="1082" t="s">
        <v>1174</v>
      </c>
      <c r="AV23" s="1079">
        <v>0</v>
      </c>
      <c r="AW23" s="1240" t="s">
        <v>81</v>
      </c>
      <c r="AX23" s="1206" t="s">
        <v>1097</v>
      </c>
      <c r="AY23" s="1239">
        <v>0.75088235294117645</v>
      </c>
      <c r="AZ23" s="1239">
        <v>3.2888647058823528</v>
      </c>
      <c r="BA23" s="1082" t="s">
        <v>1174</v>
      </c>
      <c r="BB23" s="1079">
        <v>0</v>
      </c>
      <c r="BC23" s="1240" t="s">
        <v>81</v>
      </c>
      <c r="BD23" s="1077" t="s">
        <v>1097</v>
      </c>
      <c r="BE23" s="1239">
        <v>0.75088235294117645</v>
      </c>
      <c r="BF23" s="1239">
        <v>3.2888647058823528</v>
      </c>
      <c r="BG23" s="1082" t="s">
        <v>1174</v>
      </c>
      <c r="BH23" s="1079">
        <v>0</v>
      </c>
      <c r="BI23" s="1240" t="s">
        <v>81</v>
      </c>
      <c r="BJ23" s="1077" t="s">
        <v>1097</v>
      </c>
      <c r="BK23" s="1082" t="s">
        <v>1141</v>
      </c>
      <c r="BL23" s="1082" t="s">
        <v>1141</v>
      </c>
      <c r="BM23" s="1239">
        <v>1.2693235294117644</v>
      </c>
      <c r="BN23" s="1079">
        <v>0</v>
      </c>
      <c r="BO23" s="1076" t="s">
        <v>1096</v>
      </c>
      <c r="BP23" s="1077" t="s">
        <v>1097</v>
      </c>
      <c r="BQ23" s="1078">
        <v>0</v>
      </c>
      <c r="BR23" s="1078">
        <v>0</v>
      </c>
      <c r="BS23" s="1078">
        <v>0</v>
      </c>
      <c r="BT23" s="1079">
        <v>0</v>
      </c>
      <c r="BU23" s="1076" t="s">
        <v>1096</v>
      </c>
      <c r="BV23" s="1077" t="s">
        <v>1097</v>
      </c>
      <c r="BW23" s="1078">
        <v>0</v>
      </c>
      <c r="BX23" s="1078">
        <v>0</v>
      </c>
      <c r="BY23" s="1078">
        <v>0</v>
      </c>
      <c r="BZ23" s="1079">
        <v>0</v>
      </c>
      <c r="CA23" s="1076" t="s">
        <v>1096</v>
      </c>
      <c r="CB23" s="1077" t="s">
        <v>1097</v>
      </c>
      <c r="CC23" s="1078">
        <v>0</v>
      </c>
      <c r="CD23" s="1078">
        <v>0</v>
      </c>
      <c r="CE23" s="1078">
        <v>0</v>
      </c>
      <c r="CF23" s="1079">
        <v>0</v>
      </c>
      <c r="CG23" s="1240" t="s">
        <v>81</v>
      </c>
      <c r="CH23" s="1077" t="s">
        <v>1097</v>
      </c>
      <c r="CI23" s="1080">
        <f>'Core Making VOC-HAP'!C218+'Core Making VOC-HAP'!E218+'Core Making VOC-HAP'!G218</f>
        <v>2.7058823529411762E-4</v>
      </c>
      <c r="CJ23" s="1080">
        <f>'Core Making VOC-HAP'!D218+'Core Making VOC-HAP'!F218+'Core Making VOC-HAP'!H218</f>
        <v>1.1851764705882351E-3</v>
      </c>
      <c r="CK23" s="1080">
        <f>'Core Making VOC-HAP'!I218</f>
        <v>1.1851764705882351E-3</v>
      </c>
      <c r="CL23" s="1079">
        <v>0</v>
      </c>
      <c r="CM23" s="1076" t="s">
        <v>1096</v>
      </c>
      <c r="CN23" s="1077" t="s">
        <v>1097</v>
      </c>
      <c r="CO23" s="1078">
        <v>0</v>
      </c>
      <c r="CP23" s="1078">
        <v>0</v>
      </c>
      <c r="CQ23" s="1078">
        <v>0</v>
      </c>
      <c r="CR23" s="1079">
        <v>0</v>
      </c>
      <c r="CS23" s="1076" t="s">
        <v>1096</v>
      </c>
      <c r="CT23" s="1077" t="s">
        <v>1097</v>
      </c>
      <c r="CU23" s="1078">
        <v>0</v>
      </c>
      <c r="CV23" s="1078">
        <v>0</v>
      </c>
      <c r="CW23" s="1078">
        <v>0</v>
      </c>
      <c r="CX23" s="1079">
        <v>0</v>
      </c>
      <c r="CY23" s="1076" t="s">
        <v>1096</v>
      </c>
      <c r="CZ23" s="1077" t="s">
        <v>1097</v>
      </c>
      <c r="DA23" s="1078">
        <v>0</v>
      </c>
      <c r="DB23" s="1078">
        <v>0</v>
      </c>
      <c r="DC23" s="1078">
        <v>0</v>
      </c>
      <c r="DD23" s="1079">
        <v>0</v>
      </c>
      <c r="DE23" s="1076" t="s">
        <v>1096</v>
      </c>
      <c r="DF23" s="1077" t="s">
        <v>1097</v>
      </c>
      <c r="DG23" s="1078">
        <v>0</v>
      </c>
      <c r="DH23" s="1078">
        <v>0</v>
      </c>
      <c r="DI23" s="1078">
        <v>0</v>
      </c>
      <c r="DJ23" s="1079">
        <v>0</v>
      </c>
      <c r="DK23" s="1076" t="s">
        <v>1096</v>
      </c>
      <c r="DL23" s="1077" t="s">
        <v>1097</v>
      </c>
      <c r="DM23" s="1078">
        <v>0</v>
      </c>
      <c r="DN23" s="1078">
        <v>0</v>
      </c>
      <c r="DO23" s="1078">
        <v>0</v>
      </c>
      <c r="DP23" s="1079">
        <v>0</v>
      </c>
      <c r="DQ23" s="1076" t="s">
        <v>1096</v>
      </c>
      <c r="DR23" s="1077" t="s">
        <v>1097</v>
      </c>
      <c r="DS23" s="1078">
        <v>0</v>
      </c>
      <c r="DT23" s="1078">
        <v>0</v>
      </c>
      <c r="DU23" s="1078">
        <v>0</v>
      </c>
      <c r="DV23" s="1079">
        <v>0</v>
      </c>
      <c r="DW23" s="1076" t="s">
        <v>1096</v>
      </c>
      <c r="DX23" s="1077" t="s">
        <v>1097</v>
      </c>
      <c r="DY23" s="1082">
        <f>'Pouring-Casting-Cooling'!E24</f>
        <v>7.5999999999999998E-2</v>
      </c>
      <c r="DZ23" s="1082">
        <f>'Pouring-Casting-Cooling'!F24</f>
        <v>0.33288000000000001</v>
      </c>
      <c r="EA23" s="1082">
        <f>'Pouring-Casting-Cooling'!G24</f>
        <v>0.03</v>
      </c>
      <c r="EB23" s="1079">
        <v>0</v>
      </c>
      <c r="EC23" s="1076" t="s">
        <v>1096</v>
      </c>
      <c r="ED23" s="1077" t="s">
        <v>1097</v>
      </c>
      <c r="EE23" s="1082">
        <f>'IA-Transfer Ladle'!E32*'IA-Transfer Ladle'!$C$10</f>
        <v>0.13300000000000001</v>
      </c>
      <c r="EF23" s="1082">
        <f>'IA-Transfer Ladle'!F32*'IA-Transfer Ladle'!$C$10</f>
        <v>0.58254000000000006</v>
      </c>
      <c r="EG23" s="1082">
        <f>'IA-Transfer Ladle'!G32</f>
        <v>5.2500000000000005E-2</v>
      </c>
      <c r="EH23" s="1079">
        <v>0</v>
      </c>
      <c r="EI23" s="1240" t="s">
        <v>81</v>
      </c>
      <c r="EJ23" s="1077" t="s">
        <v>1097</v>
      </c>
      <c r="EK23" s="1239">
        <v>1.176470588235294E-3</v>
      </c>
      <c r="EL23" s="1239">
        <v>5.1529411764705876E-3</v>
      </c>
      <c r="EM23" s="1239">
        <v>5.1529411764705876E-3</v>
      </c>
      <c r="EN23" s="1079">
        <v>0</v>
      </c>
      <c r="EO23" s="1240" t="s">
        <v>81</v>
      </c>
      <c r="EP23" s="1206" t="s">
        <v>1097</v>
      </c>
      <c r="EQ23" s="1239">
        <v>2.0588235294117643E-4</v>
      </c>
      <c r="ER23" s="1239">
        <v>9.0176470588235267E-4</v>
      </c>
      <c r="ES23" s="1239">
        <v>9.0176470588235267E-4</v>
      </c>
      <c r="ET23" s="1079">
        <v>0</v>
      </c>
      <c r="EU23" s="1076" t="s">
        <v>1096</v>
      </c>
      <c r="EV23" s="1077" t="s">
        <v>1097</v>
      </c>
      <c r="EW23" s="1078">
        <v>0</v>
      </c>
      <c r="EX23" s="1078">
        <v>0</v>
      </c>
      <c r="EY23" s="1078">
        <v>0</v>
      </c>
      <c r="EZ23" s="1079">
        <v>0</v>
      </c>
      <c r="FA23" s="1076" t="s">
        <v>1096</v>
      </c>
      <c r="FB23" s="1077" t="s">
        <v>1097</v>
      </c>
      <c r="FC23" s="1078">
        <v>0</v>
      </c>
      <c r="FD23" s="1078">
        <v>0</v>
      </c>
      <c r="FE23" s="1078">
        <v>0</v>
      </c>
      <c r="FF23" s="1079">
        <v>0</v>
      </c>
      <c r="FG23" s="1076" t="s">
        <v>1096</v>
      </c>
      <c r="FH23" s="1077" t="s">
        <v>1097</v>
      </c>
      <c r="FI23" s="1078">
        <v>0</v>
      </c>
      <c r="FJ23" s="1078">
        <v>0</v>
      </c>
      <c r="FK23" s="1078">
        <v>0</v>
      </c>
      <c r="FL23" s="1079">
        <v>0</v>
      </c>
      <c r="FM23" s="1076" t="s">
        <v>1096</v>
      </c>
      <c r="FN23" s="1077" t="s">
        <v>1097</v>
      </c>
      <c r="FO23" s="1078">
        <v>0</v>
      </c>
      <c r="FP23" s="1078">
        <v>0</v>
      </c>
      <c r="FQ23" s="1078">
        <v>0</v>
      </c>
      <c r="FR23" s="1079">
        <v>0</v>
      </c>
      <c r="FS23" s="1076" t="s">
        <v>1096</v>
      </c>
      <c r="FT23" s="1077" t="s">
        <v>1097</v>
      </c>
      <c r="FU23" s="1078">
        <v>0</v>
      </c>
      <c r="FV23" s="1078">
        <v>0</v>
      </c>
      <c r="FW23" s="1078">
        <v>0</v>
      </c>
      <c r="FX23" s="1079">
        <v>0</v>
      </c>
      <c r="FY23" s="1076" t="s">
        <v>1096</v>
      </c>
      <c r="FZ23" s="1077" t="s">
        <v>1097</v>
      </c>
      <c r="GA23" s="1078">
        <v>0</v>
      </c>
      <c r="GB23" s="1078">
        <v>0</v>
      </c>
      <c r="GC23" s="1078">
        <v>0</v>
      </c>
      <c r="GD23" s="1079">
        <v>0</v>
      </c>
      <c r="GE23" s="1076" t="s">
        <v>1096</v>
      </c>
      <c r="GF23" s="1077" t="s">
        <v>1097</v>
      </c>
      <c r="GG23" s="1261">
        <f>C23+I23+O23+U23+AG23+AM23+AS23+AY23+BE23+BQ23+BW23+CC23+CI23+CO23+CU23+DA23+DG23+DM23+DS23+DY23+EE23+EK23+EQ23+EW23+FC23+FI23+FO23+FU23+GA23</f>
        <v>4.0340647058823524</v>
      </c>
      <c r="GH23" s="1261">
        <f>D23+J23+P23+V23+AH23+AN23+AT23+AZ23+BF23+BR23+BX23+CD23+CJ23+CP23+CV23+DB23+DH23+DN23+DT23+DZ23+EF23+EL23+ER23+EX23+FD23+FJ23+FP23+FV23+GB23</f>
        <v>17.669203411764709</v>
      </c>
      <c r="GI23" s="1261">
        <f>E23+AC23+BM23+BS23+BY23+CE23+CK23+CQ23+CW23+DC23+DI23+DO23+DU23+EA23+EG23+EM23+ES23+EY23+FE23+FK23+FQ23+FW23</f>
        <v>1.3635685117647056</v>
      </c>
      <c r="GJ23" s="1199">
        <f t="shared" si="0"/>
        <v>0</v>
      </c>
    </row>
    <row r="24" spans="1:192" s="1081" customFormat="1" ht="15" customHeight="1">
      <c r="A24" s="1076" t="s">
        <v>39</v>
      </c>
      <c r="B24" s="1077" t="s">
        <v>47</v>
      </c>
      <c r="C24" s="1082">
        <f>'Core Wash'!E21</f>
        <v>9.9225600000000007</v>
      </c>
      <c r="D24" s="1082">
        <f>'Core Wash'!F21</f>
        <v>43.460812799999999</v>
      </c>
      <c r="E24" s="1082">
        <f>'Core Wash'!G21</f>
        <v>3.9168000000000003</v>
      </c>
      <c r="F24" s="1079">
        <v>0</v>
      </c>
      <c r="G24" s="1076" t="s">
        <v>39</v>
      </c>
      <c r="H24" s="1077" t="s">
        <v>47</v>
      </c>
      <c r="I24" s="1203">
        <v>0</v>
      </c>
      <c r="J24" s="1203">
        <v>0</v>
      </c>
      <c r="K24" s="1078">
        <v>0</v>
      </c>
      <c r="L24" s="1079">
        <v>0</v>
      </c>
      <c r="M24" s="1076" t="s">
        <v>39</v>
      </c>
      <c r="N24" s="1206" t="s">
        <v>47</v>
      </c>
      <c r="O24" s="1078">
        <v>0</v>
      </c>
      <c r="P24" s="1078">
        <v>0</v>
      </c>
      <c r="Q24" s="1078">
        <v>0</v>
      </c>
      <c r="R24" s="1079">
        <v>0</v>
      </c>
      <c r="S24" s="1076" t="s">
        <v>39</v>
      </c>
      <c r="T24" s="1077" t="s">
        <v>47</v>
      </c>
      <c r="U24" s="1203">
        <v>0</v>
      </c>
      <c r="V24" s="1203">
        <v>0</v>
      </c>
      <c r="W24" s="1078">
        <v>0</v>
      </c>
      <c r="X24" s="1079">
        <v>0</v>
      </c>
      <c r="Y24" s="1076" t="s">
        <v>39</v>
      </c>
      <c r="Z24" s="1077" t="s">
        <v>47</v>
      </c>
      <c r="AA24" s="1078">
        <v>0</v>
      </c>
      <c r="AB24" s="1078">
        <v>0</v>
      </c>
      <c r="AC24" s="1078">
        <v>0</v>
      </c>
      <c r="AD24" s="1079">
        <v>0</v>
      </c>
      <c r="AE24" s="1240" t="s">
        <v>39</v>
      </c>
      <c r="AF24" s="1077" t="s">
        <v>47</v>
      </c>
      <c r="AG24" s="1239">
        <v>0.75808823529411762</v>
      </c>
      <c r="AH24" s="1239">
        <v>3.3204264705882349</v>
      </c>
      <c r="AI24" s="1082" t="s">
        <v>1174</v>
      </c>
      <c r="AJ24" s="1079">
        <v>0</v>
      </c>
      <c r="AK24" s="1240" t="s">
        <v>39</v>
      </c>
      <c r="AL24" s="1206" t="s">
        <v>47</v>
      </c>
      <c r="AM24" s="1239">
        <v>0.75808823529411762</v>
      </c>
      <c r="AN24" s="1239">
        <v>3.3204264705882349</v>
      </c>
      <c r="AO24" s="1082" t="s">
        <v>1174</v>
      </c>
      <c r="AP24" s="1079">
        <v>0</v>
      </c>
      <c r="AQ24" s="1240" t="s">
        <v>39</v>
      </c>
      <c r="AR24" s="1077" t="s">
        <v>47</v>
      </c>
      <c r="AS24" s="1239">
        <v>0.75808823529411762</v>
      </c>
      <c r="AT24" s="1239">
        <v>3.3204264705882349</v>
      </c>
      <c r="AU24" s="1082" t="s">
        <v>1174</v>
      </c>
      <c r="AV24" s="1079">
        <v>0</v>
      </c>
      <c r="AW24" s="1240" t="s">
        <v>39</v>
      </c>
      <c r="AX24" s="1206" t="s">
        <v>47</v>
      </c>
      <c r="AY24" s="1239">
        <v>0.75808823529411762</v>
      </c>
      <c r="AZ24" s="1239">
        <v>3.3204264705882349</v>
      </c>
      <c r="BA24" s="1082" t="s">
        <v>1174</v>
      </c>
      <c r="BB24" s="1079">
        <v>0</v>
      </c>
      <c r="BC24" s="1240" t="s">
        <v>39</v>
      </c>
      <c r="BD24" s="1077" t="s">
        <v>47</v>
      </c>
      <c r="BE24" s="1239">
        <v>0.75808823529411762</v>
      </c>
      <c r="BF24" s="1239">
        <v>3.3204264705882349</v>
      </c>
      <c r="BG24" s="1082" t="s">
        <v>1174</v>
      </c>
      <c r="BH24" s="1079">
        <v>0</v>
      </c>
      <c r="BI24" s="1240" t="s">
        <v>39</v>
      </c>
      <c r="BJ24" s="1077" t="s">
        <v>47</v>
      </c>
      <c r="BK24" s="1082" t="s">
        <v>1141</v>
      </c>
      <c r="BL24" s="1082" t="s">
        <v>1141</v>
      </c>
      <c r="BM24" s="1239">
        <v>1.4271323529411761</v>
      </c>
      <c r="BN24" s="1079">
        <v>0</v>
      </c>
      <c r="BO24" s="1076" t="s">
        <v>39</v>
      </c>
      <c r="BP24" s="1077" t="s">
        <v>47</v>
      </c>
      <c r="BQ24" s="1082">
        <f>'Core Making VOC-HAP'!F29</f>
        <v>2.445205479452055</v>
      </c>
      <c r="BR24" s="1082">
        <f>'Core Making VOC-HAP'!G29</f>
        <v>10.710000000000003</v>
      </c>
      <c r="BS24" s="1082" t="s">
        <v>1184</v>
      </c>
      <c r="BT24" s="1079">
        <v>0</v>
      </c>
      <c r="BU24" s="1076" t="s">
        <v>39</v>
      </c>
      <c r="BV24" s="1077" t="s">
        <v>47</v>
      </c>
      <c r="BW24" s="1082">
        <f>'Core Making VOC-HAP'!F72</f>
        <v>0.81041095890410952</v>
      </c>
      <c r="BX24" s="1082">
        <f>'Core Making VOC-HAP'!G72</f>
        <v>3.5495999999999999</v>
      </c>
      <c r="BY24" s="1082" t="s">
        <v>1184</v>
      </c>
      <c r="BZ24" s="1079">
        <v>0</v>
      </c>
      <c r="CA24" s="1076" t="s">
        <v>39</v>
      </c>
      <c r="CB24" s="1077" t="s">
        <v>47</v>
      </c>
      <c r="CC24" s="1082">
        <f>'Core Making VOC-HAP'!F116</f>
        <v>1.2133652968036529E-2</v>
      </c>
      <c r="CD24" s="1082">
        <f>'Core Making VOC-HAP'!G116</f>
        <v>5.3145400000000002E-2</v>
      </c>
      <c r="CE24" s="1082" t="s">
        <v>1184</v>
      </c>
      <c r="CF24" s="1079">
        <v>0</v>
      </c>
      <c r="CG24" s="1240" t="s">
        <v>39</v>
      </c>
      <c r="CH24" s="1077" t="s">
        <v>47</v>
      </c>
      <c r="CI24" s="1080">
        <f>'Core Making VOC-HAP'!C219+'Core Making VOC-HAP'!E219+'Core Making VOC-HAP'!G219</f>
        <v>5.8758930969648134E-2</v>
      </c>
      <c r="CJ24" s="1080">
        <f>'Core Making VOC-HAP'!D219+'Core Making VOC-HAP'!F219+'Core Making VOC-HAP'!H219</f>
        <v>0.25736411764705885</v>
      </c>
      <c r="CK24" s="1080">
        <f>'Core Making VOC-HAP'!I219</f>
        <v>0.25736411764705885</v>
      </c>
      <c r="CL24" s="1079">
        <v>0</v>
      </c>
      <c r="CM24" s="1076" t="s">
        <v>39</v>
      </c>
      <c r="CN24" s="1077" t="s">
        <v>47</v>
      </c>
      <c r="CO24" s="1078">
        <v>0</v>
      </c>
      <c r="CP24" s="1078">
        <v>0</v>
      </c>
      <c r="CQ24" s="1078">
        <v>0</v>
      </c>
      <c r="CR24" s="1079">
        <v>0</v>
      </c>
      <c r="CS24" s="1076" t="s">
        <v>39</v>
      </c>
      <c r="CT24" s="1077" t="s">
        <v>47</v>
      </c>
      <c r="CU24" s="1078">
        <v>0</v>
      </c>
      <c r="CV24" s="1078">
        <v>0</v>
      </c>
      <c r="CW24" s="1078">
        <v>0</v>
      </c>
      <c r="CX24" s="1079">
        <v>0</v>
      </c>
      <c r="CY24" s="1076" t="s">
        <v>39</v>
      </c>
      <c r="CZ24" s="1077" t="s">
        <v>47</v>
      </c>
      <c r="DA24" s="1078">
        <v>0</v>
      </c>
      <c r="DB24" s="1078">
        <v>0</v>
      </c>
      <c r="DC24" s="1078">
        <v>0</v>
      </c>
      <c r="DD24" s="1079">
        <v>0</v>
      </c>
      <c r="DE24" s="1076" t="s">
        <v>39</v>
      </c>
      <c r="DF24" s="1077" t="s">
        <v>47</v>
      </c>
      <c r="DG24" s="1078">
        <v>0</v>
      </c>
      <c r="DH24" s="1078">
        <v>0</v>
      </c>
      <c r="DI24" s="1078">
        <v>0</v>
      </c>
      <c r="DJ24" s="1079">
        <v>0</v>
      </c>
      <c r="DK24" s="1076" t="s">
        <v>39</v>
      </c>
      <c r="DL24" s="1077" t="s">
        <v>47</v>
      </c>
      <c r="DM24" s="1082" t="s">
        <v>1141</v>
      </c>
      <c r="DN24" s="1082" t="s">
        <v>1141</v>
      </c>
      <c r="DO24" s="1082">
        <f>'Core Making VOC-HAP'!F153</f>
        <v>1.7890931750000003</v>
      </c>
      <c r="DP24" s="1079">
        <v>0</v>
      </c>
      <c r="DQ24" s="1076" t="s">
        <v>39</v>
      </c>
      <c r="DR24" s="1077" t="s">
        <v>47</v>
      </c>
      <c r="DS24" s="1078">
        <v>0</v>
      </c>
      <c r="DT24" s="1078">
        <v>0</v>
      </c>
      <c r="DU24" s="1078">
        <v>0</v>
      </c>
      <c r="DV24" s="1079">
        <v>0</v>
      </c>
      <c r="DW24" s="1076" t="s">
        <v>39</v>
      </c>
      <c r="DX24" s="1077" t="s">
        <v>47</v>
      </c>
      <c r="DY24" s="1082">
        <f>'Pouring-Casting-Cooling'!E25</f>
        <v>0.53200000000000003</v>
      </c>
      <c r="DZ24" s="1082">
        <f>'Pouring-Casting-Cooling'!F25</f>
        <v>2.3301600000000002</v>
      </c>
      <c r="EA24" s="1082">
        <f>'Pouring-Casting-Cooling'!G25</f>
        <v>0.21000000000000002</v>
      </c>
      <c r="EB24" s="1079">
        <v>0</v>
      </c>
      <c r="EC24" s="1076" t="s">
        <v>39</v>
      </c>
      <c r="ED24" s="1077" t="s">
        <v>47</v>
      </c>
      <c r="EE24" s="1082">
        <f>'IA-Transfer Ladle'!E33*'IA-Transfer Ladle'!$C$10</f>
        <v>1.2539999999999999E-2</v>
      </c>
      <c r="EF24" s="1082">
        <f>'IA-Transfer Ladle'!F33*'IA-Transfer Ladle'!$C$10</f>
        <v>5.4925199999999993E-2</v>
      </c>
      <c r="EG24" s="1082">
        <f>'IA-Transfer Ladle'!G33</f>
        <v>4.9500000000000004E-3</v>
      </c>
      <c r="EH24" s="1079">
        <v>0</v>
      </c>
      <c r="EI24" s="1386" t="s">
        <v>82</v>
      </c>
      <c r="EJ24" s="1077" t="s">
        <v>47</v>
      </c>
      <c r="EK24" s="1239">
        <v>1.0784313725490196E-2</v>
      </c>
      <c r="EL24" s="1239">
        <v>4.7235294117647056E-2</v>
      </c>
      <c r="EM24" s="1239">
        <v>4.7235294117647056E-2</v>
      </c>
      <c r="EN24" s="1079">
        <v>0</v>
      </c>
      <c r="EO24" s="1386" t="s">
        <v>82</v>
      </c>
      <c r="EP24" s="1206" t="s">
        <v>47</v>
      </c>
      <c r="EQ24" s="1239">
        <v>1.8872549019607839E-3</v>
      </c>
      <c r="ER24" s="1239">
        <v>8.2661764705882334E-3</v>
      </c>
      <c r="ES24" s="1239">
        <v>8.2661764705882334E-3</v>
      </c>
      <c r="ET24" s="1079">
        <v>0</v>
      </c>
      <c r="EU24" s="1076" t="s">
        <v>39</v>
      </c>
      <c r="EV24" s="1077" t="s">
        <v>47</v>
      </c>
      <c r="EW24" s="1078">
        <v>0</v>
      </c>
      <c r="EX24" s="1078">
        <v>0</v>
      </c>
      <c r="EY24" s="1078">
        <v>0</v>
      </c>
      <c r="EZ24" s="1079">
        <v>0</v>
      </c>
      <c r="FA24" s="1076" t="s">
        <v>39</v>
      </c>
      <c r="FB24" s="1077" t="s">
        <v>47</v>
      </c>
      <c r="FC24" s="1078">
        <v>0</v>
      </c>
      <c r="FD24" s="1078">
        <v>0</v>
      </c>
      <c r="FE24" s="1078">
        <v>0</v>
      </c>
      <c r="FF24" s="1079">
        <v>0</v>
      </c>
      <c r="FG24" s="1076" t="s">
        <v>39</v>
      </c>
      <c r="FH24" s="1077" t="s">
        <v>47</v>
      </c>
      <c r="FI24" s="1078">
        <v>0</v>
      </c>
      <c r="FJ24" s="1078">
        <v>0</v>
      </c>
      <c r="FK24" s="1078">
        <v>0</v>
      </c>
      <c r="FL24" s="1079">
        <v>0</v>
      </c>
      <c r="FM24" s="1076" t="s">
        <v>39</v>
      </c>
      <c r="FN24" s="1077" t="s">
        <v>47</v>
      </c>
      <c r="FO24" s="1078">
        <v>0</v>
      </c>
      <c r="FP24" s="1078">
        <v>0</v>
      </c>
      <c r="FQ24" s="1078">
        <v>0</v>
      </c>
      <c r="FR24" s="1079">
        <v>0</v>
      </c>
      <c r="FS24" s="1076" t="s">
        <v>39</v>
      </c>
      <c r="FT24" s="1077" t="s">
        <v>47</v>
      </c>
      <c r="FU24" s="1082">
        <f>'Shakeout, Green Sand'!E31</f>
        <v>1.6363636363636362</v>
      </c>
      <c r="FV24" s="1082">
        <f>'Shakeout, Green Sand'!F31</f>
        <v>7.167272727272727</v>
      </c>
      <c r="FW24" s="1082">
        <f>'Shakeout, Green Sand'!I31</f>
        <v>1.8</v>
      </c>
      <c r="FX24" s="1079">
        <v>0</v>
      </c>
      <c r="FY24" s="1076" t="s">
        <v>39</v>
      </c>
      <c r="FZ24" s="1077" t="s">
        <v>47</v>
      </c>
      <c r="GA24" s="1082">
        <f>'Knockout, Silica Sand'!E31</f>
        <v>1.6363636363636362</v>
      </c>
      <c r="GB24" s="1082">
        <f>'Knockout, Silica Sand'!F31</f>
        <v>7.167272727272727</v>
      </c>
      <c r="GC24" s="1082">
        <f>'Knockout, Silica Sand'!I31</f>
        <v>1.8</v>
      </c>
      <c r="GD24" s="1079">
        <v>0</v>
      </c>
      <c r="GE24" s="1076" t="s">
        <v>39</v>
      </c>
      <c r="GF24" s="1077" t="s">
        <v>47</v>
      </c>
      <c r="GG24" s="1261">
        <f>C24+I24+O24+U24+AA24+AG24+AM24+AS24+AY24+BE24+BQ24+BW24+CC24+CI24+CO24+CU24+DA24+DG24+DS24+DY24+EE24+EK24+EQ24+EW24+FC24+FI24+FO24+FU24+GA24</f>
        <v>20.869449040119164</v>
      </c>
      <c r="GH24" s="1261">
        <f>D24+J24+P24+V24+AB24+AH24+AN24+AT24+AZ24+BF24+BR24+BX24+CD24+CJ24+CP24+CV24+DB24+DH24+DT24+DZ24+EF24+EL24+ER24+EX24+FD24+FJ24+FP24+FV24+GB24</f>
        <v>91.408186795721946</v>
      </c>
      <c r="GI24" s="1261">
        <f>E24+K24+Q24+W24+AC24+BM24+CK24+CQ24+CW24+DC24+DI24+DO24+DU24+EA24+EG24+EM24+ES24+EY24+FE24+FK24+FQ24+FW24</f>
        <v>9.4608411161764714</v>
      </c>
      <c r="GJ24" s="1199">
        <f t="shared" si="0"/>
        <v>0</v>
      </c>
    </row>
    <row r="25" spans="1:192" s="1081" customFormat="1" ht="15" customHeight="1">
      <c r="A25" s="1076" t="s">
        <v>1098</v>
      </c>
      <c r="B25" s="1077" t="s">
        <v>654</v>
      </c>
      <c r="C25" s="1078">
        <v>0</v>
      </c>
      <c r="D25" s="1078">
        <v>0</v>
      </c>
      <c r="E25" s="1078">
        <v>0</v>
      </c>
      <c r="F25" s="1079">
        <v>0</v>
      </c>
      <c r="G25" s="1076" t="s">
        <v>1098</v>
      </c>
      <c r="H25" s="1077" t="s">
        <v>654</v>
      </c>
      <c r="I25" s="1204">
        <f>'Brass Melting'!E40</f>
        <v>1</v>
      </c>
      <c r="J25" s="1204">
        <f>'Brass Melting'!F40</f>
        <v>4.38</v>
      </c>
      <c r="K25" s="1082" t="s">
        <v>1142</v>
      </c>
      <c r="L25" s="1079">
        <v>0</v>
      </c>
      <c r="M25" s="1076" t="s">
        <v>1098</v>
      </c>
      <c r="N25" s="1206" t="s">
        <v>654</v>
      </c>
      <c r="O25" s="1082">
        <f>'Brass Melting'!I40</f>
        <v>1</v>
      </c>
      <c r="P25" s="1082">
        <f>'Brass Melting'!J40</f>
        <v>4.38</v>
      </c>
      <c r="Q25" s="1082" t="s">
        <v>1142</v>
      </c>
      <c r="R25" s="1079">
        <v>0</v>
      </c>
      <c r="S25" s="1076" t="s">
        <v>1098</v>
      </c>
      <c r="T25" s="1077" t="s">
        <v>654</v>
      </c>
      <c r="U25" s="1204">
        <f>'Brass Melting'!M40</f>
        <v>0.3</v>
      </c>
      <c r="V25" s="1204">
        <f>'Brass Melting'!N40</f>
        <v>1.3140000000000001</v>
      </c>
      <c r="W25" s="1082" t="s">
        <v>1142</v>
      </c>
      <c r="X25" s="1079">
        <v>0</v>
      </c>
      <c r="Y25" s="1076" t="s">
        <v>1098</v>
      </c>
      <c r="Z25" s="1077" t="s">
        <v>654</v>
      </c>
      <c r="AA25" s="1082" t="s">
        <v>1141</v>
      </c>
      <c r="AB25" s="1082" t="s">
        <v>1141</v>
      </c>
      <c r="AC25" s="1080">
        <f>'Brass Melting'!Q40</f>
        <v>0.15016999999999991</v>
      </c>
      <c r="AD25" s="1079">
        <v>0</v>
      </c>
      <c r="AE25" s="1240" t="s">
        <v>83</v>
      </c>
      <c r="AF25" s="1077" t="s">
        <v>654</v>
      </c>
      <c r="AG25" s="1239">
        <v>3.2563529411764702E-4</v>
      </c>
      <c r="AH25" s="1239">
        <v>1.4262825882352939E-3</v>
      </c>
      <c r="AI25" s="1082" t="s">
        <v>1174</v>
      </c>
      <c r="AJ25" s="1079">
        <v>0</v>
      </c>
      <c r="AK25" s="1240" t="s">
        <v>83</v>
      </c>
      <c r="AL25" s="1206" t="s">
        <v>654</v>
      </c>
      <c r="AM25" s="1239">
        <v>3.2563529411764702E-4</v>
      </c>
      <c r="AN25" s="1239">
        <v>1.4262825882352939E-3</v>
      </c>
      <c r="AO25" s="1082" t="s">
        <v>1174</v>
      </c>
      <c r="AP25" s="1079">
        <v>0</v>
      </c>
      <c r="AQ25" s="1240" t="s">
        <v>83</v>
      </c>
      <c r="AR25" s="1077" t="s">
        <v>654</v>
      </c>
      <c r="AS25" s="1239">
        <v>3.2563529411764702E-4</v>
      </c>
      <c r="AT25" s="1239">
        <v>1.4262825882352939E-3</v>
      </c>
      <c r="AU25" s="1082" t="s">
        <v>1174</v>
      </c>
      <c r="AV25" s="1079">
        <v>0</v>
      </c>
      <c r="AW25" s="1240" t="s">
        <v>83</v>
      </c>
      <c r="AX25" s="1206" t="s">
        <v>654</v>
      </c>
      <c r="AY25" s="1239">
        <v>3.2563529411764702E-4</v>
      </c>
      <c r="AZ25" s="1239">
        <v>1.4262825882352939E-3</v>
      </c>
      <c r="BA25" s="1082" t="s">
        <v>1174</v>
      </c>
      <c r="BB25" s="1079">
        <v>0</v>
      </c>
      <c r="BC25" s="1240" t="s">
        <v>83</v>
      </c>
      <c r="BD25" s="1077" t="s">
        <v>654</v>
      </c>
      <c r="BE25" s="1239">
        <v>3.2563529411764702E-4</v>
      </c>
      <c r="BF25" s="1239">
        <v>1.4262825882352939E-3</v>
      </c>
      <c r="BG25" s="1082" t="s">
        <v>1174</v>
      </c>
      <c r="BH25" s="1079">
        <v>0</v>
      </c>
      <c r="BI25" s="1240" t="s">
        <v>83</v>
      </c>
      <c r="BJ25" s="1077" t="s">
        <v>654</v>
      </c>
      <c r="BK25" s="1082" t="s">
        <v>1141</v>
      </c>
      <c r="BL25" s="1082" t="s">
        <v>1141</v>
      </c>
      <c r="BM25" s="1239">
        <v>5.5760294117647045E-4</v>
      </c>
      <c r="BN25" s="1079">
        <v>0</v>
      </c>
      <c r="BO25" s="1076" t="s">
        <v>1098</v>
      </c>
      <c r="BP25" s="1077" t="s">
        <v>654</v>
      </c>
      <c r="BQ25" s="1078">
        <v>0</v>
      </c>
      <c r="BR25" s="1078">
        <v>0</v>
      </c>
      <c r="BS25" s="1078">
        <v>0</v>
      </c>
      <c r="BT25" s="1079">
        <v>0</v>
      </c>
      <c r="BU25" s="1076" t="s">
        <v>1098</v>
      </c>
      <c r="BV25" s="1077" t="s">
        <v>654</v>
      </c>
      <c r="BW25" s="1078">
        <v>0</v>
      </c>
      <c r="BX25" s="1078">
        <v>0</v>
      </c>
      <c r="BY25" s="1078">
        <v>0</v>
      </c>
      <c r="BZ25" s="1079">
        <v>0</v>
      </c>
      <c r="CA25" s="1076" t="s">
        <v>1098</v>
      </c>
      <c r="CB25" s="1077" t="s">
        <v>654</v>
      </c>
      <c r="CC25" s="1078">
        <v>0</v>
      </c>
      <c r="CD25" s="1078">
        <v>0</v>
      </c>
      <c r="CE25" s="1078">
        <v>0</v>
      </c>
      <c r="CF25" s="1079">
        <v>0</v>
      </c>
      <c r="CG25" s="1240" t="s">
        <v>83</v>
      </c>
      <c r="CH25" s="1077" t="s">
        <v>654</v>
      </c>
      <c r="CI25" s="1080">
        <f>'Core Making VOC-HAP'!C220+'Core Making VOC-HAP'!E220+'Core Making VOC-HAP'!G220</f>
        <v>2.254901960784314E-7</v>
      </c>
      <c r="CJ25" s="1080">
        <f>'Core Making VOC-HAP'!D220+'Core Making VOC-HAP'!F220+'Core Making VOC-HAP'!H220</f>
        <v>9.8764705882352937E-7</v>
      </c>
      <c r="CK25" s="1080">
        <f>'Core Making VOC-HAP'!I220</f>
        <v>9.8764705882352937E-7</v>
      </c>
      <c r="CL25" s="1079">
        <v>0</v>
      </c>
      <c r="CM25" s="1076" t="s">
        <v>1098</v>
      </c>
      <c r="CN25" s="1077" t="s">
        <v>654</v>
      </c>
      <c r="CO25" s="1078">
        <v>0</v>
      </c>
      <c r="CP25" s="1078">
        <v>0</v>
      </c>
      <c r="CQ25" s="1078">
        <v>0</v>
      </c>
      <c r="CR25" s="1079">
        <v>0</v>
      </c>
      <c r="CS25" s="1076" t="s">
        <v>1098</v>
      </c>
      <c r="CT25" s="1077" t="s">
        <v>654</v>
      </c>
      <c r="CU25" s="1078">
        <v>0</v>
      </c>
      <c r="CV25" s="1078">
        <v>0</v>
      </c>
      <c r="CW25" s="1078">
        <v>0</v>
      </c>
      <c r="CX25" s="1079">
        <v>0</v>
      </c>
      <c r="CY25" s="1076" t="s">
        <v>1098</v>
      </c>
      <c r="CZ25" s="1077" t="s">
        <v>654</v>
      </c>
      <c r="DA25" s="1078">
        <v>0</v>
      </c>
      <c r="DB25" s="1078">
        <v>0</v>
      </c>
      <c r="DC25" s="1078">
        <v>0</v>
      </c>
      <c r="DD25" s="1079">
        <v>0</v>
      </c>
      <c r="DE25" s="1076" t="s">
        <v>1098</v>
      </c>
      <c r="DF25" s="1077" t="s">
        <v>654</v>
      </c>
      <c r="DG25" s="1078">
        <v>0</v>
      </c>
      <c r="DH25" s="1078">
        <v>0</v>
      </c>
      <c r="DI25" s="1078">
        <v>0</v>
      </c>
      <c r="DJ25" s="1079">
        <v>0</v>
      </c>
      <c r="DK25" s="1076" t="s">
        <v>1098</v>
      </c>
      <c r="DL25" s="1077" t="s">
        <v>654</v>
      </c>
      <c r="DM25" s="1078">
        <v>0</v>
      </c>
      <c r="DN25" s="1078">
        <v>0</v>
      </c>
      <c r="DO25" s="1078">
        <v>0</v>
      </c>
      <c r="DP25" s="1079">
        <v>0</v>
      </c>
      <c r="DQ25" s="1076" t="s">
        <v>1098</v>
      </c>
      <c r="DR25" s="1077" t="s">
        <v>654</v>
      </c>
      <c r="DS25" s="1078">
        <v>0</v>
      </c>
      <c r="DT25" s="1078">
        <v>0</v>
      </c>
      <c r="DU25" s="1078">
        <v>0</v>
      </c>
      <c r="DV25" s="1079">
        <v>0</v>
      </c>
      <c r="DW25" s="1076" t="s">
        <v>1098</v>
      </c>
      <c r="DX25" s="1077" t="s">
        <v>654</v>
      </c>
      <c r="DY25" s="1082">
        <f>'Pouring-Casting-Cooling'!E26</f>
        <v>0.79799999999999993</v>
      </c>
      <c r="DZ25" s="1082">
        <f>'Pouring-Casting-Cooling'!F26</f>
        <v>3.4952399999999999</v>
      </c>
      <c r="EA25" s="1082">
        <f>'Pouring-Casting-Cooling'!G26</f>
        <v>0.315</v>
      </c>
      <c r="EB25" s="1079">
        <v>0</v>
      </c>
      <c r="EC25" s="1076" t="s">
        <v>1098</v>
      </c>
      <c r="ED25" s="1077" t="s">
        <v>654</v>
      </c>
      <c r="EE25" s="1082">
        <f>'IA-Transfer Ladle'!E34*'IA-Transfer Ladle'!$C$10</f>
        <v>2.2800000000000001E-2</v>
      </c>
      <c r="EF25" s="1082">
        <f>'IA-Transfer Ladle'!F34*'IA-Transfer Ladle'!$C$10</f>
        <v>9.9864000000000008E-2</v>
      </c>
      <c r="EG25" s="1082">
        <f>'IA-Transfer Ladle'!G34</f>
        <v>8.9999999999999993E-3</v>
      </c>
      <c r="EH25" s="1079">
        <v>0</v>
      </c>
      <c r="EI25" s="1240" t="s">
        <v>83</v>
      </c>
      <c r="EJ25" s="1077" t="s">
        <v>654</v>
      </c>
      <c r="EK25" s="1239">
        <v>9.8039215686274508E-7</v>
      </c>
      <c r="EL25" s="1239">
        <v>4.2941176470588233E-6</v>
      </c>
      <c r="EM25" s="1239">
        <v>4.2941176470588233E-6</v>
      </c>
      <c r="EN25" s="1079">
        <v>0</v>
      </c>
      <c r="EO25" s="1240" t="s">
        <v>83</v>
      </c>
      <c r="EP25" s="1206" t="s">
        <v>654</v>
      </c>
      <c r="EQ25" s="1239">
        <v>1.7156862745098037E-7</v>
      </c>
      <c r="ER25" s="1239">
        <v>7.5147058823529395E-7</v>
      </c>
      <c r="ES25" s="1239">
        <v>7.5147058823529395E-7</v>
      </c>
      <c r="ET25" s="1079">
        <v>0</v>
      </c>
      <c r="EU25" s="1076" t="s">
        <v>1098</v>
      </c>
      <c r="EV25" s="1077" t="s">
        <v>654</v>
      </c>
      <c r="EW25" s="1082">
        <f>Shotblast!E31</f>
        <v>3.23</v>
      </c>
      <c r="EX25" s="1082">
        <f>Shotblast!F31</f>
        <v>14.147399999999999</v>
      </c>
      <c r="EY25" s="1082" t="s">
        <v>1210</v>
      </c>
      <c r="EZ25" s="1079">
        <v>0</v>
      </c>
      <c r="FA25" s="1076" t="s">
        <v>1098</v>
      </c>
      <c r="FB25" s="1077" t="s">
        <v>654</v>
      </c>
      <c r="FC25" s="1082">
        <f t="shared" ref="FC25" si="5">EW25</f>
        <v>3.23</v>
      </c>
      <c r="FD25" s="1082">
        <f t="shared" ref="FD25" si="6">EX25</f>
        <v>14.147399999999999</v>
      </c>
      <c r="FE25" s="1082" t="s">
        <v>1210</v>
      </c>
      <c r="FF25" s="1079">
        <v>0</v>
      </c>
      <c r="FG25" s="1076" t="s">
        <v>1098</v>
      </c>
      <c r="FH25" s="1077" t="s">
        <v>654</v>
      </c>
      <c r="FI25" s="1082">
        <f t="shared" ref="FI25" si="7">EW25</f>
        <v>3.23</v>
      </c>
      <c r="FJ25" s="1082">
        <f t="shared" ref="FJ25" si="8">EX25</f>
        <v>14.147399999999999</v>
      </c>
      <c r="FK25" s="1082" t="s">
        <v>1210</v>
      </c>
      <c r="FL25" s="1079">
        <v>0</v>
      </c>
      <c r="FM25" s="1076" t="s">
        <v>1098</v>
      </c>
      <c r="FN25" s="1077" t="s">
        <v>654</v>
      </c>
      <c r="FO25" s="1082" t="s">
        <v>1141</v>
      </c>
      <c r="FP25" s="1082" t="s">
        <v>1141</v>
      </c>
      <c r="FQ25" s="1082">
        <f>Shotblast!H31</f>
        <v>8.925000000000001E-2</v>
      </c>
      <c r="FR25" s="1079">
        <v>0</v>
      </c>
      <c r="FS25" s="1076" t="s">
        <v>1098</v>
      </c>
      <c r="FT25" s="1077" t="s">
        <v>654</v>
      </c>
      <c r="FU25" s="1082">
        <f>'Shakeout, Green Sand'!E32</f>
        <v>0.21818181818181817</v>
      </c>
      <c r="FV25" s="1082">
        <f>'Shakeout, Green Sand'!F32</f>
        <v>0.95563636363636362</v>
      </c>
      <c r="FW25" s="1082">
        <f>'Shakeout, Green Sand'!I32</f>
        <v>0.1176</v>
      </c>
      <c r="FX25" s="1079">
        <v>0</v>
      </c>
      <c r="FY25" s="1076" t="s">
        <v>1098</v>
      </c>
      <c r="FZ25" s="1077" t="s">
        <v>654</v>
      </c>
      <c r="GA25" s="1082">
        <f>'Knockout, Silica Sand'!E32</f>
        <v>0.2181818181818182</v>
      </c>
      <c r="GB25" s="1082">
        <f>'Knockout, Silica Sand'!F32</f>
        <v>0.95563636363636373</v>
      </c>
      <c r="GC25" s="1082">
        <f>'Knockout, Silica Sand'!I32</f>
        <v>0.10608000000000001</v>
      </c>
      <c r="GD25" s="1079">
        <v>0</v>
      </c>
      <c r="GE25" s="1076" t="s">
        <v>1098</v>
      </c>
      <c r="GF25" s="1077" t="s">
        <v>654</v>
      </c>
      <c r="GG25" s="1261">
        <f>C25+I25+O25+U25+AG25+AM25+AS25+AY25+BE25+BQ25+BW25+CC25+CI25+CO25+CU25+DA25+DG25+DM25+DS25+DY25+EE25+EK25+EQ25+EW25+FC25+FI25+FU25+GA25</f>
        <v>13.248793190285205</v>
      </c>
      <c r="GH25" s="1261">
        <f>D25+J25+P25+V25+AH25+AN25+AT25+AZ25+BF25+BR25+BX25+CD25+CJ25+CP25+CV25+DB25+DH25+DN25+DT25+DZ25+EF25+EL25+ER25+EX25+FD25+FJ25+FV25+GB25</f>
        <v>58.0297141734492</v>
      </c>
      <c r="GI25" s="1261">
        <f>E25+AC25+BM25+BS25+BY25+CE25+CK25+CQ25+CW25+DC25+DI25+DO25+DU25+EA25+EG25+EM25+ES25+FQ25+FW25</f>
        <v>0.68158363617647066</v>
      </c>
      <c r="GJ25" s="1199">
        <f t="shared" si="0"/>
        <v>0</v>
      </c>
    </row>
    <row r="26" spans="1:192" s="1081" customFormat="1" ht="15" customHeight="1">
      <c r="A26" s="1076" t="s">
        <v>1099</v>
      </c>
      <c r="B26" s="1077" t="s">
        <v>1100</v>
      </c>
      <c r="C26" s="1078">
        <v>0</v>
      </c>
      <c r="D26" s="1078">
        <v>0</v>
      </c>
      <c r="E26" s="1078">
        <v>0</v>
      </c>
      <c r="F26" s="1079">
        <v>0</v>
      </c>
      <c r="G26" s="1076" t="s">
        <v>1099</v>
      </c>
      <c r="H26" s="1077" t="s">
        <v>1100</v>
      </c>
      <c r="I26" s="1203">
        <v>0</v>
      </c>
      <c r="J26" s="1078">
        <v>0</v>
      </c>
      <c r="K26" s="1078">
        <v>0</v>
      </c>
      <c r="L26" s="1079">
        <v>0</v>
      </c>
      <c r="M26" s="1076" t="s">
        <v>1099</v>
      </c>
      <c r="N26" s="1206" t="s">
        <v>1100</v>
      </c>
      <c r="O26" s="1078">
        <v>0</v>
      </c>
      <c r="P26" s="1078">
        <v>0</v>
      </c>
      <c r="Q26" s="1078">
        <v>0</v>
      </c>
      <c r="R26" s="1079">
        <v>0</v>
      </c>
      <c r="S26" s="1076" t="s">
        <v>1099</v>
      </c>
      <c r="T26" s="1077" t="s">
        <v>1100</v>
      </c>
      <c r="U26" s="1203">
        <v>0</v>
      </c>
      <c r="V26" s="1078">
        <v>0</v>
      </c>
      <c r="W26" s="1078">
        <v>0</v>
      </c>
      <c r="X26" s="1079">
        <v>0</v>
      </c>
      <c r="Y26" s="1076" t="s">
        <v>1099</v>
      </c>
      <c r="Z26" s="1077" t="s">
        <v>1100</v>
      </c>
      <c r="AA26" s="1078">
        <v>0</v>
      </c>
      <c r="AB26" s="1078">
        <v>0</v>
      </c>
      <c r="AC26" s="1078">
        <v>0</v>
      </c>
      <c r="AD26" s="1079">
        <v>0</v>
      </c>
      <c r="AE26" s="1240" t="s">
        <v>85</v>
      </c>
      <c r="AF26" s="1077" t="s">
        <v>1100</v>
      </c>
      <c r="AG26" s="1239">
        <v>175.464114</v>
      </c>
      <c r="AH26" s="1239">
        <v>768.53281932000004</v>
      </c>
      <c r="AI26" s="1082" t="s">
        <v>1174</v>
      </c>
      <c r="AJ26" s="1079">
        <v>0</v>
      </c>
      <c r="AK26" s="1240" t="s">
        <v>85</v>
      </c>
      <c r="AL26" s="1206" t="s">
        <v>1100</v>
      </c>
      <c r="AM26" s="1239">
        <v>175.464114</v>
      </c>
      <c r="AN26" s="1239">
        <v>768.53281932000004</v>
      </c>
      <c r="AO26" s="1082" t="s">
        <v>1174</v>
      </c>
      <c r="AP26" s="1079">
        <v>0</v>
      </c>
      <c r="AQ26" s="1240" t="s">
        <v>85</v>
      </c>
      <c r="AR26" s="1077" t="s">
        <v>1100</v>
      </c>
      <c r="AS26" s="1239">
        <v>1.7647058823529412E-8</v>
      </c>
      <c r="AT26" s="1239">
        <v>7.7294117647058823E-8</v>
      </c>
      <c r="AU26" s="1082" t="s">
        <v>1174</v>
      </c>
      <c r="AV26" s="1079">
        <v>0</v>
      </c>
      <c r="AW26" s="1240" t="s">
        <v>85</v>
      </c>
      <c r="AX26" s="1206" t="s">
        <v>1100</v>
      </c>
      <c r="AY26" s="1239">
        <v>175.464114</v>
      </c>
      <c r="AZ26" s="1239">
        <v>768.53281932000004</v>
      </c>
      <c r="BA26" s="1082" t="s">
        <v>1174</v>
      </c>
      <c r="BB26" s="1079">
        <v>0</v>
      </c>
      <c r="BC26" s="1240" t="s">
        <v>85</v>
      </c>
      <c r="BD26" s="1077" t="s">
        <v>1100</v>
      </c>
      <c r="BE26" s="1239">
        <v>175.464114</v>
      </c>
      <c r="BF26" s="1239">
        <v>768.53281932000004</v>
      </c>
      <c r="BG26" s="1082" t="s">
        <v>1174</v>
      </c>
      <c r="BH26" s="1079">
        <v>0</v>
      </c>
      <c r="BI26" s="1240" t="s">
        <v>85</v>
      </c>
      <c r="BJ26" s="1077" t="s">
        <v>1100</v>
      </c>
      <c r="BK26" s="1082" t="s">
        <v>1141</v>
      </c>
      <c r="BL26" s="1082" t="s">
        <v>1141</v>
      </c>
      <c r="BM26" s="1239">
        <v>3842.6640966000004</v>
      </c>
      <c r="BN26" s="1079">
        <v>0</v>
      </c>
      <c r="BO26" s="1076" t="s">
        <v>1099</v>
      </c>
      <c r="BP26" s="1077" t="s">
        <v>1100</v>
      </c>
      <c r="BQ26" s="1078">
        <v>0</v>
      </c>
      <c r="BR26" s="1078">
        <v>0</v>
      </c>
      <c r="BS26" s="1078">
        <v>0</v>
      </c>
      <c r="BT26" s="1079">
        <v>0</v>
      </c>
      <c r="BU26" s="1076" t="s">
        <v>1099</v>
      </c>
      <c r="BV26" s="1077" t="s">
        <v>1100</v>
      </c>
      <c r="BW26" s="1078">
        <v>0</v>
      </c>
      <c r="BX26" s="1078">
        <v>0</v>
      </c>
      <c r="BY26" s="1078">
        <v>0</v>
      </c>
      <c r="BZ26" s="1079">
        <v>0</v>
      </c>
      <c r="CA26" s="1076" t="s">
        <v>1099</v>
      </c>
      <c r="CB26" s="1077" t="s">
        <v>1100</v>
      </c>
      <c r="CC26" s="1078">
        <v>0</v>
      </c>
      <c r="CD26" s="1078">
        <v>0</v>
      </c>
      <c r="CE26" s="1078">
        <v>0</v>
      </c>
      <c r="CF26" s="1079">
        <v>0</v>
      </c>
      <c r="CG26" s="1240" t="s">
        <v>85</v>
      </c>
      <c r="CH26" s="1077" t="s">
        <v>1100</v>
      </c>
      <c r="CI26" s="1080">
        <f>'Core Making VOC-HAP'!C222+'Core Making VOC-HAP'!E222+'Core Making VOC-HAP'!G222</f>
        <v>53.808994960000007</v>
      </c>
      <c r="CJ26" s="1080">
        <f>'Core Making VOC-HAP'!D222+'Core Making VOC-HAP'!F222+'Core Making VOC-HAP'!H222</f>
        <v>235.68339792480003</v>
      </c>
      <c r="CK26" s="1080">
        <f>'Core Making VOC-HAP'!I222</f>
        <v>235.68339792480003</v>
      </c>
      <c r="CL26" s="1079">
        <v>0</v>
      </c>
      <c r="CM26" s="1076" t="s">
        <v>1099</v>
      </c>
      <c r="CN26" s="1077" t="s">
        <v>1100</v>
      </c>
      <c r="CO26" s="1078">
        <v>0</v>
      </c>
      <c r="CP26" s="1078">
        <v>0</v>
      </c>
      <c r="CQ26" s="1078">
        <v>0</v>
      </c>
      <c r="CR26" s="1079">
        <v>0</v>
      </c>
      <c r="CS26" s="1076" t="s">
        <v>1099</v>
      </c>
      <c r="CT26" s="1077" t="s">
        <v>1100</v>
      </c>
      <c r="CU26" s="1078">
        <v>0</v>
      </c>
      <c r="CV26" s="1078">
        <v>0</v>
      </c>
      <c r="CW26" s="1078">
        <v>0</v>
      </c>
      <c r="CX26" s="1079">
        <v>0</v>
      </c>
      <c r="CY26" s="1076" t="s">
        <v>1099</v>
      </c>
      <c r="CZ26" s="1077" t="s">
        <v>1100</v>
      </c>
      <c r="DA26" s="1078">
        <v>0</v>
      </c>
      <c r="DB26" s="1078">
        <v>0</v>
      </c>
      <c r="DC26" s="1078">
        <v>0</v>
      </c>
      <c r="DD26" s="1079">
        <v>0</v>
      </c>
      <c r="DE26" s="1076" t="s">
        <v>1099</v>
      </c>
      <c r="DF26" s="1077" t="s">
        <v>1100</v>
      </c>
      <c r="DG26" s="1078">
        <v>0</v>
      </c>
      <c r="DH26" s="1078">
        <v>0</v>
      </c>
      <c r="DI26" s="1078">
        <v>0</v>
      </c>
      <c r="DJ26" s="1079">
        <v>0</v>
      </c>
      <c r="DK26" s="1076" t="s">
        <v>1099</v>
      </c>
      <c r="DL26" s="1077" t="s">
        <v>1100</v>
      </c>
      <c r="DM26" s="1078">
        <v>0</v>
      </c>
      <c r="DN26" s="1078">
        <v>0</v>
      </c>
      <c r="DO26" s="1078">
        <v>0</v>
      </c>
      <c r="DP26" s="1079">
        <v>0</v>
      </c>
      <c r="DQ26" s="1076" t="s">
        <v>1099</v>
      </c>
      <c r="DR26" s="1077" t="s">
        <v>1100</v>
      </c>
      <c r="DS26" s="1078">
        <v>0</v>
      </c>
      <c r="DT26" s="1078">
        <v>0</v>
      </c>
      <c r="DU26" s="1078">
        <v>0</v>
      </c>
      <c r="DV26" s="1079">
        <v>0</v>
      </c>
      <c r="DW26" s="1076" t="s">
        <v>1099</v>
      </c>
      <c r="DX26" s="1077" t="s">
        <v>1100</v>
      </c>
      <c r="DY26" s="1078">
        <v>0</v>
      </c>
      <c r="DZ26" s="1078">
        <v>0</v>
      </c>
      <c r="EA26" s="1078">
        <v>0</v>
      </c>
      <c r="EB26" s="1079">
        <v>0</v>
      </c>
      <c r="EC26" s="1076" t="s">
        <v>1099</v>
      </c>
      <c r="ED26" s="1077" t="s">
        <v>1100</v>
      </c>
      <c r="EE26" s="1078">
        <v>0</v>
      </c>
      <c r="EF26" s="1078">
        <v>0</v>
      </c>
      <c r="EG26" s="1078">
        <v>0</v>
      </c>
      <c r="EH26" s="1079">
        <v>0</v>
      </c>
      <c r="EI26" s="1240" t="s">
        <v>85</v>
      </c>
      <c r="EJ26" s="1077" t="s">
        <v>1100</v>
      </c>
      <c r="EK26" s="1239">
        <v>233.95215200000001</v>
      </c>
      <c r="EL26" s="1239">
        <v>1024.7104257599999</v>
      </c>
      <c r="EM26" s="1239">
        <v>1024.7104257599999</v>
      </c>
      <c r="EN26" s="1079">
        <v>0</v>
      </c>
      <c r="EO26" s="1240" t="s">
        <v>85</v>
      </c>
      <c r="EP26" s="1206" t="s">
        <v>1100</v>
      </c>
      <c r="EQ26" s="1239">
        <v>40.941626599999999</v>
      </c>
      <c r="ER26" s="1239">
        <v>179.32432450799999</v>
      </c>
      <c r="ES26" s="1239">
        <v>179.32432450799999</v>
      </c>
      <c r="ET26" s="1079">
        <v>0</v>
      </c>
      <c r="EU26" s="1076" t="s">
        <v>1099</v>
      </c>
      <c r="EV26" s="1077" t="s">
        <v>1100</v>
      </c>
      <c r="EW26" s="1078">
        <v>0</v>
      </c>
      <c r="EX26" s="1078">
        <v>0</v>
      </c>
      <c r="EY26" s="1078">
        <v>0</v>
      </c>
      <c r="EZ26" s="1079">
        <v>0</v>
      </c>
      <c r="FA26" s="1076" t="s">
        <v>1099</v>
      </c>
      <c r="FB26" s="1077" t="s">
        <v>1100</v>
      </c>
      <c r="FC26" s="1078">
        <v>0</v>
      </c>
      <c r="FD26" s="1078">
        <v>0</v>
      </c>
      <c r="FE26" s="1078">
        <v>0</v>
      </c>
      <c r="FF26" s="1079">
        <v>0</v>
      </c>
      <c r="FG26" s="1076" t="s">
        <v>1099</v>
      </c>
      <c r="FH26" s="1077" t="s">
        <v>1100</v>
      </c>
      <c r="FI26" s="1078">
        <v>0</v>
      </c>
      <c r="FJ26" s="1078">
        <v>0</v>
      </c>
      <c r="FK26" s="1078">
        <v>0</v>
      </c>
      <c r="FL26" s="1079">
        <v>0</v>
      </c>
      <c r="FM26" s="1076" t="s">
        <v>1099</v>
      </c>
      <c r="FN26" s="1077" t="s">
        <v>1100</v>
      </c>
      <c r="FO26" s="1078">
        <v>0</v>
      </c>
      <c r="FP26" s="1078">
        <v>0</v>
      </c>
      <c r="FQ26" s="1078">
        <v>0</v>
      </c>
      <c r="FR26" s="1079">
        <v>0</v>
      </c>
      <c r="FS26" s="1076" t="s">
        <v>1099</v>
      </c>
      <c r="FT26" s="1077" t="s">
        <v>1100</v>
      </c>
      <c r="FU26" s="1078">
        <v>0</v>
      </c>
      <c r="FV26" s="1078">
        <v>0</v>
      </c>
      <c r="FW26" s="1078">
        <v>0</v>
      </c>
      <c r="FX26" s="1079">
        <v>0</v>
      </c>
      <c r="FY26" s="1076" t="s">
        <v>1099</v>
      </c>
      <c r="FZ26" s="1077" t="s">
        <v>1100</v>
      </c>
      <c r="GA26" s="1078">
        <v>0</v>
      </c>
      <c r="GB26" s="1078">
        <v>0</v>
      </c>
      <c r="GC26" s="1078">
        <v>0</v>
      </c>
      <c r="GD26" s="1079">
        <v>0</v>
      </c>
      <c r="GE26" s="1076" t="s">
        <v>1099</v>
      </c>
      <c r="GF26" s="1077" t="s">
        <v>1100</v>
      </c>
      <c r="GG26" s="1261">
        <f>C26+I26+O26+U26+AA26+AG26+AM26+AS26+AY26+BE26+BQ26+BW26+CC26+CI26+CO26+CU26+DA26+DG26+DM26+DS26+DY26+EE26+EK26+EQ26+EW26+FC26+FI26+FO26+FU26+GA26</f>
        <v>1030.5592295776471</v>
      </c>
      <c r="GH26" s="1261">
        <f>D26+J26+P26+V26+AB26+AH26+AN26+AT26+AZ26+BF26+BR26+BX26+CD26+CJ26+CP26+CV26+DB26+DH26+DN26+DT26+DZ26+EF26+EL26+ER26+EX26+FD26+FJ26+FP26+FV26+GB26</f>
        <v>4513.8494255500946</v>
      </c>
      <c r="GI26" s="1261">
        <f t="shared" ref="GI26:GI31" si="9">E26+K26+Q26+W26+AC26+BM26+BS26+BY26+CE26+CK26+CQ26+CW26+DC26+DI26+DO26+DU26+EA26+EG26+EM26+ES26+EY26+FE26+FK26+FQ26+FW26</f>
        <v>5282.3822447928005</v>
      </c>
      <c r="GJ26" s="1199">
        <f t="shared" si="0"/>
        <v>0</v>
      </c>
    </row>
    <row r="27" spans="1:192" s="1081" customFormat="1" ht="15" customHeight="1">
      <c r="A27" s="1076" t="s">
        <v>1101</v>
      </c>
      <c r="B27" s="1077" t="s">
        <v>1102</v>
      </c>
      <c r="C27" s="1078">
        <v>0</v>
      </c>
      <c r="D27" s="1078">
        <v>0</v>
      </c>
      <c r="E27" s="1078">
        <v>0</v>
      </c>
      <c r="F27" s="1079">
        <v>0</v>
      </c>
      <c r="G27" s="1076" t="s">
        <v>1101</v>
      </c>
      <c r="H27" s="1077" t="s">
        <v>1102</v>
      </c>
      <c r="I27" s="1203">
        <v>0</v>
      </c>
      <c r="J27" s="1078">
        <v>0</v>
      </c>
      <c r="K27" s="1078">
        <v>0</v>
      </c>
      <c r="L27" s="1079">
        <v>0</v>
      </c>
      <c r="M27" s="1076" t="s">
        <v>1101</v>
      </c>
      <c r="N27" s="1206" t="s">
        <v>1102</v>
      </c>
      <c r="O27" s="1078">
        <v>0</v>
      </c>
      <c r="P27" s="1078">
        <v>0</v>
      </c>
      <c r="Q27" s="1078">
        <v>0</v>
      </c>
      <c r="R27" s="1079">
        <v>0</v>
      </c>
      <c r="S27" s="1076" t="s">
        <v>1101</v>
      </c>
      <c r="T27" s="1077" t="s">
        <v>1102</v>
      </c>
      <c r="U27" s="1203">
        <v>0</v>
      </c>
      <c r="V27" s="1078">
        <v>0</v>
      </c>
      <c r="W27" s="1078">
        <v>0</v>
      </c>
      <c r="X27" s="1079">
        <v>0</v>
      </c>
      <c r="Y27" s="1076" t="s">
        <v>1101</v>
      </c>
      <c r="Z27" s="1077" t="s">
        <v>1102</v>
      </c>
      <c r="AA27" s="1078">
        <v>0</v>
      </c>
      <c r="AB27" s="1078">
        <v>0</v>
      </c>
      <c r="AC27" s="1078">
        <v>0</v>
      </c>
      <c r="AD27" s="1079">
        <v>0</v>
      </c>
      <c r="AE27" s="1240" t="s">
        <v>86</v>
      </c>
      <c r="AF27" s="1077" t="s">
        <v>1102</v>
      </c>
      <c r="AG27" s="1239">
        <v>3.3069000000000002E-3</v>
      </c>
      <c r="AH27" s="1239">
        <v>1.4484222000000001E-2</v>
      </c>
      <c r="AI27" s="1082" t="s">
        <v>1174</v>
      </c>
      <c r="AJ27" s="1079">
        <v>0</v>
      </c>
      <c r="AK27" s="1240" t="s">
        <v>86</v>
      </c>
      <c r="AL27" s="1206" t="s">
        <v>1102</v>
      </c>
      <c r="AM27" s="1239">
        <v>3.3069000000000002E-3</v>
      </c>
      <c r="AN27" s="1239">
        <v>1.4484222000000001E-2</v>
      </c>
      <c r="AO27" s="1082" t="s">
        <v>1174</v>
      </c>
      <c r="AP27" s="1079">
        <v>0</v>
      </c>
      <c r="AQ27" s="1240" t="s">
        <v>86</v>
      </c>
      <c r="AR27" s="1077" t="s">
        <v>1102</v>
      </c>
      <c r="AS27" s="1239">
        <v>1.6176470588235295E-6</v>
      </c>
      <c r="AT27" s="1239">
        <v>7.0852941176470598E-6</v>
      </c>
      <c r="AU27" s="1082" t="s">
        <v>1174</v>
      </c>
      <c r="AV27" s="1079">
        <v>0</v>
      </c>
      <c r="AW27" s="1240" t="s">
        <v>86</v>
      </c>
      <c r="AX27" s="1206" t="s">
        <v>1102</v>
      </c>
      <c r="AY27" s="1239">
        <v>3.3069000000000002E-3</v>
      </c>
      <c r="AZ27" s="1239">
        <v>1.4484222000000001E-2</v>
      </c>
      <c r="BA27" s="1082" t="s">
        <v>1174</v>
      </c>
      <c r="BB27" s="1079">
        <v>0</v>
      </c>
      <c r="BC27" s="1240" t="s">
        <v>86</v>
      </c>
      <c r="BD27" s="1077" t="s">
        <v>1102</v>
      </c>
      <c r="BE27" s="1239">
        <v>3.3069000000000002E-3</v>
      </c>
      <c r="BF27" s="1239">
        <v>1.4484222000000001E-2</v>
      </c>
      <c r="BG27" s="1082" t="s">
        <v>1174</v>
      </c>
      <c r="BH27" s="1079">
        <v>0</v>
      </c>
      <c r="BI27" s="1240" t="s">
        <v>86</v>
      </c>
      <c r="BJ27" s="1077" t="s">
        <v>1102</v>
      </c>
      <c r="BK27" s="1082" t="s">
        <v>1141</v>
      </c>
      <c r="BL27" s="1082" t="s">
        <v>1141</v>
      </c>
      <c r="BM27" s="1239">
        <v>7.2421110000000011E-2</v>
      </c>
      <c r="BN27" s="1079">
        <v>0</v>
      </c>
      <c r="BO27" s="1076" t="s">
        <v>1101</v>
      </c>
      <c r="BP27" s="1077" t="s">
        <v>1102</v>
      </c>
      <c r="BQ27" s="1078">
        <v>0</v>
      </c>
      <c r="BR27" s="1078">
        <v>0</v>
      </c>
      <c r="BS27" s="1078">
        <v>0</v>
      </c>
      <c r="BT27" s="1079">
        <v>0</v>
      </c>
      <c r="BU27" s="1076" t="s">
        <v>1101</v>
      </c>
      <c r="BV27" s="1077" t="s">
        <v>1102</v>
      </c>
      <c r="BW27" s="1078">
        <v>0</v>
      </c>
      <c r="BX27" s="1078">
        <v>0</v>
      </c>
      <c r="BY27" s="1078">
        <v>0</v>
      </c>
      <c r="BZ27" s="1079">
        <v>0</v>
      </c>
      <c r="CA27" s="1076" t="s">
        <v>1101</v>
      </c>
      <c r="CB27" s="1077" t="s">
        <v>1102</v>
      </c>
      <c r="CC27" s="1078">
        <v>0</v>
      </c>
      <c r="CD27" s="1078">
        <v>0</v>
      </c>
      <c r="CE27" s="1078">
        <v>0</v>
      </c>
      <c r="CF27" s="1079">
        <v>0</v>
      </c>
      <c r="CG27" s="1240" t="s">
        <v>86</v>
      </c>
      <c r="CH27" s="1077" t="s">
        <v>1102</v>
      </c>
      <c r="CI27" s="1080">
        <f>'Core Making VOC-HAP'!C223+'Core Making VOC-HAP'!E223+'Core Making VOC-HAP'!G223</f>
        <v>1.014116E-3</v>
      </c>
      <c r="CJ27" s="1080">
        <f>'Core Making VOC-HAP'!D223+'Core Making VOC-HAP'!F223+'Core Making VOC-HAP'!H223</f>
        <v>4.4418280799999998E-3</v>
      </c>
      <c r="CK27" s="1080">
        <f>'Core Making VOC-HAP'!I223</f>
        <v>4.4418280799999998E-3</v>
      </c>
      <c r="CL27" s="1079">
        <v>0</v>
      </c>
      <c r="CM27" s="1076" t="s">
        <v>1101</v>
      </c>
      <c r="CN27" s="1077" t="s">
        <v>1102</v>
      </c>
      <c r="CO27" s="1078">
        <v>0</v>
      </c>
      <c r="CP27" s="1078">
        <v>0</v>
      </c>
      <c r="CQ27" s="1078">
        <v>0</v>
      </c>
      <c r="CR27" s="1079">
        <v>0</v>
      </c>
      <c r="CS27" s="1076" t="s">
        <v>1101</v>
      </c>
      <c r="CT27" s="1077" t="s">
        <v>1102</v>
      </c>
      <c r="CU27" s="1078">
        <v>0</v>
      </c>
      <c r="CV27" s="1078">
        <v>0</v>
      </c>
      <c r="CW27" s="1078">
        <v>0</v>
      </c>
      <c r="CX27" s="1079">
        <v>0</v>
      </c>
      <c r="CY27" s="1076" t="s">
        <v>1101</v>
      </c>
      <c r="CZ27" s="1077" t="s">
        <v>1102</v>
      </c>
      <c r="DA27" s="1078">
        <v>0</v>
      </c>
      <c r="DB27" s="1078">
        <v>0</v>
      </c>
      <c r="DC27" s="1078">
        <v>0</v>
      </c>
      <c r="DD27" s="1079">
        <v>0</v>
      </c>
      <c r="DE27" s="1076" t="s">
        <v>1101</v>
      </c>
      <c r="DF27" s="1077" t="s">
        <v>1102</v>
      </c>
      <c r="DG27" s="1078">
        <v>0</v>
      </c>
      <c r="DH27" s="1078">
        <v>0</v>
      </c>
      <c r="DI27" s="1078">
        <v>0</v>
      </c>
      <c r="DJ27" s="1079">
        <v>0</v>
      </c>
      <c r="DK27" s="1076" t="s">
        <v>1101</v>
      </c>
      <c r="DL27" s="1077" t="s">
        <v>1102</v>
      </c>
      <c r="DM27" s="1078">
        <v>0</v>
      </c>
      <c r="DN27" s="1078">
        <v>0</v>
      </c>
      <c r="DO27" s="1078">
        <v>0</v>
      </c>
      <c r="DP27" s="1079">
        <v>0</v>
      </c>
      <c r="DQ27" s="1076" t="s">
        <v>1101</v>
      </c>
      <c r="DR27" s="1077" t="s">
        <v>1102</v>
      </c>
      <c r="DS27" s="1078">
        <v>0</v>
      </c>
      <c r="DT27" s="1078">
        <v>0</v>
      </c>
      <c r="DU27" s="1078">
        <v>0</v>
      </c>
      <c r="DV27" s="1079">
        <v>0</v>
      </c>
      <c r="DW27" s="1076" t="s">
        <v>1101</v>
      </c>
      <c r="DX27" s="1077" t="s">
        <v>1102</v>
      </c>
      <c r="DY27" s="1078">
        <v>0</v>
      </c>
      <c r="DZ27" s="1078">
        <v>0</v>
      </c>
      <c r="EA27" s="1078">
        <v>0</v>
      </c>
      <c r="EB27" s="1079">
        <v>0</v>
      </c>
      <c r="EC27" s="1076" t="s">
        <v>1101</v>
      </c>
      <c r="ED27" s="1077" t="s">
        <v>1102</v>
      </c>
      <c r="EE27" s="1078">
        <v>0</v>
      </c>
      <c r="EF27" s="1078">
        <v>0</v>
      </c>
      <c r="EG27" s="1078">
        <v>0</v>
      </c>
      <c r="EH27" s="1079">
        <v>0</v>
      </c>
      <c r="EI27" s="1240" t="s">
        <v>86</v>
      </c>
      <c r="EJ27" s="1077" t="s">
        <v>1102</v>
      </c>
      <c r="EK27" s="1239">
        <v>4.4092000000000003E-3</v>
      </c>
      <c r="EL27" s="1239">
        <v>1.9312296E-2</v>
      </c>
      <c r="EM27" s="1239">
        <v>1.9312296E-2</v>
      </c>
      <c r="EN27" s="1079">
        <v>0</v>
      </c>
      <c r="EO27" s="1240" t="s">
        <v>86</v>
      </c>
      <c r="EP27" s="1206" t="s">
        <v>1102</v>
      </c>
      <c r="EQ27" s="1239">
        <v>7.7161000000000005E-4</v>
      </c>
      <c r="ER27" s="1239">
        <v>3.3796518000000003E-3</v>
      </c>
      <c r="ES27" s="1239">
        <v>3.3796518000000003E-3</v>
      </c>
      <c r="ET27" s="1079">
        <v>0</v>
      </c>
      <c r="EU27" s="1076" t="s">
        <v>1101</v>
      </c>
      <c r="EV27" s="1077" t="s">
        <v>1102</v>
      </c>
      <c r="EW27" s="1078">
        <v>0</v>
      </c>
      <c r="EX27" s="1078">
        <v>0</v>
      </c>
      <c r="EY27" s="1078">
        <v>0</v>
      </c>
      <c r="EZ27" s="1079">
        <v>0</v>
      </c>
      <c r="FA27" s="1076" t="s">
        <v>1101</v>
      </c>
      <c r="FB27" s="1077" t="s">
        <v>1102</v>
      </c>
      <c r="FC27" s="1078">
        <v>0</v>
      </c>
      <c r="FD27" s="1078">
        <v>0</v>
      </c>
      <c r="FE27" s="1078">
        <v>0</v>
      </c>
      <c r="FF27" s="1079">
        <v>0</v>
      </c>
      <c r="FG27" s="1076" t="s">
        <v>1101</v>
      </c>
      <c r="FH27" s="1077" t="s">
        <v>1102</v>
      </c>
      <c r="FI27" s="1078">
        <v>0</v>
      </c>
      <c r="FJ27" s="1078">
        <v>0</v>
      </c>
      <c r="FK27" s="1078">
        <v>0</v>
      </c>
      <c r="FL27" s="1079">
        <v>0</v>
      </c>
      <c r="FM27" s="1076" t="s">
        <v>1101</v>
      </c>
      <c r="FN27" s="1077" t="s">
        <v>1102</v>
      </c>
      <c r="FO27" s="1078">
        <v>0</v>
      </c>
      <c r="FP27" s="1078">
        <v>0</v>
      </c>
      <c r="FQ27" s="1078">
        <v>0</v>
      </c>
      <c r="FR27" s="1079">
        <v>0</v>
      </c>
      <c r="FS27" s="1076" t="s">
        <v>1101</v>
      </c>
      <c r="FT27" s="1077" t="s">
        <v>1102</v>
      </c>
      <c r="FU27" s="1078">
        <v>0</v>
      </c>
      <c r="FV27" s="1078">
        <v>0</v>
      </c>
      <c r="FW27" s="1078">
        <v>0</v>
      </c>
      <c r="FX27" s="1079">
        <v>0</v>
      </c>
      <c r="FY27" s="1076" t="s">
        <v>1101</v>
      </c>
      <c r="FZ27" s="1077" t="s">
        <v>1102</v>
      </c>
      <c r="GA27" s="1078">
        <v>0</v>
      </c>
      <c r="GB27" s="1078">
        <v>0</v>
      </c>
      <c r="GC27" s="1078">
        <v>0</v>
      </c>
      <c r="GD27" s="1079">
        <v>0</v>
      </c>
      <c r="GE27" s="1076" t="s">
        <v>1101</v>
      </c>
      <c r="GF27" s="1077" t="s">
        <v>1102</v>
      </c>
      <c r="GG27" s="1261">
        <f t="shared" ref="GG27:GG29" si="10">C27+I27+O27+U27+AA27+AG27+AM27+AS27+AY27+BE27+BQ27+BW27+CC27+CI27+CO27+CU27+DA27+DG27+DM27+DS27+DY27+EE27+EK27+EQ27+EW27+FC27+FI27+FO27+FU27+GA27</f>
        <v>1.9424143647058825E-2</v>
      </c>
      <c r="GH27" s="1261">
        <f t="shared" ref="GH27:GH29" si="11">D27+J27+P27+V27+AB27+AH27+AN27+AT27+AZ27+BF27+BR27+BX27+CD27+CJ27+CP27+CV27+DB27+DH27+DN27+DT27+DZ27+EF27+EL27+ER27+EX27+FD27+FJ27+FP27+FV27+GB27</f>
        <v>8.5077749174117645E-2</v>
      </c>
      <c r="GI27" s="1261">
        <f t="shared" si="9"/>
        <v>9.9554885879999999E-2</v>
      </c>
      <c r="GJ27" s="1199">
        <f t="shared" si="0"/>
        <v>0</v>
      </c>
    </row>
    <row r="28" spans="1:192" s="1081" customFormat="1" ht="15" customHeight="1">
      <c r="A28" s="1076" t="s">
        <v>1103</v>
      </c>
      <c r="B28" s="1077" t="s">
        <v>1104</v>
      </c>
      <c r="C28" s="1078">
        <v>0</v>
      </c>
      <c r="D28" s="1078">
        <v>0</v>
      </c>
      <c r="E28" s="1078">
        <v>0</v>
      </c>
      <c r="F28" s="1079">
        <v>0</v>
      </c>
      <c r="G28" s="1076" t="s">
        <v>1103</v>
      </c>
      <c r="H28" s="1077" t="s">
        <v>1104</v>
      </c>
      <c r="I28" s="1203">
        <v>0</v>
      </c>
      <c r="J28" s="1078">
        <v>0</v>
      </c>
      <c r="K28" s="1078">
        <v>0</v>
      </c>
      <c r="L28" s="1079">
        <v>0</v>
      </c>
      <c r="M28" s="1076" t="s">
        <v>1103</v>
      </c>
      <c r="N28" s="1206" t="s">
        <v>1104</v>
      </c>
      <c r="O28" s="1078">
        <v>0</v>
      </c>
      <c r="P28" s="1078">
        <v>0</v>
      </c>
      <c r="Q28" s="1078">
        <v>0</v>
      </c>
      <c r="R28" s="1079">
        <v>0</v>
      </c>
      <c r="S28" s="1076" t="s">
        <v>1103</v>
      </c>
      <c r="T28" s="1077" t="s">
        <v>1104</v>
      </c>
      <c r="U28" s="1203">
        <v>0</v>
      </c>
      <c r="V28" s="1078">
        <v>0</v>
      </c>
      <c r="W28" s="1078">
        <v>0</v>
      </c>
      <c r="X28" s="1079">
        <v>0</v>
      </c>
      <c r="Y28" s="1076" t="s">
        <v>1103</v>
      </c>
      <c r="Z28" s="1077" t="s">
        <v>1104</v>
      </c>
      <c r="AA28" s="1078">
        <v>0</v>
      </c>
      <c r="AB28" s="1078">
        <v>0</v>
      </c>
      <c r="AC28" s="1078">
        <v>0</v>
      </c>
      <c r="AD28" s="1079">
        <v>0</v>
      </c>
      <c r="AE28" s="1240" t="s">
        <v>87</v>
      </c>
      <c r="AF28" s="1077" t="s">
        <v>1104</v>
      </c>
      <c r="AG28" s="1239">
        <v>3.3069000000000002E-4</v>
      </c>
      <c r="AH28" s="1239">
        <v>1.4484222000000001E-3</v>
      </c>
      <c r="AI28" s="1082" t="s">
        <v>1174</v>
      </c>
      <c r="AJ28" s="1079">
        <v>0</v>
      </c>
      <c r="AK28" s="1240" t="s">
        <v>87</v>
      </c>
      <c r="AL28" s="1206" t="s">
        <v>1104</v>
      </c>
      <c r="AM28" s="1239">
        <v>3.3069000000000002E-4</v>
      </c>
      <c r="AN28" s="1239">
        <v>1.4484222000000001E-3</v>
      </c>
      <c r="AO28" s="1082" t="s">
        <v>1174</v>
      </c>
      <c r="AP28" s="1079">
        <v>0</v>
      </c>
      <c r="AQ28" s="1240" t="s">
        <v>87</v>
      </c>
      <c r="AR28" s="1077" t="s">
        <v>1104</v>
      </c>
      <c r="AS28" s="1239">
        <v>2.0588235294117645E-6</v>
      </c>
      <c r="AT28" s="1239">
        <v>9.0176470588235279E-6</v>
      </c>
      <c r="AU28" s="1082" t="s">
        <v>1174</v>
      </c>
      <c r="AV28" s="1079">
        <v>0</v>
      </c>
      <c r="AW28" s="1240" t="s">
        <v>87</v>
      </c>
      <c r="AX28" s="1206" t="s">
        <v>1104</v>
      </c>
      <c r="AY28" s="1239">
        <v>3.3069000000000002E-4</v>
      </c>
      <c r="AZ28" s="1239">
        <v>1.4484222000000001E-3</v>
      </c>
      <c r="BA28" s="1082" t="s">
        <v>1174</v>
      </c>
      <c r="BB28" s="1079">
        <v>0</v>
      </c>
      <c r="BC28" s="1240" t="s">
        <v>87</v>
      </c>
      <c r="BD28" s="1077" t="s">
        <v>1104</v>
      </c>
      <c r="BE28" s="1239">
        <v>3.3069000000000002E-4</v>
      </c>
      <c r="BF28" s="1239">
        <v>1.4484222000000001E-3</v>
      </c>
      <c r="BG28" s="1082" t="s">
        <v>1174</v>
      </c>
      <c r="BH28" s="1079">
        <v>0</v>
      </c>
      <c r="BI28" s="1240" t="s">
        <v>87</v>
      </c>
      <c r="BJ28" s="1077" t="s">
        <v>1104</v>
      </c>
      <c r="BK28" s="1082" t="s">
        <v>1141</v>
      </c>
      <c r="BL28" s="1082" t="s">
        <v>1141</v>
      </c>
      <c r="BM28" s="1239">
        <v>7.2421110000000007E-3</v>
      </c>
      <c r="BN28" s="1079">
        <v>0</v>
      </c>
      <c r="BO28" s="1076" t="s">
        <v>1103</v>
      </c>
      <c r="BP28" s="1077" t="s">
        <v>1104</v>
      </c>
      <c r="BQ28" s="1078">
        <v>0</v>
      </c>
      <c r="BR28" s="1078">
        <v>0</v>
      </c>
      <c r="BS28" s="1078">
        <v>0</v>
      </c>
      <c r="BT28" s="1079">
        <v>0</v>
      </c>
      <c r="BU28" s="1076" t="s">
        <v>1103</v>
      </c>
      <c r="BV28" s="1077" t="s">
        <v>1104</v>
      </c>
      <c r="BW28" s="1078">
        <v>0</v>
      </c>
      <c r="BX28" s="1078">
        <v>0</v>
      </c>
      <c r="BY28" s="1078">
        <v>0</v>
      </c>
      <c r="BZ28" s="1079">
        <v>0</v>
      </c>
      <c r="CA28" s="1076" t="s">
        <v>1103</v>
      </c>
      <c r="CB28" s="1077" t="s">
        <v>1104</v>
      </c>
      <c r="CC28" s="1078">
        <v>0</v>
      </c>
      <c r="CD28" s="1078">
        <v>0</v>
      </c>
      <c r="CE28" s="1078">
        <v>0</v>
      </c>
      <c r="CF28" s="1079">
        <v>0</v>
      </c>
      <c r="CG28" s="1240" t="s">
        <v>87</v>
      </c>
      <c r="CH28" s="1077" t="s">
        <v>1104</v>
      </c>
      <c r="CI28" s="1080">
        <f>'Core Making VOC-HAP'!C224+'Core Making VOC-HAP'!E224+'Core Making VOC-HAP'!G224</f>
        <v>1.0141160000000001E-4</v>
      </c>
      <c r="CJ28" s="1080">
        <f>'Core Making VOC-HAP'!D224+'Core Making VOC-HAP'!F224+'Core Making VOC-HAP'!H224</f>
        <v>4.4418280800000002E-4</v>
      </c>
      <c r="CK28" s="1080">
        <f>'Core Making VOC-HAP'!I224</f>
        <v>4.4418280800000002E-4</v>
      </c>
      <c r="CL28" s="1079">
        <v>0</v>
      </c>
      <c r="CM28" s="1076" t="s">
        <v>1103</v>
      </c>
      <c r="CN28" s="1077" t="s">
        <v>1104</v>
      </c>
      <c r="CO28" s="1078">
        <v>0</v>
      </c>
      <c r="CP28" s="1078">
        <v>0</v>
      </c>
      <c r="CQ28" s="1078">
        <v>0</v>
      </c>
      <c r="CR28" s="1079">
        <v>0</v>
      </c>
      <c r="CS28" s="1076" t="s">
        <v>1103</v>
      </c>
      <c r="CT28" s="1077" t="s">
        <v>1104</v>
      </c>
      <c r="CU28" s="1078">
        <v>0</v>
      </c>
      <c r="CV28" s="1078">
        <v>0</v>
      </c>
      <c r="CW28" s="1078">
        <v>0</v>
      </c>
      <c r="CX28" s="1079">
        <v>0</v>
      </c>
      <c r="CY28" s="1076" t="s">
        <v>1103</v>
      </c>
      <c r="CZ28" s="1077" t="s">
        <v>1104</v>
      </c>
      <c r="DA28" s="1078">
        <v>0</v>
      </c>
      <c r="DB28" s="1078">
        <v>0</v>
      </c>
      <c r="DC28" s="1078">
        <v>0</v>
      </c>
      <c r="DD28" s="1079">
        <v>0</v>
      </c>
      <c r="DE28" s="1076" t="s">
        <v>1103</v>
      </c>
      <c r="DF28" s="1077" t="s">
        <v>1104</v>
      </c>
      <c r="DG28" s="1078">
        <v>0</v>
      </c>
      <c r="DH28" s="1078">
        <v>0</v>
      </c>
      <c r="DI28" s="1078">
        <v>0</v>
      </c>
      <c r="DJ28" s="1079">
        <v>0</v>
      </c>
      <c r="DK28" s="1076" t="s">
        <v>1103</v>
      </c>
      <c r="DL28" s="1077" t="s">
        <v>1104</v>
      </c>
      <c r="DM28" s="1078">
        <v>0</v>
      </c>
      <c r="DN28" s="1078">
        <v>0</v>
      </c>
      <c r="DO28" s="1078">
        <v>0</v>
      </c>
      <c r="DP28" s="1079">
        <v>0</v>
      </c>
      <c r="DQ28" s="1076" t="s">
        <v>1103</v>
      </c>
      <c r="DR28" s="1077" t="s">
        <v>1104</v>
      </c>
      <c r="DS28" s="1078">
        <v>0</v>
      </c>
      <c r="DT28" s="1078">
        <v>0</v>
      </c>
      <c r="DU28" s="1078">
        <v>0</v>
      </c>
      <c r="DV28" s="1079">
        <v>0</v>
      </c>
      <c r="DW28" s="1076" t="s">
        <v>1103</v>
      </c>
      <c r="DX28" s="1077" t="s">
        <v>1104</v>
      </c>
      <c r="DY28" s="1078">
        <v>0</v>
      </c>
      <c r="DZ28" s="1078">
        <v>0</v>
      </c>
      <c r="EA28" s="1078">
        <v>0</v>
      </c>
      <c r="EB28" s="1079">
        <v>0</v>
      </c>
      <c r="EC28" s="1076" t="s">
        <v>1103</v>
      </c>
      <c r="ED28" s="1077" t="s">
        <v>1104</v>
      </c>
      <c r="EE28" s="1078">
        <v>0</v>
      </c>
      <c r="EF28" s="1078">
        <v>0</v>
      </c>
      <c r="EG28" s="1078">
        <v>0</v>
      </c>
      <c r="EH28" s="1079">
        <v>0</v>
      </c>
      <c r="EI28" s="1240" t="s">
        <v>87</v>
      </c>
      <c r="EJ28" s="1077" t="s">
        <v>1104</v>
      </c>
      <c r="EK28" s="1239">
        <v>4.4092000000000003E-4</v>
      </c>
      <c r="EL28" s="1239">
        <v>1.9312296000000002E-3</v>
      </c>
      <c r="EM28" s="1239">
        <v>1.9312296000000002E-3</v>
      </c>
      <c r="EN28" s="1079">
        <v>0</v>
      </c>
      <c r="EO28" s="1240" t="s">
        <v>87</v>
      </c>
      <c r="EP28" s="1206" t="s">
        <v>1104</v>
      </c>
      <c r="EQ28" s="1239">
        <v>7.7161000000000002E-5</v>
      </c>
      <c r="ER28" s="1239">
        <v>3.3796518000000001E-4</v>
      </c>
      <c r="ES28" s="1239">
        <v>3.3796518000000001E-4</v>
      </c>
      <c r="ET28" s="1079">
        <v>0</v>
      </c>
      <c r="EU28" s="1076" t="s">
        <v>1103</v>
      </c>
      <c r="EV28" s="1077" t="s">
        <v>1104</v>
      </c>
      <c r="EW28" s="1078">
        <v>0</v>
      </c>
      <c r="EX28" s="1078">
        <v>0</v>
      </c>
      <c r="EY28" s="1078">
        <v>0</v>
      </c>
      <c r="EZ28" s="1079">
        <v>0</v>
      </c>
      <c r="FA28" s="1076" t="s">
        <v>1103</v>
      </c>
      <c r="FB28" s="1077" t="s">
        <v>1104</v>
      </c>
      <c r="FC28" s="1078">
        <v>0</v>
      </c>
      <c r="FD28" s="1078">
        <v>0</v>
      </c>
      <c r="FE28" s="1078">
        <v>0</v>
      </c>
      <c r="FF28" s="1079">
        <v>0</v>
      </c>
      <c r="FG28" s="1076" t="s">
        <v>1103</v>
      </c>
      <c r="FH28" s="1077" t="s">
        <v>1104</v>
      </c>
      <c r="FI28" s="1078">
        <v>0</v>
      </c>
      <c r="FJ28" s="1078">
        <v>0</v>
      </c>
      <c r="FK28" s="1078">
        <v>0</v>
      </c>
      <c r="FL28" s="1079">
        <v>0</v>
      </c>
      <c r="FM28" s="1076" t="s">
        <v>1103</v>
      </c>
      <c r="FN28" s="1077" t="s">
        <v>1104</v>
      </c>
      <c r="FO28" s="1078">
        <v>0</v>
      </c>
      <c r="FP28" s="1078">
        <v>0</v>
      </c>
      <c r="FQ28" s="1078">
        <v>0</v>
      </c>
      <c r="FR28" s="1079">
        <v>0</v>
      </c>
      <c r="FS28" s="1076" t="s">
        <v>1103</v>
      </c>
      <c r="FT28" s="1077" t="s">
        <v>1104</v>
      </c>
      <c r="FU28" s="1078">
        <v>0</v>
      </c>
      <c r="FV28" s="1078">
        <v>0</v>
      </c>
      <c r="FW28" s="1078">
        <v>0</v>
      </c>
      <c r="FX28" s="1079">
        <v>0</v>
      </c>
      <c r="FY28" s="1076" t="s">
        <v>1103</v>
      </c>
      <c r="FZ28" s="1077" t="s">
        <v>1104</v>
      </c>
      <c r="GA28" s="1078">
        <v>0</v>
      </c>
      <c r="GB28" s="1078">
        <v>0</v>
      </c>
      <c r="GC28" s="1078">
        <v>0</v>
      </c>
      <c r="GD28" s="1079">
        <v>0</v>
      </c>
      <c r="GE28" s="1076" t="s">
        <v>1103</v>
      </c>
      <c r="GF28" s="1077" t="s">
        <v>1104</v>
      </c>
      <c r="GG28" s="1261">
        <f t="shared" si="10"/>
        <v>1.9443114235294118E-3</v>
      </c>
      <c r="GH28" s="1261">
        <f t="shared" si="11"/>
        <v>8.5160840350588241E-3</v>
      </c>
      <c r="GI28" s="1261">
        <f t="shared" si="9"/>
        <v>9.9554885880000013E-3</v>
      </c>
      <c r="GJ28" s="1199">
        <f t="shared" si="0"/>
        <v>0</v>
      </c>
    </row>
    <row r="29" spans="1:192" s="1081" customFormat="1" ht="15" customHeight="1">
      <c r="A29" s="1076" t="s">
        <v>41</v>
      </c>
      <c r="B29" s="1077" t="s">
        <v>47</v>
      </c>
      <c r="C29" s="1078">
        <v>0</v>
      </c>
      <c r="D29" s="1078">
        <v>0</v>
      </c>
      <c r="E29" s="1078">
        <v>0</v>
      </c>
      <c r="F29" s="1079">
        <v>0</v>
      </c>
      <c r="G29" s="1076" t="s">
        <v>41</v>
      </c>
      <c r="H29" s="1077" t="s">
        <v>47</v>
      </c>
      <c r="I29" s="1203">
        <v>0</v>
      </c>
      <c r="J29" s="1078">
        <v>0</v>
      </c>
      <c r="K29" s="1078">
        <v>0</v>
      </c>
      <c r="L29" s="1079">
        <v>0</v>
      </c>
      <c r="M29" s="1076" t="s">
        <v>41</v>
      </c>
      <c r="N29" s="1206" t="s">
        <v>47</v>
      </c>
      <c r="O29" s="1078">
        <v>0</v>
      </c>
      <c r="P29" s="1078">
        <v>0</v>
      </c>
      <c r="Q29" s="1078">
        <v>0</v>
      </c>
      <c r="R29" s="1079">
        <v>0</v>
      </c>
      <c r="S29" s="1076" t="s">
        <v>41</v>
      </c>
      <c r="T29" s="1077" t="s">
        <v>47</v>
      </c>
      <c r="U29" s="1203">
        <v>0</v>
      </c>
      <c r="V29" s="1078">
        <v>0</v>
      </c>
      <c r="W29" s="1078">
        <v>0</v>
      </c>
      <c r="X29" s="1079">
        <v>0</v>
      </c>
      <c r="Y29" s="1076" t="s">
        <v>41</v>
      </c>
      <c r="Z29" s="1077" t="s">
        <v>47</v>
      </c>
      <c r="AA29" s="1078">
        <v>0</v>
      </c>
      <c r="AB29" s="1078">
        <v>0</v>
      </c>
      <c r="AC29" s="1078">
        <v>0</v>
      </c>
      <c r="AD29" s="1079">
        <v>0</v>
      </c>
      <c r="AE29" s="1240" t="s">
        <v>88</v>
      </c>
      <c r="AF29" s="1077" t="s">
        <v>47</v>
      </c>
      <c r="AG29" s="1239">
        <v>175.64533212000003</v>
      </c>
      <c r="AH29" s="1239">
        <v>769.32655468560006</v>
      </c>
      <c r="AI29" s="1082" t="s">
        <v>1174</v>
      </c>
      <c r="AJ29" s="1079">
        <v>0</v>
      </c>
      <c r="AK29" s="1240" t="s">
        <v>88</v>
      </c>
      <c r="AL29" s="1206" t="s">
        <v>47</v>
      </c>
      <c r="AM29" s="1239">
        <v>175.64533212000003</v>
      </c>
      <c r="AN29" s="1239">
        <v>769.32655468560006</v>
      </c>
      <c r="AO29" s="1082" t="s">
        <v>1174</v>
      </c>
      <c r="AP29" s="1079">
        <v>0</v>
      </c>
      <c r="AQ29" s="1240" t="s">
        <v>88</v>
      </c>
      <c r="AR29" s="1077" t="s">
        <v>47</v>
      </c>
      <c r="AS29" s="1239">
        <v>1.2352941176470587E-7</v>
      </c>
      <c r="AT29" s="1239">
        <v>5.4105882352941171E-7</v>
      </c>
      <c r="AU29" s="1082" t="s">
        <v>1174</v>
      </c>
      <c r="AV29" s="1079">
        <v>0</v>
      </c>
      <c r="AW29" s="1240" t="s">
        <v>88</v>
      </c>
      <c r="AX29" s="1206" t="s">
        <v>47</v>
      </c>
      <c r="AY29" s="1239">
        <v>175.64533212000003</v>
      </c>
      <c r="AZ29" s="1239">
        <v>769.32655468560006</v>
      </c>
      <c r="BA29" s="1082" t="s">
        <v>1174</v>
      </c>
      <c r="BB29" s="1079">
        <v>0</v>
      </c>
      <c r="BC29" s="1240" t="s">
        <v>88</v>
      </c>
      <c r="BD29" s="1077" t="s">
        <v>47</v>
      </c>
      <c r="BE29" s="1239">
        <v>175.64533212000003</v>
      </c>
      <c r="BF29" s="1239">
        <v>769.32655468560006</v>
      </c>
      <c r="BG29" s="1082" t="s">
        <v>1174</v>
      </c>
      <c r="BH29" s="1079">
        <v>0</v>
      </c>
      <c r="BI29" s="1240" t="s">
        <v>88</v>
      </c>
      <c r="BJ29" s="1077" t="s">
        <v>47</v>
      </c>
      <c r="BK29" s="1082" t="s">
        <v>1141</v>
      </c>
      <c r="BL29" s="1082" t="s">
        <v>1141</v>
      </c>
      <c r="BM29" s="1239">
        <v>3846.6327734280003</v>
      </c>
      <c r="BN29" s="1079">
        <v>0</v>
      </c>
      <c r="BO29" s="1076" t="s">
        <v>41</v>
      </c>
      <c r="BP29" s="1077" t="s">
        <v>47</v>
      </c>
      <c r="BQ29" s="1078">
        <v>0</v>
      </c>
      <c r="BR29" s="1078">
        <v>0</v>
      </c>
      <c r="BS29" s="1078">
        <v>0</v>
      </c>
      <c r="BT29" s="1079">
        <v>0</v>
      </c>
      <c r="BU29" s="1076" t="s">
        <v>41</v>
      </c>
      <c r="BV29" s="1077" t="s">
        <v>47</v>
      </c>
      <c r="BW29" s="1078">
        <v>0</v>
      </c>
      <c r="BX29" s="1078">
        <v>0</v>
      </c>
      <c r="BY29" s="1078">
        <v>0</v>
      </c>
      <c r="BZ29" s="1079">
        <v>0</v>
      </c>
      <c r="CA29" s="1076" t="s">
        <v>41</v>
      </c>
      <c r="CB29" s="1077" t="s">
        <v>47</v>
      </c>
      <c r="CC29" s="1078">
        <v>0</v>
      </c>
      <c r="CD29" s="1078">
        <v>0</v>
      </c>
      <c r="CE29" s="1078">
        <v>0</v>
      </c>
      <c r="CF29" s="1079">
        <v>0</v>
      </c>
      <c r="CG29" s="1240" t="s">
        <v>88</v>
      </c>
      <c r="CH29" s="1077" t="s">
        <v>47</v>
      </c>
      <c r="CI29" s="1080">
        <f>'Core Making VOC-HAP'!C225+'Core Making VOC-HAP'!E225+'Core Making VOC-HAP'!G225</f>
        <v>53.864568516800006</v>
      </c>
      <c r="CJ29" s="1080">
        <f>'Core Making VOC-HAP'!D225+'Core Making VOC-HAP'!F225+'Core Making VOC-HAP'!H225</f>
        <v>235.92681010358405</v>
      </c>
      <c r="CK29" s="1080">
        <f>'Core Making VOC-HAP'!I225</f>
        <v>235.92681010358405</v>
      </c>
      <c r="CL29" s="1079">
        <v>0</v>
      </c>
      <c r="CM29" s="1076" t="s">
        <v>41</v>
      </c>
      <c r="CN29" s="1077" t="s">
        <v>47</v>
      </c>
      <c r="CO29" s="1078">
        <v>0</v>
      </c>
      <c r="CP29" s="1078">
        <v>0</v>
      </c>
      <c r="CQ29" s="1078">
        <v>0</v>
      </c>
      <c r="CR29" s="1079">
        <v>0</v>
      </c>
      <c r="CS29" s="1076" t="s">
        <v>41</v>
      </c>
      <c r="CT29" s="1077" t="s">
        <v>47</v>
      </c>
      <c r="CU29" s="1078">
        <v>0</v>
      </c>
      <c r="CV29" s="1078">
        <v>0</v>
      </c>
      <c r="CW29" s="1078">
        <v>0</v>
      </c>
      <c r="CX29" s="1079">
        <v>0</v>
      </c>
      <c r="CY29" s="1076" t="s">
        <v>41</v>
      </c>
      <c r="CZ29" s="1077" t="s">
        <v>47</v>
      </c>
      <c r="DA29" s="1078">
        <v>0</v>
      </c>
      <c r="DB29" s="1078">
        <v>0</v>
      </c>
      <c r="DC29" s="1078">
        <v>0</v>
      </c>
      <c r="DD29" s="1079">
        <v>0</v>
      </c>
      <c r="DE29" s="1076" t="s">
        <v>41</v>
      </c>
      <c r="DF29" s="1077" t="s">
        <v>47</v>
      </c>
      <c r="DG29" s="1078">
        <v>0</v>
      </c>
      <c r="DH29" s="1078">
        <v>0</v>
      </c>
      <c r="DI29" s="1078">
        <v>0</v>
      </c>
      <c r="DJ29" s="1079">
        <v>0</v>
      </c>
      <c r="DK29" s="1076" t="s">
        <v>41</v>
      </c>
      <c r="DL29" s="1077" t="s">
        <v>47</v>
      </c>
      <c r="DM29" s="1078">
        <v>0</v>
      </c>
      <c r="DN29" s="1078">
        <v>0</v>
      </c>
      <c r="DO29" s="1078">
        <v>0</v>
      </c>
      <c r="DP29" s="1079">
        <v>0</v>
      </c>
      <c r="DQ29" s="1076" t="s">
        <v>41</v>
      </c>
      <c r="DR29" s="1077" t="s">
        <v>47</v>
      </c>
      <c r="DS29" s="1078">
        <v>0</v>
      </c>
      <c r="DT29" s="1078">
        <v>0</v>
      </c>
      <c r="DU29" s="1078">
        <v>0</v>
      </c>
      <c r="DV29" s="1079">
        <v>0</v>
      </c>
      <c r="DW29" s="1076" t="s">
        <v>41</v>
      </c>
      <c r="DX29" s="1077" t="s">
        <v>47</v>
      </c>
      <c r="DY29" s="1078">
        <v>0</v>
      </c>
      <c r="DZ29" s="1078">
        <v>0</v>
      </c>
      <c r="EA29" s="1078">
        <v>0</v>
      </c>
      <c r="EB29" s="1079">
        <v>0</v>
      </c>
      <c r="EC29" s="1076" t="s">
        <v>41</v>
      </c>
      <c r="ED29" s="1077" t="s">
        <v>47</v>
      </c>
      <c r="EE29" s="1078">
        <v>0</v>
      </c>
      <c r="EF29" s="1078">
        <v>0</v>
      </c>
      <c r="EG29" s="1078">
        <v>0</v>
      </c>
      <c r="EH29" s="1079">
        <v>0</v>
      </c>
      <c r="EI29" s="1240" t="s">
        <v>88</v>
      </c>
      <c r="EJ29" s="1077" t="s">
        <v>47</v>
      </c>
      <c r="EK29" s="1239">
        <v>234.19377616000003</v>
      </c>
      <c r="EL29" s="1239">
        <v>1025.7687395808002</v>
      </c>
      <c r="EM29" s="1239">
        <v>1025.7687395808002</v>
      </c>
      <c r="EN29" s="1079">
        <v>0</v>
      </c>
      <c r="EO29" s="1240" t="s">
        <v>88</v>
      </c>
      <c r="EP29" s="1206" t="s">
        <v>47</v>
      </c>
      <c r="EQ29" s="1239">
        <v>40.983910827999999</v>
      </c>
      <c r="ER29" s="1239">
        <v>179.50952942664</v>
      </c>
      <c r="ES29" s="1239">
        <v>179.50952942664</v>
      </c>
      <c r="ET29" s="1079">
        <v>0</v>
      </c>
      <c r="EU29" s="1076" t="s">
        <v>41</v>
      </c>
      <c r="EV29" s="1077" t="s">
        <v>47</v>
      </c>
      <c r="EW29" s="1078">
        <v>0</v>
      </c>
      <c r="EX29" s="1078">
        <v>0</v>
      </c>
      <c r="EY29" s="1078">
        <v>0</v>
      </c>
      <c r="EZ29" s="1079">
        <v>0</v>
      </c>
      <c r="FA29" s="1076" t="s">
        <v>41</v>
      </c>
      <c r="FB29" s="1077" t="s">
        <v>47</v>
      </c>
      <c r="FC29" s="1078">
        <v>0</v>
      </c>
      <c r="FD29" s="1078">
        <v>0</v>
      </c>
      <c r="FE29" s="1078">
        <v>0</v>
      </c>
      <c r="FF29" s="1079">
        <v>0</v>
      </c>
      <c r="FG29" s="1076" t="s">
        <v>41</v>
      </c>
      <c r="FH29" s="1077" t="s">
        <v>47</v>
      </c>
      <c r="FI29" s="1078">
        <v>0</v>
      </c>
      <c r="FJ29" s="1078">
        <v>0</v>
      </c>
      <c r="FK29" s="1078">
        <v>0</v>
      </c>
      <c r="FL29" s="1079">
        <v>0</v>
      </c>
      <c r="FM29" s="1076" t="s">
        <v>41</v>
      </c>
      <c r="FN29" s="1077" t="s">
        <v>47</v>
      </c>
      <c r="FO29" s="1078">
        <v>0</v>
      </c>
      <c r="FP29" s="1078">
        <v>0</v>
      </c>
      <c r="FQ29" s="1078">
        <v>0</v>
      </c>
      <c r="FR29" s="1079">
        <v>0</v>
      </c>
      <c r="FS29" s="1076" t="s">
        <v>41</v>
      </c>
      <c r="FT29" s="1077" t="s">
        <v>47</v>
      </c>
      <c r="FU29" s="1078">
        <v>0</v>
      </c>
      <c r="FV29" s="1078">
        <v>0</v>
      </c>
      <c r="FW29" s="1078">
        <v>0</v>
      </c>
      <c r="FX29" s="1079">
        <v>0</v>
      </c>
      <c r="FY29" s="1076" t="s">
        <v>41</v>
      </c>
      <c r="FZ29" s="1077" t="s">
        <v>47</v>
      </c>
      <c r="GA29" s="1078">
        <v>0</v>
      </c>
      <c r="GB29" s="1078">
        <v>0</v>
      </c>
      <c r="GC29" s="1078">
        <v>0</v>
      </c>
      <c r="GD29" s="1079">
        <v>0</v>
      </c>
      <c r="GE29" s="1076" t="s">
        <v>41</v>
      </c>
      <c r="GF29" s="1077" t="s">
        <v>47</v>
      </c>
      <c r="GG29" s="1261">
        <f t="shared" si="10"/>
        <v>1031.6235841083296</v>
      </c>
      <c r="GH29" s="1261">
        <f t="shared" si="11"/>
        <v>4518.5112983944837</v>
      </c>
      <c r="GI29" s="1261">
        <f t="shared" si="9"/>
        <v>5287.8378525390244</v>
      </c>
      <c r="GJ29" s="1199">
        <f t="shared" si="0"/>
        <v>0</v>
      </c>
    </row>
    <row r="30" spans="1:192" s="1081" customFormat="1" ht="15" customHeight="1">
      <c r="A30" s="1076" t="s">
        <v>1124</v>
      </c>
      <c r="B30" s="1077" t="s">
        <v>1105</v>
      </c>
      <c r="C30" s="1078">
        <v>0</v>
      </c>
      <c r="D30" s="1078">
        <v>0</v>
      </c>
      <c r="E30" s="1078">
        <v>0</v>
      </c>
      <c r="F30" s="1079">
        <v>0</v>
      </c>
      <c r="G30" s="1076" t="s">
        <v>1124</v>
      </c>
      <c r="H30" s="1077" t="s">
        <v>1105</v>
      </c>
      <c r="I30" s="1203">
        <v>0</v>
      </c>
      <c r="J30" s="1078">
        <v>0</v>
      </c>
      <c r="K30" s="1078">
        <v>0</v>
      </c>
      <c r="L30" s="1079">
        <v>0</v>
      </c>
      <c r="M30" s="1076" t="s">
        <v>1124</v>
      </c>
      <c r="N30" s="1206" t="s">
        <v>1105</v>
      </c>
      <c r="O30" s="1078">
        <v>0</v>
      </c>
      <c r="P30" s="1078">
        <v>0</v>
      </c>
      <c r="Q30" s="1078">
        <v>0</v>
      </c>
      <c r="R30" s="1079">
        <v>0</v>
      </c>
      <c r="S30" s="1076" t="s">
        <v>1124</v>
      </c>
      <c r="T30" s="1077" t="s">
        <v>1105</v>
      </c>
      <c r="U30" s="1203">
        <v>0</v>
      </c>
      <c r="V30" s="1078">
        <v>0</v>
      </c>
      <c r="W30" s="1078">
        <v>0</v>
      </c>
      <c r="X30" s="1079">
        <v>0</v>
      </c>
      <c r="Y30" s="1076" t="s">
        <v>1124</v>
      </c>
      <c r="Z30" s="1077" t="s">
        <v>1105</v>
      </c>
      <c r="AA30" s="1078">
        <v>0</v>
      </c>
      <c r="AB30" s="1078">
        <v>0</v>
      </c>
      <c r="AC30" s="1078">
        <v>0</v>
      </c>
      <c r="AD30" s="1079">
        <v>0</v>
      </c>
      <c r="AE30" s="1240" t="s">
        <v>90</v>
      </c>
      <c r="AF30" s="1077" t="s">
        <v>1105</v>
      </c>
      <c r="AG30" s="1239">
        <v>2.9411764705882356E-7</v>
      </c>
      <c r="AH30" s="1239">
        <v>1.2882352941176471E-6</v>
      </c>
      <c r="AI30" s="1082" t="s">
        <v>1174</v>
      </c>
      <c r="AJ30" s="1079">
        <v>0</v>
      </c>
      <c r="AK30" s="1240" t="s">
        <v>90</v>
      </c>
      <c r="AL30" s="1206" t="s">
        <v>1105</v>
      </c>
      <c r="AM30" s="1239">
        <v>2.9411764705882356E-7</v>
      </c>
      <c r="AN30" s="1239">
        <v>1.2882352941176471E-6</v>
      </c>
      <c r="AO30" s="1082" t="s">
        <v>1174</v>
      </c>
      <c r="AP30" s="1079">
        <v>0</v>
      </c>
      <c r="AQ30" s="1240" t="s">
        <v>90</v>
      </c>
      <c r="AR30" s="1077" t="s">
        <v>1105</v>
      </c>
      <c r="AS30" s="1239">
        <v>2.9411764705882356E-7</v>
      </c>
      <c r="AT30" s="1239">
        <v>1.2882352941176471E-6</v>
      </c>
      <c r="AU30" s="1082" t="s">
        <v>1174</v>
      </c>
      <c r="AV30" s="1079">
        <v>0</v>
      </c>
      <c r="AW30" s="1240" t="s">
        <v>90</v>
      </c>
      <c r="AX30" s="1206" t="s">
        <v>1105</v>
      </c>
      <c r="AY30" s="1239">
        <v>2.9411764705882356E-7</v>
      </c>
      <c r="AZ30" s="1239">
        <v>1.2882352941176471E-6</v>
      </c>
      <c r="BA30" s="1082" t="s">
        <v>1174</v>
      </c>
      <c r="BB30" s="1079">
        <v>0</v>
      </c>
      <c r="BC30" s="1240" t="s">
        <v>90</v>
      </c>
      <c r="BD30" s="1077" t="s">
        <v>1105</v>
      </c>
      <c r="BE30" s="1239">
        <v>2.9411764705882356E-7</v>
      </c>
      <c r="BF30" s="1239">
        <v>1.2882352941176471E-6</v>
      </c>
      <c r="BG30" s="1082" t="s">
        <v>1174</v>
      </c>
      <c r="BH30" s="1079">
        <v>0</v>
      </c>
      <c r="BI30" s="1240" t="s">
        <v>90</v>
      </c>
      <c r="BJ30" s="1077" t="s">
        <v>1105</v>
      </c>
      <c r="BK30" s="1082" t="s">
        <v>1141</v>
      </c>
      <c r="BL30" s="1082" t="s">
        <v>1141</v>
      </c>
      <c r="BM30" s="1239">
        <v>6.4411764705882354E-6</v>
      </c>
      <c r="BN30" s="1079">
        <v>0</v>
      </c>
      <c r="BO30" s="1076" t="s">
        <v>1124</v>
      </c>
      <c r="BP30" s="1077" t="s">
        <v>1105</v>
      </c>
      <c r="BQ30" s="1078">
        <v>0</v>
      </c>
      <c r="BR30" s="1078">
        <v>0</v>
      </c>
      <c r="BS30" s="1078">
        <v>0</v>
      </c>
      <c r="BT30" s="1079">
        <v>0</v>
      </c>
      <c r="BU30" s="1076" t="s">
        <v>1124</v>
      </c>
      <c r="BV30" s="1077" t="s">
        <v>1105</v>
      </c>
      <c r="BW30" s="1078">
        <v>0</v>
      </c>
      <c r="BX30" s="1078">
        <v>0</v>
      </c>
      <c r="BY30" s="1078">
        <v>0</v>
      </c>
      <c r="BZ30" s="1079">
        <v>0</v>
      </c>
      <c r="CA30" s="1076" t="s">
        <v>1124</v>
      </c>
      <c r="CB30" s="1077" t="s">
        <v>1105</v>
      </c>
      <c r="CC30" s="1078">
        <v>0</v>
      </c>
      <c r="CD30" s="1078">
        <v>0</v>
      </c>
      <c r="CE30" s="1078">
        <v>0</v>
      </c>
      <c r="CF30" s="1079">
        <v>0</v>
      </c>
      <c r="CG30" s="1240" t="s">
        <v>90</v>
      </c>
      <c r="CH30" s="1077" t="s">
        <v>1105</v>
      </c>
      <c r="CI30" s="1080">
        <f>'Core Making VOC-HAP'!C227+'Core Making VOC-HAP'!E227+'Core Making VOC-HAP'!G227</f>
        <v>9.0196078431372559E-8</v>
      </c>
      <c r="CJ30" s="1080">
        <f>'Core Making VOC-HAP'!D227+'Core Making VOC-HAP'!F227+'Core Making VOC-HAP'!H227</f>
        <v>3.9505882352941175E-7</v>
      </c>
      <c r="CK30" s="1080">
        <f>'Core Making VOC-HAP'!I227</f>
        <v>3.9505882352941175E-7</v>
      </c>
      <c r="CL30" s="1079">
        <v>0</v>
      </c>
      <c r="CM30" s="1076" t="s">
        <v>1124</v>
      </c>
      <c r="CN30" s="1077" t="s">
        <v>1105</v>
      </c>
      <c r="CO30" s="1078">
        <v>0</v>
      </c>
      <c r="CP30" s="1078">
        <v>0</v>
      </c>
      <c r="CQ30" s="1078">
        <v>0</v>
      </c>
      <c r="CR30" s="1079">
        <v>0</v>
      </c>
      <c r="CS30" s="1076" t="s">
        <v>1124</v>
      </c>
      <c r="CT30" s="1077" t="s">
        <v>1105</v>
      </c>
      <c r="CU30" s="1078">
        <v>0</v>
      </c>
      <c r="CV30" s="1078">
        <v>0</v>
      </c>
      <c r="CW30" s="1078">
        <v>0</v>
      </c>
      <c r="CX30" s="1079">
        <v>0</v>
      </c>
      <c r="CY30" s="1076" t="s">
        <v>1124</v>
      </c>
      <c r="CZ30" s="1077" t="s">
        <v>1105</v>
      </c>
      <c r="DA30" s="1078">
        <v>0</v>
      </c>
      <c r="DB30" s="1078">
        <v>0</v>
      </c>
      <c r="DC30" s="1078">
        <v>0</v>
      </c>
      <c r="DD30" s="1079">
        <v>0</v>
      </c>
      <c r="DE30" s="1076" t="s">
        <v>1124</v>
      </c>
      <c r="DF30" s="1077" t="s">
        <v>1105</v>
      </c>
      <c r="DG30" s="1078">
        <v>0</v>
      </c>
      <c r="DH30" s="1078">
        <v>0</v>
      </c>
      <c r="DI30" s="1078">
        <v>0</v>
      </c>
      <c r="DJ30" s="1079">
        <v>0</v>
      </c>
      <c r="DK30" s="1076" t="s">
        <v>1124</v>
      </c>
      <c r="DL30" s="1077" t="s">
        <v>1105</v>
      </c>
      <c r="DM30" s="1078">
        <v>0</v>
      </c>
      <c r="DN30" s="1078">
        <v>0</v>
      </c>
      <c r="DO30" s="1078">
        <v>0</v>
      </c>
      <c r="DP30" s="1079">
        <v>0</v>
      </c>
      <c r="DQ30" s="1076" t="s">
        <v>1124</v>
      </c>
      <c r="DR30" s="1077" t="s">
        <v>1105</v>
      </c>
      <c r="DS30" s="1078">
        <v>0</v>
      </c>
      <c r="DT30" s="1078">
        <v>0</v>
      </c>
      <c r="DU30" s="1078">
        <v>0</v>
      </c>
      <c r="DV30" s="1079">
        <v>0</v>
      </c>
      <c r="DW30" s="1076" t="s">
        <v>1124</v>
      </c>
      <c r="DX30" s="1077" t="s">
        <v>1105</v>
      </c>
      <c r="DY30" s="1078">
        <v>0</v>
      </c>
      <c r="DZ30" s="1078">
        <v>0</v>
      </c>
      <c r="EA30" s="1078">
        <v>0</v>
      </c>
      <c r="EB30" s="1079">
        <v>0</v>
      </c>
      <c r="EC30" s="1076" t="s">
        <v>1124</v>
      </c>
      <c r="ED30" s="1077" t="s">
        <v>1105</v>
      </c>
      <c r="EE30" s="1078">
        <v>0</v>
      </c>
      <c r="EF30" s="1078">
        <v>0</v>
      </c>
      <c r="EG30" s="1078">
        <v>0</v>
      </c>
      <c r="EH30" s="1079">
        <v>0</v>
      </c>
      <c r="EI30" s="1240" t="s">
        <v>90</v>
      </c>
      <c r="EJ30" s="1077" t="s">
        <v>1105</v>
      </c>
      <c r="EK30" s="1239">
        <v>3.9215686274509808E-7</v>
      </c>
      <c r="EL30" s="1239">
        <v>1.7176470588235296E-6</v>
      </c>
      <c r="EM30" s="1239">
        <v>1.7176470588235296E-6</v>
      </c>
      <c r="EN30" s="1079">
        <v>0</v>
      </c>
      <c r="EO30" s="1240" t="s">
        <v>90</v>
      </c>
      <c r="EP30" s="1206" t="s">
        <v>1105</v>
      </c>
      <c r="EQ30" s="1239">
        <v>6.8627450980392145E-8</v>
      </c>
      <c r="ER30" s="1239">
        <v>3.005882352941176E-7</v>
      </c>
      <c r="ES30" s="1239">
        <v>3.005882352941176E-7</v>
      </c>
      <c r="ET30" s="1079">
        <v>0</v>
      </c>
      <c r="EU30" s="1076" t="s">
        <v>1124</v>
      </c>
      <c r="EV30" s="1077" t="s">
        <v>1105</v>
      </c>
      <c r="EW30" s="1078">
        <v>0</v>
      </c>
      <c r="EX30" s="1078">
        <v>0</v>
      </c>
      <c r="EY30" s="1078">
        <v>0</v>
      </c>
      <c r="EZ30" s="1079">
        <v>0</v>
      </c>
      <c r="FA30" s="1076" t="s">
        <v>1124</v>
      </c>
      <c r="FB30" s="1077" t="s">
        <v>1105</v>
      </c>
      <c r="FC30" s="1078">
        <v>0</v>
      </c>
      <c r="FD30" s="1078">
        <v>0</v>
      </c>
      <c r="FE30" s="1078">
        <v>0</v>
      </c>
      <c r="FF30" s="1079">
        <v>0</v>
      </c>
      <c r="FG30" s="1076" t="s">
        <v>1124</v>
      </c>
      <c r="FH30" s="1077" t="s">
        <v>1105</v>
      </c>
      <c r="FI30" s="1078">
        <v>0</v>
      </c>
      <c r="FJ30" s="1078">
        <v>0</v>
      </c>
      <c r="FK30" s="1078">
        <v>0</v>
      </c>
      <c r="FL30" s="1079">
        <v>0</v>
      </c>
      <c r="FM30" s="1076" t="s">
        <v>1124</v>
      </c>
      <c r="FN30" s="1077" t="s">
        <v>1105</v>
      </c>
      <c r="FO30" s="1078">
        <v>0</v>
      </c>
      <c r="FP30" s="1078">
        <v>0</v>
      </c>
      <c r="FQ30" s="1078">
        <v>0</v>
      </c>
      <c r="FR30" s="1079">
        <v>0</v>
      </c>
      <c r="FS30" s="1076" t="s">
        <v>1124</v>
      </c>
      <c r="FT30" s="1077" t="s">
        <v>1105</v>
      </c>
      <c r="FU30" s="1078">
        <v>0</v>
      </c>
      <c r="FV30" s="1078">
        <v>0</v>
      </c>
      <c r="FW30" s="1078">
        <v>0</v>
      </c>
      <c r="FX30" s="1079">
        <v>0</v>
      </c>
      <c r="FY30" s="1076" t="s">
        <v>1124</v>
      </c>
      <c r="FZ30" s="1077" t="s">
        <v>1105</v>
      </c>
      <c r="GA30" s="1078">
        <v>0</v>
      </c>
      <c r="GB30" s="1078">
        <v>0</v>
      </c>
      <c r="GC30" s="1078">
        <v>0</v>
      </c>
      <c r="GD30" s="1079">
        <v>0</v>
      </c>
      <c r="GE30" s="1076" t="s">
        <v>1124</v>
      </c>
      <c r="GF30" s="1077" t="s">
        <v>1105</v>
      </c>
      <c r="GG30" s="1261">
        <f>C30+I30+O30+U30+AA30+AG30+AM30+AS30+AY30+BE30+BQ30+BW30+CC30+CI30+CO30+CU30+DA30+DG30+DM30+DS30+DY30+EE30+EK30+EQ30+EW30+FC30+FI30+FO30+FU30+GA30</f>
        <v>2.0215686274509807E-6</v>
      </c>
      <c r="GH30" s="1261">
        <f>D30+J30+P30+V30+AB30+AH30+AN30+AT30+AZ30+BF30+BR30+BX30+CD30+CJ30+CP30+CV30+DB30+DH30+DN30+DT30+DZ30+EF30+EL30+ER30+EX30+FD30+FJ30+FP30+FV30+GB30</f>
        <v>8.854470588235294E-6</v>
      </c>
      <c r="GI30" s="1261">
        <f t="shared" si="9"/>
        <v>8.854470588235294E-6</v>
      </c>
      <c r="GJ30" s="1199">
        <f t="shared" si="0"/>
        <v>0</v>
      </c>
    </row>
    <row r="31" spans="1:192" s="1081" customFormat="1" ht="15" customHeight="1">
      <c r="A31" s="1076" t="s">
        <v>1106</v>
      </c>
      <c r="B31" s="1077" t="s">
        <v>1008</v>
      </c>
      <c r="C31" s="1078">
        <v>0</v>
      </c>
      <c r="D31" s="1078">
        <v>0</v>
      </c>
      <c r="E31" s="1078">
        <v>0</v>
      </c>
      <c r="F31" s="1079">
        <v>0</v>
      </c>
      <c r="G31" s="1076" t="s">
        <v>1106</v>
      </c>
      <c r="H31" s="1077" t="s">
        <v>1008</v>
      </c>
      <c r="I31" s="1203">
        <v>0</v>
      </c>
      <c r="J31" s="1078">
        <v>0</v>
      </c>
      <c r="K31" s="1078">
        <v>0</v>
      </c>
      <c r="L31" s="1079">
        <v>0</v>
      </c>
      <c r="M31" s="1076" t="s">
        <v>1106</v>
      </c>
      <c r="N31" s="1206" t="s">
        <v>1008</v>
      </c>
      <c r="O31" s="1078">
        <v>0</v>
      </c>
      <c r="P31" s="1078">
        <v>0</v>
      </c>
      <c r="Q31" s="1078">
        <v>0</v>
      </c>
      <c r="R31" s="1079">
        <v>0</v>
      </c>
      <c r="S31" s="1076" t="s">
        <v>1106</v>
      </c>
      <c r="T31" s="1077" t="s">
        <v>1008</v>
      </c>
      <c r="U31" s="1203">
        <v>0</v>
      </c>
      <c r="V31" s="1078">
        <v>0</v>
      </c>
      <c r="W31" s="1078">
        <v>0</v>
      </c>
      <c r="X31" s="1079">
        <v>0</v>
      </c>
      <c r="Y31" s="1076" t="s">
        <v>1106</v>
      </c>
      <c r="Z31" s="1077" t="s">
        <v>1008</v>
      </c>
      <c r="AA31" s="1078">
        <v>0</v>
      </c>
      <c r="AB31" s="1078">
        <v>0</v>
      </c>
      <c r="AC31" s="1078">
        <v>0</v>
      </c>
      <c r="AD31" s="1079">
        <v>0</v>
      </c>
      <c r="AE31" s="1240" t="s">
        <v>91</v>
      </c>
      <c r="AF31" s="1077" t="s">
        <v>1008</v>
      </c>
      <c r="AG31" s="1239">
        <v>3.0882352941176468E-6</v>
      </c>
      <c r="AH31" s="1239">
        <v>1.3526470588235293E-5</v>
      </c>
      <c r="AI31" s="1082" t="s">
        <v>1174</v>
      </c>
      <c r="AJ31" s="1079">
        <v>0</v>
      </c>
      <c r="AK31" s="1240" t="s">
        <v>91</v>
      </c>
      <c r="AL31" s="1206" t="s">
        <v>1008</v>
      </c>
      <c r="AM31" s="1239">
        <v>3.0882352941176468E-6</v>
      </c>
      <c r="AN31" s="1239">
        <v>1.3526470588235293E-5</v>
      </c>
      <c r="AO31" s="1082" t="s">
        <v>1174</v>
      </c>
      <c r="AP31" s="1079">
        <v>0</v>
      </c>
      <c r="AQ31" s="1240" t="s">
        <v>91</v>
      </c>
      <c r="AR31" s="1077" t="s">
        <v>1008</v>
      </c>
      <c r="AS31" s="1239">
        <v>3.0882352941176468E-6</v>
      </c>
      <c r="AT31" s="1239">
        <v>1.3526470588235293E-5</v>
      </c>
      <c r="AU31" s="1082" t="s">
        <v>1174</v>
      </c>
      <c r="AV31" s="1079">
        <v>0</v>
      </c>
      <c r="AW31" s="1240" t="s">
        <v>91</v>
      </c>
      <c r="AX31" s="1206" t="s">
        <v>1008</v>
      </c>
      <c r="AY31" s="1239">
        <v>3.0882352941176468E-6</v>
      </c>
      <c r="AZ31" s="1239">
        <v>1.3526470588235293E-5</v>
      </c>
      <c r="BA31" s="1082" t="s">
        <v>1174</v>
      </c>
      <c r="BB31" s="1079">
        <v>0</v>
      </c>
      <c r="BC31" s="1240" t="s">
        <v>91</v>
      </c>
      <c r="BD31" s="1077" t="s">
        <v>1008</v>
      </c>
      <c r="BE31" s="1239">
        <v>3.0882352941176468E-6</v>
      </c>
      <c r="BF31" s="1239">
        <v>1.3526470588235293E-5</v>
      </c>
      <c r="BG31" s="1082" t="s">
        <v>1174</v>
      </c>
      <c r="BH31" s="1079">
        <v>0</v>
      </c>
      <c r="BI31" s="1240" t="s">
        <v>91</v>
      </c>
      <c r="BJ31" s="1077" t="s">
        <v>1008</v>
      </c>
      <c r="BK31" s="1082" t="s">
        <v>1141</v>
      </c>
      <c r="BL31" s="1082" t="s">
        <v>1141</v>
      </c>
      <c r="BM31" s="1239">
        <v>6.7632352941176467E-5</v>
      </c>
      <c r="BN31" s="1079">
        <v>0</v>
      </c>
      <c r="BO31" s="1076" t="s">
        <v>1106</v>
      </c>
      <c r="BP31" s="1077" t="s">
        <v>1008</v>
      </c>
      <c r="BQ31" s="1078">
        <v>0</v>
      </c>
      <c r="BR31" s="1078">
        <v>0</v>
      </c>
      <c r="BS31" s="1078">
        <v>0</v>
      </c>
      <c r="BT31" s="1079">
        <v>0</v>
      </c>
      <c r="BU31" s="1076" t="s">
        <v>1106</v>
      </c>
      <c r="BV31" s="1077" t="s">
        <v>1008</v>
      </c>
      <c r="BW31" s="1078">
        <v>0</v>
      </c>
      <c r="BX31" s="1078">
        <v>0</v>
      </c>
      <c r="BY31" s="1078">
        <v>0</v>
      </c>
      <c r="BZ31" s="1079">
        <v>0</v>
      </c>
      <c r="CA31" s="1076" t="s">
        <v>1106</v>
      </c>
      <c r="CB31" s="1077" t="s">
        <v>1008</v>
      </c>
      <c r="CC31" s="1078">
        <v>0</v>
      </c>
      <c r="CD31" s="1078">
        <v>0</v>
      </c>
      <c r="CE31" s="1078">
        <v>0</v>
      </c>
      <c r="CF31" s="1079">
        <v>0</v>
      </c>
      <c r="CG31" s="1240" t="s">
        <v>91</v>
      </c>
      <c r="CH31" s="1077" t="s">
        <v>1008</v>
      </c>
      <c r="CI31" s="1080">
        <f>'Core Making VOC-HAP'!C228+'Core Making VOC-HAP'!E228+'Core Making VOC-HAP'!G228</f>
        <v>9.4705882352941172E-7</v>
      </c>
      <c r="CJ31" s="1080">
        <f>'Core Making VOC-HAP'!D228+'Core Making VOC-HAP'!F228+'Core Making VOC-HAP'!H228</f>
        <v>4.1481176470588234E-6</v>
      </c>
      <c r="CK31" s="1080">
        <f>'Core Making VOC-HAP'!I228</f>
        <v>4.1481176470588234E-6</v>
      </c>
      <c r="CL31" s="1079">
        <v>0</v>
      </c>
      <c r="CM31" s="1076" t="s">
        <v>1106</v>
      </c>
      <c r="CN31" s="1077" t="s">
        <v>1008</v>
      </c>
      <c r="CO31" s="1078">
        <v>0</v>
      </c>
      <c r="CP31" s="1078">
        <v>0</v>
      </c>
      <c r="CQ31" s="1078">
        <v>0</v>
      </c>
      <c r="CR31" s="1079">
        <v>0</v>
      </c>
      <c r="CS31" s="1076" t="s">
        <v>1106</v>
      </c>
      <c r="CT31" s="1077" t="s">
        <v>1008</v>
      </c>
      <c r="CU31" s="1078">
        <v>0</v>
      </c>
      <c r="CV31" s="1078">
        <v>0</v>
      </c>
      <c r="CW31" s="1078">
        <v>0</v>
      </c>
      <c r="CX31" s="1079">
        <v>0</v>
      </c>
      <c r="CY31" s="1076" t="s">
        <v>1106</v>
      </c>
      <c r="CZ31" s="1077" t="s">
        <v>1008</v>
      </c>
      <c r="DA31" s="1078">
        <v>0</v>
      </c>
      <c r="DB31" s="1078">
        <v>0</v>
      </c>
      <c r="DC31" s="1078">
        <v>0</v>
      </c>
      <c r="DD31" s="1079">
        <v>0</v>
      </c>
      <c r="DE31" s="1076" t="s">
        <v>1106</v>
      </c>
      <c r="DF31" s="1077" t="s">
        <v>1008</v>
      </c>
      <c r="DG31" s="1078">
        <v>0</v>
      </c>
      <c r="DH31" s="1078">
        <v>0</v>
      </c>
      <c r="DI31" s="1078">
        <v>0</v>
      </c>
      <c r="DJ31" s="1079">
        <v>0</v>
      </c>
      <c r="DK31" s="1076" t="s">
        <v>1106</v>
      </c>
      <c r="DL31" s="1077" t="s">
        <v>1008</v>
      </c>
      <c r="DM31" s="1078">
        <v>0</v>
      </c>
      <c r="DN31" s="1078">
        <v>0</v>
      </c>
      <c r="DO31" s="1078">
        <v>0</v>
      </c>
      <c r="DP31" s="1079">
        <v>0</v>
      </c>
      <c r="DQ31" s="1076" t="s">
        <v>1106</v>
      </c>
      <c r="DR31" s="1077" t="s">
        <v>1008</v>
      </c>
      <c r="DS31" s="1078">
        <v>0</v>
      </c>
      <c r="DT31" s="1078">
        <v>0</v>
      </c>
      <c r="DU31" s="1078">
        <v>0</v>
      </c>
      <c r="DV31" s="1079">
        <v>0</v>
      </c>
      <c r="DW31" s="1076" t="s">
        <v>1106</v>
      </c>
      <c r="DX31" s="1077" t="s">
        <v>1008</v>
      </c>
      <c r="DY31" s="1078">
        <v>0</v>
      </c>
      <c r="DZ31" s="1078">
        <v>0</v>
      </c>
      <c r="EA31" s="1078">
        <v>0</v>
      </c>
      <c r="EB31" s="1079">
        <v>0</v>
      </c>
      <c r="EC31" s="1076" t="s">
        <v>1106</v>
      </c>
      <c r="ED31" s="1077" t="s">
        <v>1008</v>
      </c>
      <c r="EE31" s="1078">
        <v>0</v>
      </c>
      <c r="EF31" s="1078">
        <v>0</v>
      </c>
      <c r="EG31" s="1078">
        <v>0</v>
      </c>
      <c r="EH31" s="1079">
        <v>0</v>
      </c>
      <c r="EI31" s="1240" t="s">
        <v>91</v>
      </c>
      <c r="EJ31" s="1077" t="s">
        <v>1008</v>
      </c>
      <c r="EK31" s="1239">
        <v>4.1176470588235291E-6</v>
      </c>
      <c r="EL31" s="1239">
        <v>1.8035294117647056E-5</v>
      </c>
      <c r="EM31" s="1239">
        <v>1.8035294117647056E-5</v>
      </c>
      <c r="EN31" s="1079">
        <v>0</v>
      </c>
      <c r="EO31" s="1240" t="s">
        <v>91</v>
      </c>
      <c r="EP31" s="1206" t="s">
        <v>1008</v>
      </c>
      <c r="EQ31" s="1239">
        <v>7.205882352941175E-7</v>
      </c>
      <c r="ER31" s="1239">
        <v>3.1561764705882347E-6</v>
      </c>
      <c r="ES31" s="1239">
        <v>3.1561764705882347E-6</v>
      </c>
      <c r="ET31" s="1079">
        <v>0</v>
      </c>
      <c r="EU31" s="1076" t="s">
        <v>1106</v>
      </c>
      <c r="EV31" s="1077" t="s">
        <v>1008</v>
      </c>
      <c r="EW31" s="1078">
        <v>0</v>
      </c>
      <c r="EX31" s="1078">
        <v>0</v>
      </c>
      <c r="EY31" s="1078">
        <v>0</v>
      </c>
      <c r="EZ31" s="1079">
        <v>0</v>
      </c>
      <c r="FA31" s="1076" t="s">
        <v>1106</v>
      </c>
      <c r="FB31" s="1077" t="s">
        <v>1008</v>
      </c>
      <c r="FC31" s="1078">
        <v>0</v>
      </c>
      <c r="FD31" s="1078">
        <v>0</v>
      </c>
      <c r="FE31" s="1078">
        <v>0</v>
      </c>
      <c r="FF31" s="1079">
        <v>0</v>
      </c>
      <c r="FG31" s="1076" t="s">
        <v>1106</v>
      </c>
      <c r="FH31" s="1077" t="s">
        <v>1008</v>
      </c>
      <c r="FI31" s="1078">
        <v>0</v>
      </c>
      <c r="FJ31" s="1078">
        <v>0</v>
      </c>
      <c r="FK31" s="1078">
        <v>0</v>
      </c>
      <c r="FL31" s="1079">
        <v>0</v>
      </c>
      <c r="FM31" s="1076" t="s">
        <v>1106</v>
      </c>
      <c r="FN31" s="1077" t="s">
        <v>1008</v>
      </c>
      <c r="FO31" s="1078">
        <v>0</v>
      </c>
      <c r="FP31" s="1078">
        <v>0</v>
      </c>
      <c r="FQ31" s="1078">
        <v>0</v>
      </c>
      <c r="FR31" s="1079">
        <v>0</v>
      </c>
      <c r="FS31" s="1076" t="s">
        <v>1106</v>
      </c>
      <c r="FT31" s="1077" t="s">
        <v>1008</v>
      </c>
      <c r="FU31" s="1078">
        <v>0</v>
      </c>
      <c r="FV31" s="1078">
        <v>0</v>
      </c>
      <c r="FW31" s="1078">
        <v>0</v>
      </c>
      <c r="FX31" s="1079">
        <v>0</v>
      </c>
      <c r="FY31" s="1076" t="s">
        <v>1106</v>
      </c>
      <c r="FZ31" s="1077" t="s">
        <v>1008</v>
      </c>
      <c r="GA31" s="1078">
        <v>0</v>
      </c>
      <c r="GB31" s="1078">
        <v>0</v>
      </c>
      <c r="GC31" s="1078">
        <v>0</v>
      </c>
      <c r="GD31" s="1079">
        <v>0</v>
      </c>
      <c r="GE31" s="1076" t="s">
        <v>1106</v>
      </c>
      <c r="GF31" s="1077" t="s">
        <v>1008</v>
      </c>
      <c r="GG31" s="1261">
        <f>C31+I31+O31+U31+AA31+AG31+AM31+AS31+AY31+BE31+BQ31+BW31+CC31+CI31+CO31+CU31+DA31+DG31+DM31+DS31+DY31+EE31+EK31+EQ31+EW31+FC31+FI31+FO31+FU31+GA31</f>
        <v>2.122647058823529E-5</v>
      </c>
      <c r="GH31" s="1261">
        <f>D31+J31+P31+V31+AB31+AH31+AN31+AT31+AZ31+BF31+BR31+BX31+CD31+CJ31+CP31+CV31+DB31+DH31+DN31+DT31+DZ31+EF31+EL31+ER31+EX31+FD31+FJ31+FP31+FV31+GB31</f>
        <v>9.2971941176470569E-5</v>
      </c>
      <c r="GI31" s="1261">
        <f t="shared" si="9"/>
        <v>9.2971941176470569E-5</v>
      </c>
      <c r="GJ31" s="1199">
        <f t="shared" si="0"/>
        <v>0</v>
      </c>
    </row>
    <row r="32" spans="1:192" s="1081" customFormat="1" ht="15" customHeight="1">
      <c r="A32" s="1076" t="s">
        <v>1107</v>
      </c>
      <c r="B32" s="1077" t="s">
        <v>1108</v>
      </c>
      <c r="C32" s="1078">
        <v>0</v>
      </c>
      <c r="D32" s="1078">
        <v>0</v>
      </c>
      <c r="E32" s="1078">
        <v>0</v>
      </c>
      <c r="F32" s="1079">
        <v>0</v>
      </c>
      <c r="G32" s="1076" t="s">
        <v>1107</v>
      </c>
      <c r="H32" s="1077" t="s">
        <v>1108</v>
      </c>
      <c r="I32" s="1203">
        <v>0</v>
      </c>
      <c r="J32" s="1078">
        <v>0</v>
      </c>
      <c r="K32" s="1078">
        <v>0</v>
      </c>
      <c r="L32" s="1079">
        <v>0</v>
      </c>
      <c r="M32" s="1076" t="s">
        <v>1107</v>
      </c>
      <c r="N32" s="1206" t="s">
        <v>1108</v>
      </c>
      <c r="O32" s="1078">
        <v>0</v>
      </c>
      <c r="P32" s="1078">
        <v>0</v>
      </c>
      <c r="Q32" s="1078">
        <v>0</v>
      </c>
      <c r="R32" s="1079">
        <v>0</v>
      </c>
      <c r="S32" s="1076" t="s">
        <v>1107</v>
      </c>
      <c r="T32" s="1077" t="s">
        <v>1108</v>
      </c>
      <c r="U32" s="1203">
        <v>0</v>
      </c>
      <c r="V32" s="1078">
        <v>0</v>
      </c>
      <c r="W32" s="1078">
        <v>0</v>
      </c>
      <c r="X32" s="1079">
        <v>0</v>
      </c>
      <c r="Y32" s="1076" t="s">
        <v>1107</v>
      </c>
      <c r="Z32" s="1077" t="s">
        <v>1108</v>
      </c>
      <c r="AA32" s="1078">
        <v>0</v>
      </c>
      <c r="AB32" s="1078">
        <v>0</v>
      </c>
      <c r="AC32" s="1078">
        <v>0</v>
      </c>
      <c r="AD32" s="1079">
        <v>0</v>
      </c>
      <c r="AE32" s="1240" t="s">
        <v>92</v>
      </c>
      <c r="AF32" s="1077" t="s">
        <v>1108</v>
      </c>
      <c r="AG32" s="1239">
        <v>1.7647058823529412E-8</v>
      </c>
      <c r="AH32" s="1239">
        <v>7.7294117647058823E-8</v>
      </c>
      <c r="AI32" s="1082" t="s">
        <v>1174</v>
      </c>
      <c r="AJ32" s="1079">
        <v>0</v>
      </c>
      <c r="AK32" s="1240" t="s">
        <v>92</v>
      </c>
      <c r="AL32" s="1206" t="s">
        <v>1108</v>
      </c>
      <c r="AM32" s="1239">
        <v>1.7647058823529412E-8</v>
      </c>
      <c r="AN32" s="1239">
        <v>7.7294117647058823E-8</v>
      </c>
      <c r="AO32" s="1082" t="s">
        <v>1174</v>
      </c>
      <c r="AP32" s="1079">
        <v>0</v>
      </c>
      <c r="AQ32" s="1240" t="s">
        <v>92</v>
      </c>
      <c r="AR32" s="1077" t="s">
        <v>1108</v>
      </c>
      <c r="AS32" s="1239">
        <v>1.7647058823529412E-8</v>
      </c>
      <c r="AT32" s="1239">
        <v>7.7294117647058823E-8</v>
      </c>
      <c r="AU32" s="1082" t="s">
        <v>1174</v>
      </c>
      <c r="AV32" s="1079">
        <v>0</v>
      </c>
      <c r="AW32" s="1240" t="s">
        <v>92</v>
      </c>
      <c r="AX32" s="1206" t="s">
        <v>1108</v>
      </c>
      <c r="AY32" s="1239">
        <v>1.7647058823529412E-8</v>
      </c>
      <c r="AZ32" s="1239">
        <v>7.7294117647058823E-8</v>
      </c>
      <c r="BA32" s="1082" t="s">
        <v>1174</v>
      </c>
      <c r="BB32" s="1079">
        <v>0</v>
      </c>
      <c r="BC32" s="1240" t="s">
        <v>92</v>
      </c>
      <c r="BD32" s="1077" t="s">
        <v>1108</v>
      </c>
      <c r="BE32" s="1239">
        <v>1.7647058823529412E-8</v>
      </c>
      <c r="BF32" s="1239">
        <v>7.7294117647058823E-8</v>
      </c>
      <c r="BG32" s="1082" t="s">
        <v>1174</v>
      </c>
      <c r="BH32" s="1079">
        <v>0</v>
      </c>
      <c r="BI32" s="1240" t="s">
        <v>92</v>
      </c>
      <c r="BJ32" s="1077" t="s">
        <v>1108</v>
      </c>
      <c r="BK32" s="1082" t="s">
        <v>1141</v>
      </c>
      <c r="BL32" s="1082" t="s">
        <v>1141</v>
      </c>
      <c r="BM32" s="1239">
        <v>3.8386470588235299E-5</v>
      </c>
      <c r="BN32" s="1079">
        <v>0</v>
      </c>
      <c r="BO32" s="1076" t="s">
        <v>1107</v>
      </c>
      <c r="BP32" s="1077" t="s">
        <v>1108</v>
      </c>
      <c r="BQ32" s="1078">
        <v>0</v>
      </c>
      <c r="BR32" s="1078">
        <v>0</v>
      </c>
      <c r="BS32" s="1078">
        <v>0</v>
      </c>
      <c r="BT32" s="1079">
        <v>0</v>
      </c>
      <c r="BU32" s="1076" t="s">
        <v>1107</v>
      </c>
      <c r="BV32" s="1077" t="s">
        <v>1108</v>
      </c>
      <c r="BW32" s="1078">
        <v>0</v>
      </c>
      <c r="BX32" s="1078">
        <v>0</v>
      </c>
      <c r="BY32" s="1078">
        <v>0</v>
      </c>
      <c r="BZ32" s="1079">
        <v>0</v>
      </c>
      <c r="CA32" s="1076" t="s">
        <v>1107</v>
      </c>
      <c r="CB32" s="1077" t="s">
        <v>1108</v>
      </c>
      <c r="CC32" s="1078">
        <v>0</v>
      </c>
      <c r="CD32" s="1078">
        <v>0</v>
      </c>
      <c r="CE32" s="1078">
        <v>0</v>
      </c>
      <c r="CF32" s="1079">
        <v>0</v>
      </c>
      <c r="CG32" s="1240" t="s">
        <v>92</v>
      </c>
      <c r="CH32" s="1077" t="s">
        <v>1108</v>
      </c>
      <c r="CI32" s="1080">
        <f>'Core Making VOC-HAP'!C229+'Core Making VOC-HAP'!E229+'Core Making VOC-HAP'!G229</f>
        <v>5.4117647058823528E-9</v>
      </c>
      <c r="CJ32" s="1080">
        <f>'Core Making VOC-HAP'!D229+'Core Making VOC-HAP'!F229+'Core Making VOC-HAP'!H229</f>
        <v>2.3703529411764706E-8</v>
      </c>
      <c r="CK32" s="1080">
        <f>'Core Making VOC-HAP'!I229</f>
        <v>2.3703529411764706E-8</v>
      </c>
      <c r="CL32" s="1079">
        <v>0</v>
      </c>
      <c r="CM32" s="1076" t="s">
        <v>1107</v>
      </c>
      <c r="CN32" s="1077" t="s">
        <v>1108</v>
      </c>
      <c r="CO32" s="1078">
        <v>0</v>
      </c>
      <c r="CP32" s="1078">
        <v>0</v>
      </c>
      <c r="CQ32" s="1078">
        <v>0</v>
      </c>
      <c r="CR32" s="1079">
        <v>0</v>
      </c>
      <c r="CS32" s="1076" t="s">
        <v>1107</v>
      </c>
      <c r="CT32" s="1077" t="s">
        <v>1108</v>
      </c>
      <c r="CU32" s="1078">
        <v>0</v>
      </c>
      <c r="CV32" s="1078">
        <v>0</v>
      </c>
      <c r="CW32" s="1078">
        <v>0</v>
      </c>
      <c r="CX32" s="1079">
        <v>0</v>
      </c>
      <c r="CY32" s="1076" t="s">
        <v>1107</v>
      </c>
      <c r="CZ32" s="1077" t="s">
        <v>1108</v>
      </c>
      <c r="DA32" s="1078">
        <v>0</v>
      </c>
      <c r="DB32" s="1078">
        <v>0</v>
      </c>
      <c r="DC32" s="1078">
        <v>0</v>
      </c>
      <c r="DD32" s="1079">
        <v>0</v>
      </c>
      <c r="DE32" s="1076" t="s">
        <v>1107</v>
      </c>
      <c r="DF32" s="1077" t="s">
        <v>1108</v>
      </c>
      <c r="DG32" s="1078">
        <v>0</v>
      </c>
      <c r="DH32" s="1078">
        <v>0</v>
      </c>
      <c r="DI32" s="1078">
        <v>0</v>
      </c>
      <c r="DJ32" s="1079">
        <v>0</v>
      </c>
      <c r="DK32" s="1076" t="s">
        <v>1107</v>
      </c>
      <c r="DL32" s="1077" t="s">
        <v>1108</v>
      </c>
      <c r="DM32" s="1078">
        <v>0</v>
      </c>
      <c r="DN32" s="1078">
        <v>0</v>
      </c>
      <c r="DO32" s="1078">
        <v>0</v>
      </c>
      <c r="DP32" s="1079">
        <v>0</v>
      </c>
      <c r="DQ32" s="1076" t="s">
        <v>1107</v>
      </c>
      <c r="DR32" s="1077" t="s">
        <v>1108</v>
      </c>
      <c r="DS32" s="1078">
        <v>0</v>
      </c>
      <c r="DT32" s="1078">
        <v>0</v>
      </c>
      <c r="DU32" s="1078">
        <v>0</v>
      </c>
      <c r="DV32" s="1079">
        <v>0</v>
      </c>
      <c r="DW32" s="1076" t="s">
        <v>1107</v>
      </c>
      <c r="DX32" s="1077" t="s">
        <v>1108</v>
      </c>
      <c r="DY32" s="1080">
        <f>'Pouring-Casting-Cooling'!E28</f>
        <v>6.3840000000000001E-4</v>
      </c>
      <c r="DZ32" s="1080">
        <f>'Pouring-Casting-Cooling'!F28</f>
        <v>2.7961919999999999E-3</v>
      </c>
      <c r="EA32" s="1080">
        <f>'Pouring-Casting-Cooling'!G28</f>
        <v>2.52E-4</v>
      </c>
      <c r="EB32" s="1079">
        <v>0</v>
      </c>
      <c r="EC32" s="1076" t="s">
        <v>1107</v>
      </c>
      <c r="ED32" s="1077" t="s">
        <v>1108</v>
      </c>
      <c r="EE32" s="1080">
        <f>'IA-Transfer Ladle'!E36*'IA-Transfer Ladle'!$C$10</f>
        <v>1.8240000000000002E-5</v>
      </c>
      <c r="EF32" s="1080">
        <f>'IA-Transfer Ladle'!F36*'IA-Transfer Ladle'!$C$10</f>
        <v>7.9891200000000012E-5</v>
      </c>
      <c r="EG32" s="1080">
        <f>'IA-Transfer Ladle'!G36</f>
        <v>7.2000000000000005E-6</v>
      </c>
      <c r="EH32" s="1079">
        <v>0</v>
      </c>
      <c r="EI32" s="1240" t="s">
        <v>92</v>
      </c>
      <c r="EJ32" s="1077" t="s">
        <v>1108</v>
      </c>
      <c r="EK32" s="1239">
        <v>2.3529411764705881E-8</v>
      </c>
      <c r="EL32" s="1239">
        <v>1.0305882352941177E-7</v>
      </c>
      <c r="EM32" s="1239">
        <v>1.0305882352941177E-7</v>
      </c>
      <c r="EN32" s="1079">
        <v>0</v>
      </c>
      <c r="EO32" s="1240" t="s">
        <v>92</v>
      </c>
      <c r="EP32" s="1206" t="s">
        <v>1108</v>
      </c>
      <c r="EQ32" s="1239">
        <v>4.117647058823529E-9</v>
      </c>
      <c r="ER32" s="1239">
        <v>1.8035294117647056E-8</v>
      </c>
      <c r="ES32" s="1239">
        <v>1.8035294117647056E-8</v>
      </c>
      <c r="ET32" s="1079">
        <v>0</v>
      </c>
      <c r="EU32" s="1076" t="s">
        <v>1107</v>
      </c>
      <c r="EV32" s="1077" t="s">
        <v>1108</v>
      </c>
      <c r="EW32" s="1080">
        <f>Shotblast!E33</f>
        <v>2.5839999999999999E-3</v>
      </c>
      <c r="EX32" s="1080">
        <f>Shotblast!F33</f>
        <v>1.1317919999999999E-2</v>
      </c>
      <c r="EY32" s="1082" t="s">
        <v>1210</v>
      </c>
      <c r="EZ32" s="1079">
        <v>0</v>
      </c>
      <c r="FA32" s="1076" t="s">
        <v>1107</v>
      </c>
      <c r="FB32" s="1077" t="s">
        <v>1108</v>
      </c>
      <c r="FC32" s="1082">
        <f t="shared" ref="FC32:FC34" si="12">EW32</f>
        <v>2.5839999999999999E-3</v>
      </c>
      <c r="FD32" s="1082">
        <f t="shared" ref="FD32:FD34" si="13">EX32</f>
        <v>1.1317919999999999E-2</v>
      </c>
      <c r="FE32" s="1082" t="s">
        <v>1210</v>
      </c>
      <c r="FF32" s="1079">
        <v>0</v>
      </c>
      <c r="FG32" s="1076" t="s">
        <v>1107</v>
      </c>
      <c r="FH32" s="1077" t="s">
        <v>1108</v>
      </c>
      <c r="FI32" s="1082">
        <f t="shared" ref="FI32:FI34" si="14">EW32</f>
        <v>2.5839999999999999E-3</v>
      </c>
      <c r="FJ32" s="1082">
        <f t="shared" ref="FJ32:FJ34" si="15">EX32</f>
        <v>1.1317919999999999E-2</v>
      </c>
      <c r="FK32" s="1082" t="s">
        <v>1210</v>
      </c>
      <c r="FL32" s="1079">
        <v>0</v>
      </c>
      <c r="FM32" s="1076" t="s">
        <v>1107</v>
      </c>
      <c r="FN32" s="1077" t="s">
        <v>1108</v>
      </c>
      <c r="FO32" s="1082" t="s">
        <v>1141</v>
      </c>
      <c r="FP32" s="1082" t="s">
        <v>1141</v>
      </c>
      <c r="FQ32" s="1080">
        <f>Shotblast!H33</f>
        <v>7.1400000000000001E-5</v>
      </c>
      <c r="FR32" s="1079">
        <v>0</v>
      </c>
      <c r="FS32" s="1076" t="s">
        <v>1107</v>
      </c>
      <c r="FT32" s="1077" t="s">
        <v>1108</v>
      </c>
      <c r="FU32" s="1080">
        <f>'Shakeout, Green Sand'!E34</f>
        <v>1.7454545454545457E-4</v>
      </c>
      <c r="FV32" s="1080">
        <f>'Shakeout, Green Sand'!F34</f>
        <v>7.6450909090909104E-4</v>
      </c>
      <c r="FW32" s="1080">
        <f>'Shakeout, Green Sand'!I34</f>
        <v>9.4080000000000007E-5</v>
      </c>
      <c r="FX32" s="1079">
        <v>0</v>
      </c>
      <c r="FY32" s="1076" t="s">
        <v>1107</v>
      </c>
      <c r="FZ32" s="1077" t="s">
        <v>1108</v>
      </c>
      <c r="GA32" s="1080">
        <f>'Knockout, Silica Sand'!E34</f>
        <v>1.7454545454545457E-4</v>
      </c>
      <c r="GB32" s="1080">
        <f>'Knockout, Silica Sand'!F34</f>
        <v>7.6450909090909104E-4</v>
      </c>
      <c r="GC32" s="1080">
        <f>'Knockout, Silica Sand'!I34</f>
        <v>8.4864000000000006E-5</v>
      </c>
      <c r="GD32" s="1079">
        <v>0</v>
      </c>
      <c r="GE32" s="1076" t="s">
        <v>1107</v>
      </c>
      <c r="GF32" s="1077" t="s">
        <v>1108</v>
      </c>
      <c r="GG32" s="1261">
        <f>C32+I32+O32+U32+AA32+AG32+AM32+AS32+AY32+BE32+BQ32+BW32+CC32+CI32+CO32+CU32+DA32+DG32+DM32+DS32+DY32+EE32+EK32+EQ32+EW32+FC32+FI32+FU32+GA32</f>
        <v>8.7578522032085559E-3</v>
      </c>
      <c r="GH32" s="1261">
        <f>D32+J32+P32+V32+AB32+AH32+AN32+AT32+AZ32+BF32+BR32+BX32+CD32+CJ32+CP32+CV32+DB32+DH32+DN32+DT32+DZ32+EF32+EL32+ER32+EX32+FD32+FJ32+FV32+GB32</f>
        <v>3.8359392650053468E-2</v>
      </c>
      <c r="GI32" s="1261">
        <f>E32+K32+Q32+W32+AC32+BM32+BS32+BY32+CE32+CK32+CQ32+CW32+DC32+DI32+DO32+DU32+EA32+EG32+EM32+ES32+FQ32+FW32</f>
        <v>4.6321126823529416E-4</v>
      </c>
      <c r="GJ32" s="1199">
        <f t="shared" si="0"/>
        <v>0</v>
      </c>
    </row>
    <row r="33" spans="1:192" s="1081" customFormat="1" ht="15" customHeight="1">
      <c r="A33" s="1076" t="s">
        <v>1125</v>
      </c>
      <c r="B33" s="1077" t="s">
        <v>653</v>
      </c>
      <c r="C33" s="1078">
        <v>0</v>
      </c>
      <c r="D33" s="1078">
        <v>0</v>
      </c>
      <c r="E33" s="1078">
        <v>0</v>
      </c>
      <c r="F33" s="1079">
        <v>0</v>
      </c>
      <c r="G33" s="1076" t="s">
        <v>1125</v>
      </c>
      <c r="H33" s="1077" t="s">
        <v>653</v>
      </c>
      <c r="I33" s="1203">
        <v>0</v>
      </c>
      <c r="J33" s="1078">
        <v>0</v>
      </c>
      <c r="K33" s="1078">
        <v>0</v>
      </c>
      <c r="L33" s="1079">
        <v>0</v>
      </c>
      <c r="M33" s="1076" t="s">
        <v>1125</v>
      </c>
      <c r="N33" s="1206" t="s">
        <v>653</v>
      </c>
      <c r="O33" s="1078">
        <v>0</v>
      </c>
      <c r="P33" s="1078">
        <v>0</v>
      </c>
      <c r="Q33" s="1078">
        <v>0</v>
      </c>
      <c r="R33" s="1079">
        <v>0</v>
      </c>
      <c r="S33" s="1076" t="s">
        <v>1125</v>
      </c>
      <c r="T33" s="1077" t="s">
        <v>653</v>
      </c>
      <c r="U33" s="1203">
        <v>0</v>
      </c>
      <c r="V33" s="1078">
        <v>0</v>
      </c>
      <c r="W33" s="1078">
        <v>0</v>
      </c>
      <c r="X33" s="1079">
        <v>0</v>
      </c>
      <c r="Y33" s="1076" t="s">
        <v>1125</v>
      </c>
      <c r="Z33" s="1077" t="s">
        <v>653</v>
      </c>
      <c r="AA33" s="1078">
        <v>0</v>
      </c>
      <c r="AB33" s="1078">
        <v>0</v>
      </c>
      <c r="AC33" s="1078">
        <v>0</v>
      </c>
      <c r="AD33" s="1079">
        <v>0</v>
      </c>
      <c r="AE33" s="1240" t="s">
        <v>93</v>
      </c>
      <c r="AF33" s="1077" t="s">
        <v>653</v>
      </c>
      <c r="AG33" s="1239">
        <v>1.6176470588235295E-6</v>
      </c>
      <c r="AH33" s="1239">
        <v>7.0852941176470598E-6</v>
      </c>
      <c r="AI33" s="1082" t="s">
        <v>1174</v>
      </c>
      <c r="AJ33" s="1079">
        <v>0</v>
      </c>
      <c r="AK33" s="1240" t="s">
        <v>93</v>
      </c>
      <c r="AL33" s="1206" t="s">
        <v>653</v>
      </c>
      <c r="AM33" s="1239">
        <v>1.6176470588235295E-6</v>
      </c>
      <c r="AN33" s="1239">
        <v>7.0852941176470598E-6</v>
      </c>
      <c r="AO33" s="1082" t="s">
        <v>1174</v>
      </c>
      <c r="AP33" s="1079">
        <v>0</v>
      </c>
      <c r="AQ33" s="1240" t="s">
        <v>93</v>
      </c>
      <c r="AR33" s="1077" t="s">
        <v>653</v>
      </c>
      <c r="AS33" s="1239">
        <v>1.6176470588235295E-6</v>
      </c>
      <c r="AT33" s="1239">
        <v>7.0852941176470598E-6</v>
      </c>
      <c r="AU33" s="1082" t="s">
        <v>1174</v>
      </c>
      <c r="AV33" s="1079">
        <v>0</v>
      </c>
      <c r="AW33" s="1240" t="s">
        <v>93</v>
      </c>
      <c r="AX33" s="1206" t="s">
        <v>653</v>
      </c>
      <c r="AY33" s="1239">
        <v>1.6176470588235295E-6</v>
      </c>
      <c r="AZ33" s="1239">
        <v>7.0852941176470598E-6</v>
      </c>
      <c r="BA33" s="1082" t="s">
        <v>1174</v>
      </c>
      <c r="BB33" s="1079">
        <v>0</v>
      </c>
      <c r="BC33" s="1240" t="s">
        <v>93</v>
      </c>
      <c r="BD33" s="1077" t="s">
        <v>653</v>
      </c>
      <c r="BE33" s="1239">
        <v>1.6176470588235295E-6</v>
      </c>
      <c r="BF33" s="1239">
        <v>7.0852941176470598E-6</v>
      </c>
      <c r="BG33" s="1082" t="s">
        <v>1174</v>
      </c>
      <c r="BH33" s="1079">
        <v>0</v>
      </c>
      <c r="BI33" s="1240" t="s">
        <v>93</v>
      </c>
      <c r="BJ33" s="1077" t="s">
        <v>653</v>
      </c>
      <c r="BK33" s="1082" t="s">
        <v>1141</v>
      </c>
      <c r="BL33" s="1082" t="s">
        <v>1141</v>
      </c>
      <c r="BM33" s="1239">
        <v>4.4926470588235294E-5</v>
      </c>
      <c r="BN33" s="1079">
        <v>0</v>
      </c>
      <c r="BO33" s="1076" t="s">
        <v>1125</v>
      </c>
      <c r="BP33" s="1077" t="s">
        <v>653</v>
      </c>
      <c r="BQ33" s="1078">
        <v>0</v>
      </c>
      <c r="BR33" s="1078">
        <v>0</v>
      </c>
      <c r="BS33" s="1078">
        <v>0</v>
      </c>
      <c r="BT33" s="1079">
        <v>0</v>
      </c>
      <c r="BU33" s="1076" t="s">
        <v>1125</v>
      </c>
      <c r="BV33" s="1077" t="s">
        <v>653</v>
      </c>
      <c r="BW33" s="1078">
        <v>0</v>
      </c>
      <c r="BX33" s="1078">
        <v>0</v>
      </c>
      <c r="BY33" s="1078">
        <v>0</v>
      </c>
      <c r="BZ33" s="1079">
        <v>0</v>
      </c>
      <c r="CA33" s="1076" t="s">
        <v>1125</v>
      </c>
      <c r="CB33" s="1077" t="s">
        <v>653</v>
      </c>
      <c r="CC33" s="1078">
        <v>0</v>
      </c>
      <c r="CD33" s="1078">
        <v>0</v>
      </c>
      <c r="CE33" s="1078">
        <v>0</v>
      </c>
      <c r="CF33" s="1079">
        <v>0</v>
      </c>
      <c r="CG33" s="1240" t="s">
        <v>93</v>
      </c>
      <c r="CH33" s="1077" t="s">
        <v>653</v>
      </c>
      <c r="CI33" s="1080">
        <f>'Core Making VOC-HAP'!C230+'Core Making VOC-HAP'!E230+'Core Making VOC-HAP'!G230</f>
        <v>4.9607843137254902E-7</v>
      </c>
      <c r="CJ33" s="1080">
        <f>'Core Making VOC-HAP'!D230+'Core Making VOC-HAP'!F230+'Core Making VOC-HAP'!H230</f>
        <v>2.172823529411765E-6</v>
      </c>
      <c r="CK33" s="1080">
        <f>'Core Making VOC-HAP'!I230</f>
        <v>2.172823529411765E-6</v>
      </c>
      <c r="CL33" s="1079">
        <v>0</v>
      </c>
      <c r="CM33" s="1076" t="s">
        <v>1125</v>
      </c>
      <c r="CN33" s="1077" t="s">
        <v>653</v>
      </c>
      <c r="CO33" s="1078">
        <v>0</v>
      </c>
      <c r="CP33" s="1078">
        <v>0</v>
      </c>
      <c r="CQ33" s="1078">
        <v>0</v>
      </c>
      <c r="CR33" s="1079">
        <v>0</v>
      </c>
      <c r="CS33" s="1076" t="s">
        <v>1125</v>
      </c>
      <c r="CT33" s="1077" t="s">
        <v>653</v>
      </c>
      <c r="CU33" s="1078">
        <v>0</v>
      </c>
      <c r="CV33" s="1078">
        <v>0</v>
      </c>
      <c r="CW33" s="1078">
        <v>0</v>
      </c>
      <c r="CX33" s="1079">
        <v>0</v>
      </c>
      <c r="CY33" s="1076" t="s">
        <v>1125</v>
      </c>
      <c r="CZ33" s="1077" t="s">
        <v>653</v>
      </c>
      <c r="DA33" s="1078">
        <v>0</v>
      </c>
      <c r="DB33" s="1078">
        <v>0</v>
      </c>
      <c r="DC33" s="1078">
        <v>0</v>
      </c>
      <c r="DD33" s="1079">
        <v>0</v>
      </c>
      <c r="DE33" s="1076" t="s">
        <v>1125</v>
      </c>
      <c r="DF33" s="1077" t="s">
        <v>653</v>
      </c>
      <c r="DG33" s="1078">
        <v>0</v>
      </c>
      <c r="DH33" s="1078">
        <v>0</v>
      </c>
      <c r="DI33" s="1078">
        <v>0</v>
      </c>
      <c r="DJ33" s="1079">
        <v>0</v>
      </c>
      <c r="DK33" s="1076" t="s">
        <v>1125</v>
      </c>
      <c r="DL33" s="1077" t="s">
        <v>653</v>
      </c>
      <c r="DM33" s="1078">
        <v>0</v>
      </c>
      <c r="DN33" s="1078">
        <v>0</v>
      </c>
      <c r="DO33" s="1078">
        <v>0</v>
      </c>
      <c r="DP33" s="1079">
        <v>0</v>
      </c>
      <c r="DQ33" s="1076" t="s">
        <v>1125</v>
      </c>
      <c r="DR33" s="1077" t="s">
        <v>653</v>
      </c>
      <c r="DS33" s="1078">
        <v>0</v>
      </c>
      <c r="DT33" s="1078">
        <v>0</v>
      </c>
      <c r="DU33" s="1078">
        <v>0</v>
      </c>
      <c r="DV33" s="1079">
        <v>0</v>
      </c>
      <c r="DW33" s="1076" t="s">
        <v>1125</v>
      </c>
      <c r="DX33" s="1077" t="s">
        <v>653</v>
      </c>
      <c r="DY33" s="1080">
        <f>'Pouring-Casting-Cooling'!E29</f>
        <v>1.596E-4</v>
      </c>
      <c r="DZ33" s="1080">
        <f>'Pouring-Casting-Cooling'!F29</f>
        <v>6.9904799999999997E-4</v>
      </c>
      <c r="EA33" s="1080">
        <f>'Pouring-Casting-Cooling'!G29</f>
        <v>6.3E-5</v>
      </c>
      <c r="EB33" s="1079">
        <v>0</v>
      </c>
      <c r="EC33" s="1076" t="s">
        <v>1125</v>
      </c>
      <c r="ED33" s="1077" t="s">
        <v>653</v>
      </c>
      <c r="EE33" s="1080">
        <f>'IA-Transfer Ladle'!E37*'IA-Transfer Ladle'!$C$10</f>
        <v>4.5600000000000004E-6</v>
      </c>
      <c r="EF33" s="1080">
        <f>'IA-Transfer Ladle'!F37*'IA-Transfer Ladle'!$C$10</f>
        <v>1.9972800000000003E-5</v>
      </c>
      <c r="EG33" s="1080">
        <f>'IA-Transfer Ladle'!G37</f>
        <v>1.8000000000000001E-6</v>
      </c>
      <c r="EH33" s="1079">
        <v>0</v>
      </c>
      <c r="EI33" s="1240" t="s">
        <v>93</v>
      </c>
      <c r="EJ33" s="1077" t="s">
        <v>653</v>
      </c>
      <c r="EK33" s="1239">
        <v>2.1568627450980393E-6</v>
      </c>
      <c r="EL33" s="1239">
        <v>9.4470588235294125E-6</v>
      </c>
      <c r="EM33" s="1239">
        <v>9.4470588235294125E-6</v>
      </c>
      <c r="EN33" s="1079">
        <v>0</v>
      </c>
      <c r="EO33" s="1240" t="s">
        <v>93</v>
      </c>
      <c r="EP33" s="1206" t="s">
        <v>653</v>
      </c>
      <c r="EQ33" s="1239">
        <v>3.7745098039215682E-7</v>
      </c>
      <c r="ER33" s="1239">
        <v>1.6532352941176468E-6</v>
      </c>
      <c r="ES33" s="1239">
        <v>1.6532352941176468E-6</v>
      </c>
      <c r="ET33" s="1079">
        <v>0</v>
      </c>
      <c r="EU33" s="1076" t="s">
        <v>1125</v>
      </c>
      <c r="EV33" s="1077" t="s">
        <v>653</v>
      </c>
      <c r="EW33" s="1080">
        <f>Shotblast!E34</f>
        <v>6.4599999999999998E-4</v>
      </c>
      <c r="EX33" s="1080">
        <f>Shotblast!F34</f>
        <v>2.8294799999999997E-3</v>
      </c>
      <c r="EY33" s="1082" t="s">
        <v>1210</v>
      </c>
      <c r="EZ33" s="1079">
        <v>0</v>
      </c>
      <c r="FA33" s="1076" t="s">
        <v>1125</v>
      </c>
      <c r="FB33" s="1077" t="s">
        <v>653</v>
      </c>
      <c r="FC33" s="1082">
        <f t="shared" si="12"/>
        <v>6.4599999999999998E-4</v>
      </c>
      <c r="FD33" s="1082">
        <f t="shared" si="13"/>
        <v>2.8294799999999997E-3</v>
      </c>
      <c r="FE33" s="1082" t="s">
        <v>1210</v>
      </c>
      <c r="FF33" s="1079">
        <v>0</v>
      </c>
      <c r="FG33" s="1076" t="s">
        <v>1125</v>
      </c>
      <c r="FH33" s="1077" t="s">
        <v>653</v>
      </c>
      <c r="FI33" s="1082">
        <f t="shared" si="14"/>
        <v>6.4599999999999998E-4</v>
      </c>
      <c r="FJ33" s="1082">
        <f t="shared" si="15"/>
        <v>2.8294799999999997E-3</v>
      </c>
      <c r="FK33" s="1082" t="s">
        <v>1210</v>
      </c>
      <c r="FL33" s="1079">
        <v>0</v>
      </c>
      <c r="FM33" s="1076" t="s">
        <v>1125</v>
      </c>
      <c r="FN33" s="1077" t="s">
        <v>653</v>
      </c>
      <c r="FO33" s="1082" t="s">
        <v>1141</v>
      </c>
      <c r="FP33" s="1082" t="s">
        <v>1141</v>
      </c>
      <c r="FQ33" s="1080">
        <f>Shotblast!H34</f>
        <v>1.785E-5</v>
      </c>
      <c r="FR33" s="1079">
        <v>0</v>
      </c>
      <c r="FS33" s="1076" t="s">
        <v>1125</v>
      </c>
      <c r="FT33" s="1077" t="s">
        <v>653</v>
      </c>
      <c r="FU33" s="1080">
        <f>'Shakeout, Green Sand'!E35</f>
        <v>4.3636363636363642E-5</v>
      </c>
      <c r="FV33" s="1080">
        <f>'Shakeout, Green Sand'!F35</f>
        <v>1.9112727272727276E-4</v>
      </c>
      <c r="FW33" s="1080">
        <f>'Shakeout, Green Sand'!I35</f>
        <v>2.3520000000000002E-5</v>
      </c>
      <c r="FX33" s="1079">
        <v>0</v>
      </c>
      <c r="FY33" s="1076" t="s">
        <v>1125</v>
      </c>
      <c r="FZ33" s="1077" t="s">
        <v>653</v>
      </c>
      <c r="GA33" s="1080">
        <f>'Knockout, Silica Sand'!E35</f>
        <v>4.3636363636363642E-5</v>
      </c>
      <c r="GB33" s="1080">
        <f>'Knockout, Silica Sand'!F35</f>
        <v>1.9112727272727276E-4</v>
      </c>
      <c r="GC33" s="1080">
        <f>'Knockout, Silica Sand'!I35</f>
        <v>2.1216000000000002E-5</v>
      </c>
      <c r="GD33" s="1079">
        <v>0</v>
      </c>
      <c r="GE33" s="1076" t="s">
        <v>1125</v>
      </c>
      <c r="GF33" s="1077" t="s">
        <v>653</v>
      </c>
      <c r="GG33" s="1261">
        <f t="shared" ref="GG33:GG34" si="16">C33+I33+O33+U33+AA33+AG33+AM33+AS33+AY33+BE33+BQ33+BW33+CC33+CI33+CO33+CU33+DA33+DG33+DM33+DS33+DY33+EE33+EK33+EQ33+EW33+FC33+FI33+FU33+GA33</f>
        <v>2.2005513547237077E-3</v>
      </c>
      <c r="GH33" s="1261">
        <f t="shared" ref="GH33:GH34" si="17">D33+J33+P33+V33+AB33+AH33+AN33+AT33+AZ33+BF33+BR33+BX33+CD33+CJ33+CP33+CV33+DB33+DH33+DN33+DT33+DZ33+EF33+EL33+ER33+EX33+FD33+FJ33+FV33+GB33</f>
        <v>9.6384149336898386E-3</v>
      </c>
      <c r="GI33" s="1261">
        <f>E33+K33+Q33+W33+AC33+BM33+BS33+BY33+CE33+CK33+CQ33+CW33+DC33+DI33+DO33+DU33+EA33+EG33+EM33+ES33+FQ33+FW33</f>
        <v>1.6436958823529412E-4</v>
      </c>
      <c r="GJ33" s="1199">
        <f t="shared" si="0"/>
        <v>0</v>
      </c>
    </row>
    <row r="34" spans="1:192" s="1081" customFormat="1" ht="15" customHeight="1">
      <c r="A34" s="1076" t="s">
        <v>267</v>
      </c>
      <c r="B34" s="1077" t="s">
        <v>1109</v>
      </c>
      <c r="C34" s="1078">
        <v>0</v>
      </c>
      <c r="D34" s="1078">
        <v>0</v>
      </c>
      <c r="E34" s="1078">
        <v>0</v>
      </c>
      <c r="F34" s="1079">
        <v>0</v>
      </c>
      <c r="G34" s="1076" t="s">
        <v>267</v>
      </c>
      <c r="H34" s="1077" t="s">
        <v>1109</v>
      </c>
      <c r="I34" s="1203">
        <v>0</v>
      </c>
      <c r="J34" s="1078">
        <v>0</v>
      </c>
      <c r="K34" s="1078">
        <v>0</v>
      </c>
      <c r="L34" s="1079">
        <v>0</v>
      </c>
      <c r="M34" s="1076" t="s">
        <v>267</v>
      </c>
      <c r="N34" s="1206" t="s">
        <v>1109</v>
      </c>
      <c r="O34" s="1078">
        <v>0</v>
      </c>
      <c r="P34" s="1078">
        <v>0</v>
      </c>
      <c r="Q34" s="1078">
        <v>0</v>
      </c>
      <c r="R34" s="1079">
        <v>0</v>
      </c>
      <c r="S34" s="1076" t="s">
        <v>267</v>
      </c>
      <c r="T34" s="1077" t="s">
        <v>1109</v>
      </c>
      <c r="U34" s="1203">
        <v>0</v>
      </c>
      <c r="V34" s="1078">
        <v>0</v>
      </c>
      <c r="W34" s="1078">
        <v>0</v>
      </c>
      <c r="X34" s="1079">
        <v>0</v>
      </c>
      <c r="Y34" s="1076" t="s">
        <v>267</v>
      </c>
      <c r="Z34" s="1077" t="s">
        <v>1109</v>
      </c>
      <c r="AA34" s="1078">
        <v>0</v>
      </c>
      <c r="AB34" s="1078">
        <v>0</v>
      </c>
      <c r="AC34" s="1078">
        <v>0</v>
      </c>
      <c r="AD34" s="1079">
        <v>0</v>
      </c>
      <c r="AE34" s="1240" t="s">
        <v>94</v>
      </c>
      <c r="AF34" s="1077" t="s">
        <v>1109</v>
      </c>
      <c r="AG34" s="1239">
        <v>2.0588235294117645E-6</v>
      </c>
      <c r="AH34" s="1239">
        <v>9.0176470588235279E-6</v>
      </c>
      <c r="AI34" s="1082" t="s">
        <v>1174</v>
      </c>
      <c r="AJ34" s="1079">
        <v>0</v>
      </c>
      <c r="AK34" s="1240" t="s">
        <v>94</v>
      </c>
      <c r="AL34" s="1206" t="s">
        <v>1109</v>
      </c>
      <c r="AM34" s="1239">
        <v>2.0588235294117645E-6</v>
      </c>
      <c r="AN34" s="1239">
        <v>9.0176470588235279E-6</v>
      </c>
      <c r="AO34" s="1082" t="s">
        <v>1174</v>
      </c>
      <c r="AP34" s="1079">
        <v>0</v>
      </c>
      <c r="AQ34" s="1240" t="s">
        <v>94</v>
      </c>
      <c r="AR34" s="1077" t="s">
        <v>1109</v>
      </c>
      <c r="AS34" s="1239">
        <v>2.0588235294117645E-6</v>
      </c>
      <c r="AT34" s="1239">
        <v>9.0176470588235279E-6</v>
      </c>
      <c r="AU34" s="1082" t="s">
        <v>1174</v>
      </c>
      <c r="AV34" s="1079">
        <v>0</v>
      </c>
      <c r="AW34" s="1240" t="s">
        <v>94</v>
      </c>
      <c r="AX34" s="1206" t="s">
        <v>1109</v>
      </c>
      <c r="AY34" s="1239">
        <v>2.0588235294117645E-6</v>
      </c>
      <c r="AZ34" s="1239">
        <v>9.0176470588235279E-6</v>
      </c>
      <c r="BA34" s="1082" t="s">
        <v>1174</v>
      </c>
      <c r="BB34" s="1079">
        <v>0</v>
      </c>
      <c r="BC34" s="1240" t="s">
        <v>94</v>
      </c>
      <c r="BD34" s="1077" t="s">
        <v>1109</v>
      </c>
      <c r="BE34" s="1239">
        <v>2.0588235294117645E-6</v>
      </c>
      <c r="BF34" s="1239">
        <v>9.0176470588235279E-6</v>
      </c>
      <c r="BG34" s="1082" t="s">
        <v>1174</v>
      </c>
      <c r="BH34" s="1079">
        <v>0</v>
      </c>
      <c r="BI34" s="1240" t="s">
        <v>94</v>
      </c>
      <c r="BJ34" s="1077" t="s">
        <v>1109</v>
      </c>
      <c r="BK34" s="1082" t="s">
        <v>1141</v>
      </c>
      <c r="BL34" s="1082" t="s">
        <v>1141</v>
      </c>
      <c r="BM34" s="1239">
        <v>9.9508823529411762E-4</v>
      </c>
      <c r="BN34" s="1079">
        <v>0</v>
      </c>
      <c r="BO34" s="1076" t="s">
        <v>267</v>
      </c>
      <c r="BP34" s="1077" t="s">
        <v>1109</v>
      </c>
      <c r="BQ34" s="1078">
        <v>0</v>
      </c>
      <c r="BR34" s="1078">
        <v>0</v>
      </c>
      <c r="BS34" s="1078">
        <v>0</v>
      </c>
      <c r="BT34" s="1079">
        <v>0</v>
      </c>
      <c r="BU34" s="1076" t="s">
        <v>267</v>
      </c>
      <c r="BV34" s="1077" t="s">
        <v>1109</v>
      </c>
      <c r="BW34" s="1078">
        <v>0</v>
      </c>
      <c r="BX34" s="1078">
        <v>0</v>
      </c>
      <c r="BY34" s="1078">
        <v>0</v>
      </c>
      <c r="BZ34" s="1079">
        <v>0</v>
      </c>
      <c r="CA34" s="1076" t="s">
        <v>267</v>
      </c>
      <c r="CB34" s="1077" t="s">
        <v>1109</v>
      </c>
      <c r="CC34" s="1078">
        <v>0</v>
      </c>
      <c r="CD34" s="1078">
        <v>0</v>
      </c>
      <c r="CE34" s="1078">
        <v>0</v>
      </c>
      <c r="CF34" s="1079">
        <v>0</v>
      </c>
      <c r="CG34" s="1240" t="s">
        <v>94</v>
      </c>
      <c r="CH34" s="1077" t="s">
        <v>1109</v>
      </c>
      <c r="CI34" s="1080">
        <f>'Core Making VOC-HAP'!C231+'Core Making VOC-HAP'!E231+'Core Making VOC-HAP'!G231</f>
        <v>6.3137254901960781E-7</v>
      </c>
      <c r="CJ34" s="1080">
        <f>'Core Making VOC-HAP'!D231+'Core Making VOC-HAP'!F231+'Core Making VOC-HAP'!H231</f>
        <v>2.7654117647058822E-6</v>
      </c>
      <c r="CK34" s="1080">
        <f>'Core Making VOC-HAP'!I231</f>
        <v>2.7654117647058822E-6</v>
      </c>
      <c r="CL34" s="1079">
        <v>0</v>
      </c>
      <c r="CM34" s="1076" t="s">
        <v>267</v>
      </c>
      <c r="CN34" s="1077" t="s">
        <v>1109</v>
      </c>
      <c r="CO34" s="1078">
        <v>0</v>
      </c>
      <c r="CP34" s="1078">
        <v>0</v>
      </c>
      <c r="CQ34" s="1078">
        <v>0</v>
      </c>
      <c r="CR34" s="1079">
        <v>0</v>
      </c>
      <c r="CS34" s="1076" t="s">
        <v>267</v>
      </c>
      <c r="CT34" s="1077" t="s">
        <v>1109</v>
      </c>
      <c r="CU34" s="1078">
        <v>0</v>
      </c>
      <c r="CV34" s="1078">
        <v>0</v>
      </c>
      <c r="CW34" s="1078">
        <v>0</v>
      </c>
      <c r="CX34" s="1079">
        <v>0</v>
      </c>
      <c r="CY34" s="1076" t="s">
        <v>267</v>
      </c>
      <c r="CZ34" s="1077" t="s">
        <v>1109</v>
      </c>
      <c r="DA34" s="1078">
        <v>0</v>
      </c>
      <c r="DB34" s="1078">
        <v>0</v>
      </c>
      <c r="DC34" s="1078">
        <v>0</v>
      </c>
      <c r="DD34" s="1079">
        <v>0</v>
      </c>
      <c r="DE34" s="1076" t="s">
        <v>267</v>
      </c>
      <c r="DF34" s="1077" t="s">
        <v>1109</v>
      </c>
      <c r="DG34" s="1078">
        <v>0</v>
      </c>
      <c r="DH34" s="1078">
        <v>0</v>
      </c>
      <c r="DI34" s="1078">
        <v>0</v>
      </c>
      <c r="DJ34" s="1079">
        <v>0</v>
      </c>
      <c r="DK34" s="1076" t="s">
        <v>267</v>
      </c>
      <c r="DL34" s="1077" t="s">
        <v>1109</v>
      </c>
      <c r="DM34" s="1078">
        <v>0</v>
      </c>
      <c r="DN34" s="1078">
        <v>0</v>
      </c>
      <c r="DO34" s="1078">
        <v>0</v>
      </c>
      <c r="DP34" s="1079">
        <v>0</v>
      </c>
      <c r="DQ34" s="1076" t="s">
        <v>267</v>
      </c>
      <c r="DR34" s="1077" t="s">
        <v>1109</v>
      </c>
      <c r="DS34" s="1078">
        <v>0</v>
      </c>
      <c r="DT34" s="1078">
        <v>0</v>
      </c>
      <c r="DU34" s="1078">
        <v>0</v>
      </c>
      <c r="DV34" s="1079">
        <v>0</v>
      </c>
      <c r="DW34" s="1076" t="s">
        <v>267</v>
      </c>
      <c r="DX34" s="1077" t="s">
        <v>1109</v>
      </c>
      <c r="DY34" s="1080">
        <f>'Pouring-Casting-Cooling'!E30</f>
        <v>1.5960000000000002E-2</v>
      </c>
      <c r="DZ34" s="1080">
        <f>'Pouring-Casting-Cooling'!F30</f>
        <v>6.9904800000000003E-2</v>
      </c>
      <c r="EA34" s="1080">
        <f>'Pouring-Casting-Cooling'!G30</f>
        <v>6.3000000000000009E-3</v>
      </c>
      <c r="EB34" s="1079">
        <v>0</v>
      </c>
      <c r="EC34" s="1076" t="s">
        <v>267</v>
      </c>
      <c r="ED34" s="1077" t="s">
        <v>1109</v>
      </c>
      <c r="EE34" s="1080">
        <f>'IA-Transfer Ladle'!E38*'IA-Transfer Ladle'!$C$10</f>
        <v>4.5599999999999997E-4</v>
      </c>
      <c r="EF34" s="1080">
        <f>'IA-Transfer Ladle'!F38*'IA-Transfer Ladle'!$C$10</f>
        <v>1.9972800000000001E-3</v>
      </c>
      <c r="EG34" s="1080">
        <f>'IA-Transfer Ladle'!G38</f>
        <v>1.7999999999999998E-4</v>
      </c>
      <c r="EH34" s="1079">
        <v>0</v>
      </c>
      <c r="EI34" s="1240" t="s">
        <v>94</v>
      </c>
      <c r="EJ34" s="1077" t="s">
        <v>1109</v>
      </c>
      <c r="EK34" s="1239">
        <v>2.7450980392156863E-6</v>
      </c>
      <c r="EL34" s="1239">
        <v>1.2023529411764705E-5</v>
      </c>
      <c r="EM34" s="1239">
        <v>1.2023529411764705E-5</v>
      </c>
      <c r="EN34" s="1079">
        <v>0</v>
      </c>
      <c r="EO34" s="1240" t="s">
        <v>94</v>
      </c>
      <c r="EP34" s="1206" t="s">
        <v>1109</v>
      </c>
      <c r="EQ34" s="1239">
        <v>4.80392156862745E-7</v>
      </c>
      <c r="ER34" s="1239">
        <v>2.1041176470588231E-6</v>
      </c>
      <c r="ES34" s="1239">
        <v>2.1041176470588231E-6</v>
      </c>
      <c r="ET34" s="1079">
        <v>0</v>
      </c>
      <c r="EU34" s="1076" t="s">
        <v>267</v>
      </c>
      <c r="EV34" s="1077" t="s">
        <v>1109</v>
      </c>
      <c r="EW34" s="1080">
        <f>Shotblast!E35</f>
        <v>6.4600000000000005E-2</v>
      </c>
      <c r="EX34" s="1080">
        <f>Shotblast!F35</f>
        <v>0.28294800000000003</v>
      </c>
      <c r="EY34" s="1082" t="s">
        <v>1210</v>
      </c>
      <c r="EZ34" s="1079">
        <v>0</v>
      </c>
      <c r="FA34" s="1076" t="s">
        <v>267</v>
      </c>
      <c r="FB34" s="1077" t="s">
        <v>1109</v>
      </c>
      <c r="FC34" s="1082">
        <f t="shared" si="12"/>
        <v>6.4600000000000005E-2</v>
      </c>
      <c r="FD34" s="1082">
        <f t="shared" si="13"/>
        <v>0.28294800000000003</v>
      </c>
      <c r="FE34" s="1082" t="s">
        <v>1210</v>
      </c>
      <c r="FF34" s="1079">
        <v>0</v>
      </c>
      <c r="FG34" s="1076" t="s">
        <v>267</v>
      </c>
      <c r="FH34" s="1077" t="s">
        <v>1109</v>
      </c>
      <c r="FI34" s="1082">
        <f t="shared" si="14"/>
        <v>6.4600000000000005E-2</v>
      </c>
      <c r="FJ34" s="1082">
        <f t="shared" si="15"/>
        <v>0.28294800000000003</v>
      </c>
      <c r="FK34" s="1082" t="s">
        <v>1210</v>
      </c>
      <c r="FL34" s="1079">
        <v>0</v>
      </c>
      <c r="FM34" s="1076" t="s">
        <v>267</v>
      </c>
      <c r="FN34" s="1077" t="s">
        <v>1109</v>
      </c>
      <c r="FO34" s="1082" t="s">
        <v>1141</v>
      </c>
      <c r="FP34" s="1082" t="s">
        <v>1141</v>
      </c>
      <c r="FQ34" s="1080">
        <f>Shotblast!H35</f>
        <v>1.7850000000000003E-3</v>
      </c>
      <c r="FR34" s="1079">
        <v>0</v>
      </c>
      <c r="FS34" s="1076" t="s">
        <v>267</v>
      </c>
      <c r="FT34" s="1077" t="s">
        <v>1109</v>
      </c>
      <c r="FU34" s="1080">
        <f>'Shakeout, Green Sand'!E36</f>
        <v>4.3636363636363638E-3</v>
      </c>
      <c r="FV34" s="1080">
        <f>'Shakeout, Green Sand'!F36</f>
        <v>1.9112727272727274E-2</v>
      </c>
      <c r="FW34" s="1080">
        <f>'Shakeout, Green Sand'!I36</f>
        <v>2.3519999999999999E-3</v>
      </c>
      <c r="FX34" s="1079">
        <v>0</v>
      </c>
      <c r="FY34" s="1076" t="s">
        <v>267</v>
      </c>
      <c r="FZ34" s="1077" t="s">
        <v>1109</v>
      </c>
      <c r="GA34" s="1080">
        <f>'Knockout, Silica Sand'!E36</f>
        <v>4.3636363636363638E-3</v>
      </c>
      <c r="GB34" s="1080">
        <f>'Knockout, Silica Sand'!F36</f>
        <v>1.9112727272727274E-2</v>
      </c>
      <c r="GC34" s="1080">
        <f>'Knockout, Silica Sand'!I36</f>
        <v>2.1215999999999995E-3</v>
      </c>
      <c r="GD34" s="1079">
        <v>0</v>
      </c>
      <c r="GE34" s="1076" t="s">
        <v>267</v>
      </c>
      <c r="GF34" s="1077" t="s">
        <v>1109</v>
      </c>
      <c r="GG34" s="1261">
        <f t="shared" si="16"/>
        <v>0.21895742370766491</v>
      </c>
      <c r="GH34" s="1261">
        <f t="shared" si="17"/>
        <v>0.95903351583957219</v>
      </c>
      <c r="GI34" s="1261">
        <f>E34+K34+Q34+W34+AC34+BM34+BS34+BY34+CE34+CK34+CQ34+CW34+DC34+DI34+DO34+DU34+EA34+EG34+EM34+ES34+FQ34+FW34</f>
        <v>1.1628981294117649E-2</v>
      </c>
      <c r="GJ34" s="1199">
        <f t="shared" si="0"/>
        <v>0</v>
      </c>
    </row>
    <row r="35" spans="1:192" s="1081" customFormat="1" ht="15" customHeight="1">
      <c r="A35" s="1076" t="s">
        <v>1126</v>
      </c>
      <c r="B35" s="1077" t="s">
        <v>1110</v>
      </c>
      <c r="C35" s="1078">
        <v>0</v>
      </c>
      <c r="D35" s="1078">
        <v>0</v>
      </c>
      <c r="E35" s="1078">
        <v>0</v>
      </c>
      <c r="F35" s="1079">
        <v>0</v>
      </c>
      <c r="G35" s="1076" t="s">
        <v>1126</v>
      </c>
      <c r="H35" s="1077" t="s">
        <v>1110</v>
      </c>
      <c r="I35" s="1203">
        <v>0</v>
      </c>
      <c r="J35" s="1078">
        <v>0</v>
      </c>
      <c r="K35" s="1078">
        <v>0</v>
      </c>
      <c r="L35" s="1079">
        <v>0</v>
      </c>
      <c r="M35" s="1076" t="s">
        <v>1126</v>
      </c>
      <c r="N35" s="1206" t="s">
        <v>1110</v>
      </c>
      <c r="O35" s="1078">
        <v>0</v>
      </c>
      <c r="P35" s="1078">
        <v>0</v>
      </c>
      <c r="Q35" s="1078">
        <v>0</v>
      </c>
      <c r="R35" s="1079">
        <v>0</v>
      </c>
      <c r="S35" s="1076" t="s">
        <v>1126</v>
      </c>
      <c r="T35" s="1077" t="s">
        <v>1110</v>
      </c>
      <c r="U35" s="1203">
        <v>0</v>
      </c>
      <c r="V35" s="1078">
        <v>0</v>
      </c>
      <c r="W35" s="1078">
        <v>0</v>
      </c>
      <c r="X35" s="1079">
        <v>0</v>
      </c>
      <c r="Y35" s="1076" t="s">
        <v>1126</v>
      </c>
      <c r="Z35" s="1077" t="s">
        <v>1110</v>
      </c>
      <c r="AA35" s="1078">
        <v>0</v>
      </c>
      <c r="AB35" s="1078">
        <v>0</v>
      </c>
      <c r="AC35" s="1078">
        <v>0</v>
      </c>
      <c r="AD35" s="1079">
        <v>0</v>
      </c>
      <c r="AE35" s="1240" t="s">
        <v>95</v>
      </c>
      <c r="AF35" s="1077" t="s">
        <v>1110</v>
      </c>
      <c r="AG35" s="1239">
        <v>1.2352941176470587E-7</v>
      </c>
      <c r="AH35" s="1239">
        <v>5.4105882352941171E-7</v>
      </c>
      <c r="AI35" s="1082" t="s">
        <v>1174</v>
      </c>
      <c r="AJ35" s="1079">
        <v>0</v>
      </c>
      <c r="AK35" s="1240" t="s">
        <v>95</v>
      </c>
      <c r="AL35" s="1206" t="s">
        <v>1110</v>
      </c>
      <c r="AM35" s="1239">
        <v>1.2352941176470587E-7</v>
      </c>
      <c r="AN35" s="1239">
        <v>5.4105882352941171E-7</v>
      </c>
      <c r="AO35" s="1082" t="s">
        <v>1174</v>
      </c>
      <c r="AP35" s="1079">
        <v>0</v>
      </c>
      <c r="AQ35" s="1240" t="s">
        <v>95</v>
      </c>
      <c r="AR35" s="1077" t="s">
        <v>1110</v>
      </c>
      <c r="AS35" s="1239">
        <v>1.2352941176470587E-7</v>
      </c>
      <c r="AT35" s="1239">
        <v>5.4105882352941171E-7</v>
      </c>
      <c r="AU35" s="1082" t="s">
        <v>1174</v>
      </c>
      <c r="AV35" s="1079">
        <v>0</v>
      </c>
      <c r="AW35" s="1240" t="s">
        <v>95</v>
      </c>
      <c r="AX35" s="1206" t="s">
        <v>1110</v>
      </c>
      <c r="AY35" s="1239">
        <v>1.2352941176470587E-7</v>
      </c>
      <c r="AZ35" s="1239">
        <v>5.4105882352941171E-7</v>
      </c>
      <c r="BA35" s="1082" t="s">
        <v>1174</v>
      </c>
      <c r="BB35" s="1079">
        <v>0</v>
      </c>
      <c r="BC35" s="1240" t="s">
        <v>95</v>
      </c>
      <c r="BD35" s="1077" t="s">
        <v>1110</v>
      </c>
      <c r="BE35" s="1239">
        <v>1.2352941176470587E-7</v>
      </c>
      <c r="BF35" s="1239">
        <v>5.4105882352941171E-7</v>
      </c>
      <c r="BG35" s="1082" t="s">
        <v>1174</v>
      </c>
      <c r="BH35" s="1079">
        <v>0</v>
      </c>
      <c r="BI35" s="1240" t="s">
        <v>95</v>
      </c>
      <c r="BJ35" s="1077" t="s">
        <v>1110</v>
      </c>
      <c r="BK35" s="1082" t="s">
        <v>1141</v>
      </c>
      <c r="BL35" s="1082" t="s">
        <v>1141</v>
      </c>
      <c r="BM35" s="1239">
        <v>2.7052941176470585E-6</v>
      </c>
      <c r="BN35" s="1079">
        <v>0</v>
      </c>
      <c r="BO35" s="1076" t="s">
        <v>1126</v>
      </c>
      <c r="BP35" s="1077" t="s">
        <v>1110</v>
      </c>
      <c r="BQ35" s="1078">
        <v>0</v>
      </c>
      <c r="BR35" s="1078">
        <v>0</v>
      </c>
      <c r="BS35" s="1078">
        <v>0</v>
      </c>
      <c r="BT35" s="1079">
        <v>0</v>
      </c>
      <c r="BU35" s="1076" t="s">
        <v>1126</v>
      </c>
      <c r="BV35" s="1077" t="s">
        <v>1110</v>
      </c>
      <c r="BW35" s="1078">
        <v>0</v>
      </c>
      <c r="BX35" s="1078">
        <v>0</v>
      </c>
      <c r="BY35" s="1078">
        <v>0</v>
      </c>
      <c r="BZ35" s="1079">
        <v>0</v>
      </c>
      <c r="CA35" s="1076" t="s">
        <v>1126</v>
      </c>
      <c r="CB35" s="1077" t="s">
        <v>1110</v>
      </c>
      <c r="CC35" s="1078">
        <v>0</v>
      </c>
      <c r="CD35" s="1078">
        <v>0</v>
      </c>
      <c r="CE35" s="1078">
        <v>0</v>
      </c>
      <c r="CF35" s="1079">
        <v>0</v>
      </c>
      <c r="CG35" s="1240" t="s">
        <v>95</v>
      </c>
      <c r="CH35" s="1077" t="s">
        <v>1110</v>
      </c>
      <c r="CI35" s="1080">
        <f>'Core Making VOC-HAP'!C232+'Core Making VOC-HAP'!E232+'Core Making VOC-HAP'!G232</f>
        <v>3.7882352941176465E-8</v>
      </c>
      <c r="CJ35" s="1080">
        <f>'Core Making VOC-HAP'!D232+'Core Making VOC-HAP'!F232+'Core Making VOC-HAP'!H232</f>
        <v>1.6592470588235294E-7</v>
      </c>
      <c r="CK35" s="1080">
        <f>'Core Making VOC-HAP'!I232</f>
        <v>1.6592470588235294E-7</v>
      </c>
      <c r="CL35" s="1079">
        <v>0</v>
      </c>
      <c r="CM35" s="1076" t="s">
        <v>1126</v>
      </c>
      <c r="CN35" s="1077" t="s">
        <v>1110</v>
      </c>
      <c r="CO35" s="1078">
        <v>0</v>
      </c>
      <c r="CP35" s="1078">
        <v>0</v>
      </c>
      <c r="CQ35" s="1078">
        <v>0</v>
      </c>
      <c r="CR35" s="1079">
        <v>0</v>
      </c>
      <c r="CS35" s="1076" t="s">
        <v>1126</v>
      </c>
      <c r="CT35" s="1077" t="s">
        <v>1110</v>
      </c>
      <c r="CU35" s="1078">
        <v>0</v>
      </c>
      <c r="CV35" s="1078">
        <v>0</v>
      </c>
      <c r="CW35" s="1078">
        <v>0</v>
      </c>
      <c r="CX35" s="1079">
        <v>0</v>
      </c>
      <c r="CY35" s="1076" t="s">
        <v>1126</v>
      </c>
      <c r="CZ35" s="1077" t="s">
        <v>1110</v>
      </c>
      <c r="DA35" s="1078">
        <v>0</v>
      </c>
      <c r="DB35" s="1078">
        <v>0</v>
      </c>
      <c r="DC35" s="1078">
        <v>0</v>
      </c>
      <c r="DD35" s="1079">
        <v>0</v>
      </c>
      <c r="DE35" s="1076" t="s">
        <v>1126</v>
      </c>
      <c r="DF35" s="1077" t="s">
        <v>1110</v>
      </c>
      <c r="DG35" s="1078">
        <v>0</v>
      </c>
      <c r="DH35" s="1078">
        <v>0</v>
      </c>
      <c r="DI35" s="1078">
        <v>0</v>
      </c>
      <c r="DJ35" s="1079">
        <v>0</v>
      </c>
      <c r="DK35" s="1076" t="s">
        <v>1126</v>
      </c>
      <c r="DL35" s="1077" t="s">
        <v>1110</v>
      </c>
      <c r="DM35" s="1078">
        <v>0</v>
      </c>
      <c r="DN35" s="1078">
        <v>0</v>
      </c>
      <c r="DO35" s="1078">
        <v>0</v>
      </c>
      <c r="DP35" s="1079">
        <v>0</v>
      </c>
      <c r="DQ35" s="1076" t="s">
        <v>1126</v>
      </c>
      <c r="DR35" s="1077" t="s">
        <v>1110</v>
      </c>
      <c r="DS35" s="1078">
        <v>0</v>
      </c>
      <c r="DT35" s="1078">
        <v>0</v>
      </c>
      <c r="DU35" s="1078">
        <v>0</v>
      </c>
      <c r="DV35" s="1079">
        <v>0</v>
      </c>
      <c r="DW35" s="1076" t="s">
        <v>1126</v>
      </c>
      <c r="DX35" s="1077" t="s">
        <v>1110</v>
      </c>
      <c r="DY35" s="1078">
        <v>0</v>
      </c>
      <c r="DZ35" s="1078">
        <v>0</v>
      </c>
      <c r="EA35" s="1078">
        <v>0</v>
      </c>
      <c r="EB35" s="1079">
        <v>0</v>
      </c>
      <c r="EC35" s="1076" t="s">
        <v>1126</v>
      </c>
      <c r="ED35" s="1077" t="s">
        <v>1110</v>
      </c>
      <c r="EE35" s="1078">
        <v>0</v>
      </c>
      <c r="EF35" s="1078">
        <v>0</v>
      </c>
      <c r="EG35" s="1078">
        <v>0</v>
      </c>
      <c r="EH35" s="1079">
        <v>0</v>
      </c>
      <c r="EI35" s="1240" t="s">
        <v>95</v>
      </c>
      <c r="EJ35" s="1077" t="s">
        <v>1110</v>
      </c>
      <c r="EK35" s="1239">
        <v>1.6470588235294117E-7</v>
      </c>
      <c r="EL35" s="1239">
        <v>7.2141176470588231E-7</v>
      </c>
      <c r="EM35" s="1239">
        <v>7.2141176470588231E-7</v>
      </c>
      <c r="EN35" s="1079">
        <v>0</v>
      </c>
      <c r="EO35" s="1240" t="s">
        <v>95</v>
      </c>
      <c r="EP35" s="1206" t="s">
        <v>1110</v>
      </c>
      <c r="EQ35" s="1239">
        <v>2.8823529411764701E-8</v>
      </c>
      <c r="ER35" s="1239">
        <v>1.262470588235294E-7</v>
      </c>
      <c r="ES35" s="1239">
        <v>1.262470588235294E-7</v>
      </c>
      <c r="ET35" s="1079">
        <v>0</v>
      </c>
      <c r="EU35" s="1076" t="s">
        <v>1126</v>
      </c>
      <c r="EV35" s="1077" t="s">
        <v>1110</v>
      </c>
      <c r="EW35" s="1078">
        <v>0</v>
      </c>
      <c r="EX35" s="1078">
        <v>0</v>
      </c>
      <c r="EY35" s="1078">
        <v>0</v>
      </c>
      <c r="EZ35" s="1079">
        <v>0</v>
      </c>
      <c r="FA35" s="1076" t="s">
        <v>1126</v>
      </c>
      <c r="FB35" s="1077" t="s">
        <v>1110</v>
      </c>
      <c r="FC35" s="1078">
        <v>0</v>
      </c>
      <c r="FD35" s="1078">
        <v>0</v>
      </c>
      <c r="FE35" s="1078">
        <v>0</v>
      </c>
      <c r="FF35" s="1079">
        <v>0</v>
      </c>
      <c r="FG35" s="1076" t="s">
        <v>1126</v>
      </c>
      <c r="FH35" s="1077" t="s">
        <v>1110</v>
      </c>
      <c r="FI35" s="1078">
        <v>0</v>
      </c>
      <c r="FJ35" s="1078">
        <v>0</v>
      </c>
      <c r="FK35" s="1078">
        <v>0</v>
      </c>
      <c r="FL35" s="1079">
        <v>0</v>
      </c>
      <c r="FM35" s="1076" t="s">
        <v>1126</v>
      </c>
      <c r="FN35" s="1077" t="s">
        <v>1110</v>
      </c>
      <c r="FO35" s="1078">
        <v>0</v>
      </c>
      <c r="FP35" s="1078">
        <v>0</v>
      </c>
      <c r="FQ35" s="1078">
        <v>0</v>
      </c>
      <c r="FR35" s="1079">
        <v>0</v>
      </c>
      <c r="FS35" s="1076" t="s">
        <v>1126</v>
      </c>
      <c r="FT35" s="1077" t="s">
        <v>1110</v>
      </c>
      <c r="FU35" s="1078">
        <v>0</v>
      </c>
      <c r="FV35" s="1078">
        <v>0</v>
      </c>
      <c r="FW35" s="1078">
        <v>0</v>
      </c>
      <c r="FX35" s="1079">
        <v>0</v>
      </c>
      <c r="FY35" s="1076" t="s">
        <v>1126</v>
      </c>
      <c r="FZ35" s="1077" t="s">
        <v>1110</v>
      </c>
      <c r="GA35" s="1078">
        <v>0</v>
      </c>
      <c r="GB35" s="1078">
        <v>0</v>
      </c>
      <c r="GC35" s="1078">
        <v>0</v>
      </c>
      <c r="GD35" s="1079">
        <v>0</v>
      </c>
      <c r="GE35" s="1076" t="s">
        <v>1126</v>
      </c>
      <c r="GF35" s="1077" t="s">
        <v>1110</v>
      </c>
      <c r="GG35" s="1261">
        <f>C35+I35+O35+U35+AA35+AG35+AM35+AS35+AY35+BE35+BQ35+BW35+CC35+CI35+CO35+CU35+DA35+DG35+DM35+DS35+DY35+EE35+EK35+EQ35+EW35+FC35+FI35+FO35+FU35+GA35</f>
        <v>8.4905882352941166E-7</v>
      </c>
      <c r="GH35" s="1261">
        <f>D35+J35+P35+V35+AB35+AH35+AN35+AT35+AZ35+BF35+BR35+BX35+CD35+CJ35+CP35+CV35+DB35+DH35+DN35+DT35+DZ35+EF35+EL35+ER35+EX35+FD35+FJ35+FP35+FV35+GB35</f>
        <v>3.7188776470588235E-6</v>
      </c>
      <c r="GI35" s="1261">
        <f>E35+K35+Q35+W35+AC35+BM35+BS35+BY35+CE35+CK35+CQ35+CW35+DC35+DI35+DO35+DU35+EA35+EG35+EM35+ES35+EY35+FE35+FK35+FQ35+FW35</f>
        <v>3.7188776470588235E-6</v>
      </c>
      <c r="GJ35" s="1199">
        <f t="shared" si="0"/>
        <v>0</v>
      </c>
    </row>
    <row r="36" spans="1:192" s="1081" customFormat="1" ht="15" customHeight="1">
      <c r="A36" s="1076" t="s">
        <v>1111</v>
      </c>
      <c r="B36" s="1077" t="s">
        <v>1112</v>
      </c>
      <c r="C36" s="1078">
        <v>0</v>
      </c>
      <c r="D36" s="1078">
        <v>0</v>
      </c>
      <c r="E36" s="1078">
        <v>0</v>
      </c>
      <c r="F36" s="1079">
        <v>0</v>
      </c>
      <c r="G36" s="1076" t="s">
        <v>1111</v>
      </c>
      <c r="H36" s="1077" t="s">
        <v>1112</v>
      </c>
      <c r="I36" s="1203">
        <v>0</v>
      </c>
      <c r="J36" s="1078">
        <v>0</v>
      </c>
      <c r="K36" s="1078">
        <v>0</v>
      </c>
      <c r="L36" s="1079">
        <v>0</v>
      </c>
      <c r="M36" s="1076" t="s">
        <v>1111</v>
      </c>
      <c r="N36" s="1206" t="s">
        <v>1112</v>
      </c>
      <c r="O36" s="1078">
        <v>0</v>
      </c>
      <c r="P36" s="1078">
        <v>0</v>
      </c>
      <c r="Q36" s="1078">
        <v>0</v>
      </c>
      <c r="R36" s="1079">
        <v>0</v>
      </c>
      <c r="S36" s="1076" t="s">
        <v>1111</v>
      </c>
      <c r="T36" s="1077" t="s">
        <v>1112</v>
      </c>
      <c r="U36" s="1203">
        <v>0</v>
      </c>
      <c r="V36" s="1078">
        <v>0</v>
      </c>
      <c r="W36" s="1078">
        <v>0</v>
      </c>
      <c r="X36" s="1079">
        <v>0</v>
      </c>
      <c r="Y36" s="1076" t="s">
        <v>1111</v>
      </c>
      <c r="Z36" s="1077" t="s">
        <v>1112</v>
      </c>
      <c r="AA36" s="1078">
        <v>0</v>
      </c>
      <c r="AB36" s="1078">
        <v>0</v>
      </c>
      <c r="AC36" s="1078">
        <v>0</v>
      </c>
      <c r="AD36" s="1079">
        <v>0</v>
      </c>
      <c r="AE36" s="1240" t="s">
        <v>89</v>
      </c>
      <c r="AF36" s="1077" t="s">
        <v>1112</v>
      </c>
      <c r="AG36" s="1239">
        <v>1.764705882352941E-6</v>
      </c>
      <c r="AH36" s="1239">
        <v>7.7294117647058808E-6</v>
      </c>
      <c r="AI36" s="1082" t="s">
        <v>1174</v>
      </c>
      <c r="AJ36" s="1079">
        <v>0</v>
      </c>
      <c r="AK36" s="1240" t="s">
        <v>89</v>
      </c>
      <c r="AL36" s="1206" t="s">
        <v>1112</v>
      </c>
      <c r="AM36" s="1239">
        <v>1.764705882352941E-6</v>
      </c>
      <c r="AN36" s="1239">
        <v>7.7294117647058808E-6</v>
      </c>
      <c r="AO36" s="1082" t="s">
        <v>1174</v>
      </c>
      <c r="AP36" s="1079">
        <v>0</v>
      </c>
      <c r="AQ36" s="1240" t="s">
        <v>89</v>
      </c>
      <c r="AR36" s="1077" t="s">
        <v>1112</v>
      </c>
      <c r="AS36" s="1239">
        <v>1.764705882352941E-6</v>
      </c>
      <c r="AT36" s="1239">
        <v>7.7294117647058808E-6</v>
      </c>
      <c r="AU36" s="1082" t="s">
        <v>1174</v>
      </c>
      <c r="AV36" s="1079">
        <v>0</v>
      </c>
      <c r="AW36" s="1240" t="s">
        <v>89</v>
      </c>
      <c r="AX36" s="1206" t="s">
        <v>1112</v>
      </c>
      <c r="AY36" s="1239">
        <v>1.764705882352941E-6</v>
      </c>
      <c r="AZ36" s="1239">
        <v>7.7294117647058808E-6</v>
      </c>
      <c r="BA36" s="1082" t="s">
        <v>1174</v>
      </c>
      <c r="BB36" s="1079">
        <v>0</v>
      </c>
      <c r="BC36" s="1240" t="s">
        <v>89</v>
      </c>
      <c r="BD36" s="1077" t="s">
        <v>1112</v>
      </c>
      <c r="BE36" s="1239">
        <v>1.764705882352941E-6</v>
      </c>
      <c r="BF36" s="1239">
        <v>7.7294117647058808E-6</v>
      </c>
      <c r="BG36" s="1082" t="s">
        <v>1174</v>
      </c>
      <c r="BH36" s="1079">
        <v>0</v>
      </c>
      <c r="BI36" s="1240" t="s">
        <v>89</v>
      </c>
      <c r="BJ36" s="1077" t="s">
        <v>1112</v>
      </c>
      <c r="BK36" s="1082" t="s">
        <v>1141</v>
      </c>
      <c r="BL36" s="1082" t="s">
        <v>1141</v>
      </c>
      <c r="BM36" s="1239">
        <v>3.8647058823529406E-5</v>
      </c>
      <c r="BN36" s="1079">
        <v>0</v>
      </c>
      <c r="BO36" s="1076" t="s">
        <v>1111</v>
      </c>
      <c r="BP36" s="1077" t="s">
        <v>1112</v>
      </c>
      <c r="BQ36" s="1078">
        <v>0</v>
      </c>
      <c r="BR36" s="1078">
        <v>0</v>
      </c>
      <c r="BS36" s="1078">
        <v>0</v>
      </c>
      <c r="BT36" s="1079">
        <v>0</v>
      </c>
      <c r="BU36" s="1076" t="s">
        <v>1111</v>
      </c>
      <c r="BV36" s="1077" t="s">
        <v>1112</v>
      </c>
      <c r="BW36" s="1078">
        <v>0</v>
      </c>
      <c r="BX36" s="1078">
        <v>0</v>
      </c>
      <c r="BY36" s="1078">
        <v>0</v>
      </c>
      <c r="BZ36" s="1079">
        <v>0</v>
      </c>
      <c r="CA36" s="1076" t="s">
        <v>1111</v>
      </c>
      <c r="CB36" s="1077" t="s">
        <v>1112</v>
      </c>
      <c r="CC36" s="1078">
        <v>0</v>
      </c>
      <c r="CD36" s="1078">
        <v>0</v>
      </c>
      <c r="CE36" s="1078">
        <v>0</v>
      </c>
      <c r="CF36" s="1079">
        <v>0</v>
      </c>
      <c r="CG36" s="1240" t="s">
        <v>89</v>
      </c>
      <c r="CH36" s="1077" t="s">
        <v>1112</v>
      </c>
      <c r="CI36" s="1080">
        <f>'Core Making VOC-HAP'!C226+'Core Making VOC-HAP'!E226+'Core Making VOC-HAP'!G226</f>
        <v>5.4117647058823525E-7</v>
      </c>
      <c r="CJ36" s="1080">
        <f>'Core Making VOC-HAP'!D226+'Core Making VOC-HAP'!F226+'Core Making VOC-HAP'!H226</f>
        <v>2.3703529411764705E-6</v>
      </c>
      <c r="CK36" s="1080">
        <f>'Core Making VOC-HAP'!I226</f>
        <v>2.3703529411764705E-6</v>
      </c>
      <c r="CL36" s="1079">
        <v>0</v>
      </c>
      <c r="CM36" s="1076" t="s">
        <v>1111</v>
      </c>
      <c r="CN36" s="1077" t="s">
        <v>1112</v>
      </c>
      <c r="CO36" s="1078">
        <v>0</v>
      </c>
      <c r="CP36" s="1078">
        <v>0</v>
      </c>
      <c r="CQ36" s="1078">
        <v>0</v>
      </c>
      <c r="CR36" s="1079">
        <v>0</v>
      </c>
      <c r="CS36" s="1076" t="s">
        <v>1111</v>
      </c>
      <c r="CT36" s="1077" t="s">
        <v>1112</v>
      </c>
      <c r="CU36" s="1078">
        <v>0</v>
      </c>
      <c r="CV36" s="1078">
        <v>0</v>
      </c>
      <c r="CW36" s="1078">
        <v>0</v>
      </c>
      <c r="CX36" s="1079">
        <v>0</v>
      </c>
      <c r="CY36" s="1076" t="s">
        <v>1111</v>
      </c>
      <c r="CZ36" s="1077" t="s">
        <v>1112</v>
      </c>
      <c r="DA36" s="1078">
        <v>0</v>
      </c>
      <c r="DB36" s="1078">
        <v>0</v>
      </c>
      <c r="DC36" s="1078">
        <v>0</v>
      </c>
      <c r="DD36" s="1079">
        <v>0</v>
      </c>
      <c r="DE36" s="1076" t="s">
        <v>1111</v>
      </c>
      <c r="DF36" s="1077" t="s">
        <v>1112</v>
      </c>
      <c r="DG36" s="1078">
        <v>0</v>
      </c>
      <c r="DH36" s="1078">
        <v>0</v>
      </c>
      <c r="DI36" s="1078">
        <v>0</v>
      </c>
      <c r="DJ36" s="1079">
        <v>0</v>
      </c>
      <c r="DK36" s="1076" t="s">
        <v>1111</v>
      </c>
      <c r="DL36" s="1077" t="s">
        <v>1112</v>
      </c>
      <c r="DM36" s="1078">
        <v>0</v>
      </c>
      <c r="DN36" s="1078">
        <v>0</v>
      </c>
      <c r="DO36" s="1078">
        <v>0</v>
      </c>
      <c r="DP36" s="1079">
        <v>0</v>
      </c>
      <c r="DQ36" s="1076" t="s">
        <v>1111</v>
      </c>
      <c r="DR36" s="1077" t="s">
        <v>1112</v>
      </c>
      <c r="DS36" s="1078">
        <v>0</v>
      </c>
      <c r="DT36" s="1078">
        <v>0</v>
      </c>
      <c r="DU36" s="1078">
        <v>0</v>
      </c>
      <c r="DV36" s="1079">
        <v>0</v>
      </c>
      <c r="DW36" s="1076" t="s">
        <v>1111</v>
      </c>
      <c r="DX36" s="1077" t="s">
        <v>1112</v>
      </c>
      <c r="DY36" s="1078">
        <v>0</v>
      </c>
      <c r="DZ36" s="1078">
        <v>0</v>
      </c>
      <c r="EA36" s="1078">
        <v>0</v>
      </c>
      <c r="EB36" s="1079">
        <v>0</v>
      </c>
      <c r="EC36" s="1076" t="s">
        <v>1111</v>
      </c>
      <c r="ED36" s="1077" t="s">
        <v>1112</v>
      </c>
      <c r="EE36" s="1078">
        <v>0</v>
      </c>
      <c r="EF36" s="1078">
        <v>0</v>
      </c>
      <c r="EG36" s="1078">
        <v>0</v>
      </c>
      <c r="EH36" s="1079">
        <v>0</v>
      </c>
      <c r="EI36" s="1240" t="s">
        <v>89</v>
      </c>
      <c r="EJ36" s="1077" t="s">
        <v>1112</v>
      </c>
      <c r="EK36" s="1239">
        <v>2.352941176470588E-6</v>
      </c>
      <c r="EL36" s="1239">
        <v>1.0305882352941175E-5</v>
      </c>
      <c r="EM36" s="1239">
        <v>1.0305882352941175E-5</v>
      </c>
      <c r="EN36" s="1079">
        <v>0</v>
      </c>
      <c r="EO36" s="1240" t="s">
        <v>89</v>
      </c>
      <c r="EP36" s="1206" t="s">
        <v>1112</v>
      </c>
      <c r="EQ36" s="1239">
        <v>4.1176470588235284E-7</v>
      </c>
      <c r="ER36" s="1239">
        <v>1.8035294117647054E-6</v>
      </c>
      <c r="ES36" s="1239">
        <v>1.8035294117647054E-6</v>
      </c>
      <c r="ET36" s="1079">
        <v>0</v>
      </c>
      <c r="EU36" s="1076" t="s">
        <v>1111</v>
      </c>
      <c r="EV36" s="1077" t="s">
        <v>1112</v>
      </c>
      <c r="EW36" s="1078">
        <v>0</v>
      </c>
      <c r="EX36" s="1078">
        <v>0</v>
      </c>
      <c r="EY36" s="1078">
        <v>0</v>
      </c>
      <c r="EZ36" s="1079">
        <v>0</v>
      </c>
      <c r="FA36" s="1076" t="s">
        <v>1111</v>
      </c>
      <c r="FB36" s="1077" t="s">
        <v>1112</v>
      </c>
      <c r="FC36" s="1078">
        <v>0</v>
      </c>
      <c r="FD36" s="1078">
        <v>0</v>
      </c>
      <c r="FE36" s="1078">
        <v>0</v>
      </c>
      <c r="FF36" s="1079">
        <v>0</v>
      </c>
      <c r="FG36" s="1076" t="s">
        <v>1111</v>
      </c>
      <c r="FH36" s="1077" t="s">
        <v>1112</v>
      </c>
      <c r="FI36" s="1078">
        <v>0</v>
      </c>
      <c r="FJ36" s="1078">
        <v>0</v>
      </c>
      <c r="FK36" s="1078">
        <v>0</v>
      </c>
      <c r="FL36" s="1079">
        <v>0</v>
      </c>
      <c r="FM36" s="1076" t="s">
        <v>1111</v>
      </c>
      <c r="FN36" s="1077" t="s">
        <v>1112</v>
      </c>
      <c r="FO36" s="1078">
        <v>0</v>
      </c>
      <c r="FP36" s="1078">
        <v>0</v>
      </c>
      <c r="FQ36" s="1078">
        <v>0</v>
      </c>
      <c r="FR36" s="1079">
        <v>0</v>
      </c>
      <c r="FS36" s="1076" t="s">
        <v>1111</v>
      </c>
      <c r="FT36" s="1077" t="s">
        <v>1112</v>
      </c>
      <c r="FU36" s="1078">
        <v>0</v>
      </c>
      <c r="FV36" s="1078">
        <v>0</v>
      </c>
      <c r="FW36" s="1078">
        <v>0</v>
      </c>
      <c r="FX36" s="1079">
        <v>0</v>
      </c>
      <c r="FY36" s="1076" t="s">
        <v>1111</v>
      </c>
      <c r="FZ36" s="1077" t="s">
        <v>1112</v>
      </c>
      <c r="GA36" s="1078">
        <v>0</v>
      </c>
      <c r="GB36" s="1078">
        <v>0</v>
      </c>
      <c r="GC36" s="1078">
        <v>0</v>
      </c>
      <c r="GD36" s="1079">
        <v>0</v>
      </c>
      <c r="GE36" s="1076" t="s">
        <v>1111</v>
      </c>
      <c r="GF36" s="1077" t="s">
        <v>1112</v>
      </c>
      <c r="GG36" s="1261">
        <f>C36+I36+O36+U36+AA36+AG36+AM36+AS36+AY36+BE36+BQ36+BW36+CC36+CI36+CO36+CU36+DA36+DG36+DM36+DS36+DY36+EE36+EK36+EQ36+EW36+FC36+FI36+FO36+FU36+GA36</f>
        <v>1.2129411764705883E-5</v>
      </c>
      <c r="GH36" s="1261">
        <f>D36+J36+P36+V36+AB36+AH36+AN36+AT36+AZ36+BF36+BR36+BX36+CD36+CJ36+CP36+CV36+DB36+DH36+DN36+DT36+DZ36+EF36+EL36+ER36+EX36+FD36+FJ36+FP36+FV36+GB36</f>
        <v>5.3126823529411757E-5</v>
      </c>
      <c r="GI36" s="1261">
        <f>E36+K36+Q36+W36+AC36+BM36+BS36+BY36+CE36+CK36+CQ36+CW36+DC36+DI36+DO36+DU36+EA36+EG36+EM36+ES36+EY36+FE36+FK36+FQ36+FW36</f>
        <v>5.3126823529411757E-5</v>
      </c>
      <c r="GJ36" s="1199">
        <f t="shared" si="0"/>
        <v>0</v>
      </c>
    </row>
    <row r="37" spans="1:192" s="1081" customFormat="1" ht="15" customHeight="1">
      <c r="A37" s="1076" t="s">
        <v>1113</v>
      </c>
      <c r="B37" s="1077" t="s">
        <v>961</v>
      </c>
      <c r="C37" s="1078">
        <v>0</v>
      </c>
      <c r="D37" s="1078">
        <v>0</v>
      </c>
      <c r="E37" s="1078">
        <v>0</v>
      </c>
      <c r="F37" s="1079">
        <v>0</v>
      </c>
      <c r="G37" s="1076" t="s">
        <v>1113</v>
      </c>
      <c r="H37" s="1077" t="s">
        <v>961</v>
      </c>
      <c r="I37" s="1203">
        <v>0</v>
      </c>
      <c r="J37" s="1078">
        <v>0</v>
      </c>
      <c r="K37" s="1078">
        <v>0</v>
      </c>
      <c r="L37" s="1079">
        <v>0</v>
      </c>
      <c r="M37" s="1076" t="s">
        <v>1113</v>
      </c>
      <c r="N37" s="1206" t="s">
        <v>961</v>
      </c>
      <c r="O37" s="1078">
        <v>0</v>
      </c>
      <c r="P37" s="1078">
        <v>0</v>
      </c>
      <c r="Q37" s="1078">
        <v>0</v>
      </c>
      <c r="R37" s="1079">
        <v>0</v>
      </c>
      <c r="S37" s="1076" t="s">
        <v>1113</v>
      </c>
      <c r="T37" s="1077" t="s">
        <v>961</v>
      </c>
      <c r="U37" s="1203">
        <v>0</v>
      </c>
      <c r="V37" s="1078">
        <v>0</v>
      </c>
      <c r="W37" s="1078">
        <v>0</v>
      </c>
      <c r="X37" s="1079">
        <v>0</v>
      </c>
      <c r="Y37" s="1076" t="s">
        <v>1113</v>
      </c>
      <c r="Z37" s="1077" t="s">
        <v>961</v>
      </c>
      <c r="AA37" s="1078">
        <v>0</v>
      </c>
      <c r="AB37" s="1078">
        <v>0</v>
      </c>
      <c r="AC37" s="1078">
        <v>0</v>
      </c>
      <c r="AD37" s="1079">
        <v>0</v>
      </c>
      <c r="AE37" s="1240" t="s">
        <v>96</v>
      </c>
      <c r="AF37" s="1077" t="s">
        <v>961</v>
      </c>
      <c r="AG37" s="1239">
        <v>1.1029411764705881E-4</v>
      </c>
      <c r="AH37" s="1239">
        <v>4.8308823529411758E-4</v>
      </c>
      <c r="AI37" s="1082" t="s">
        <v>1174</v>
      </c>
      <c r="AJ37" s="1079">
        <v>0</v>
      </c>
      <c r="AK37" s="1240" t="s">
        <v>96</v>
      </c>
      <c r="AL37" s="1206" t="s">
        <v>961</v>
      </c>
      <c r="AM37" s="1239">
        <v>1.1029411764705881E-4</v>
      </c>
      <c r="AN37" s="1239">
        <v>4.8308823529411758E-4</v>
      </c>
      <c r="AO37" s="1082" t="s">
        <v>1174</v>
      </c>
      <c r="AP37" s="1079">
        <v>0</v>
      </c>
      <c r="AQ37" s="1240" t="s">
        <v>96</v>
      </c>
      <c r="AR37" s="1077" t="s">
        <v>961</v>
      </c>
      <c r="AS37" s="1239">
        <v>1.1029411764705881E-4</v>
      </c>
      <c r="AT37" s="1239">
        <v>4.8308823529411758E-4</v>
      </c>
      <c r="AU37" s="1082" t="s">
        <v>1174</v>
      </c>
      <c r="AV37" s="1079">
        <v>0</v>
      </c>
      <c r="AW37" s="1240" t="s">
        <v>96</v>
      </c>
      <c r="AX37" s="1206" t="s">
        <v>961</v>
      </c>
      <c r="AY37" s="1239">
        <v>1.1029411764705881E-4</v>
      </c>
      <c r="AZ37" s="1239">
        <v>4.8308823529411758E-4</v>
      </c>
      <c r="BA37" s="1082" t="s">
        <v>1174</v>
      </c>
      <c r="BB37" s="1079">
        <v>0</v>
      </c>
      <c r="BC37" s="1240" t="s">
        <v>96</v>
      </c>
      <c r="BD37" s="1077" t="s">
        <v>961</v>
      </c>
      <c r="BE37" s="1239">
        <v>1.1029411764705881E-4</v>
      </c>
      <c r="BF37" s="1239">
        <v>4.8308823529411758E-4</v>
      </c>
      <c r="BG37" s="1082" t="s">
        <v>1174</v>
      </c>
      <c r="BH37" s="1079">
        <v>0</v>
      </c>
      <c r="BI37" s="1240" t="s">
        <v>96</v>
      </c>
      <c r="BJ37" s="1077" t="s">
        <v>961</v>
      </c>
      <c r="BK37" s="1082" t="s">
        <v>1141</v>
      </c>
      <c r="BL37" s="1082" t="s">
        <v>1141</v>
      </c>
      <c r="BM37" s="1239">
        <v>2.4154411764705881E-3</v>
      </c>
      <c r="BN37" s="1079">
        <v>0</v>
      </c>
      <c r="BO37" s="1076" t="s">
        <v>1113</v>
      </c>
      <c r="BP37" s="1077" t="s">
        <v>961</v>
      </c>
      <c r="BQ37" s="1080">
        <f>'Core Making VOC-HAP'!F45</f>
        <v>2.4452054794520547E-3</v>
      </c>
      <c r="BR37" s="1082">
        <f>'Core Making VOC-HAP'!G45</f>
        <v>1.0709999999999999E-2</v>
      </c>
      <c r="BS37" s="1082" t="s">
        <v>1184</v>
      </c>
      <c r="BT37" s="1079">
        <v>0</v>
      </c>
      <c r="BU37" s="1076" t="s">
        <v>1113</v>
      </c>
      <c r="BV37" s="1077" t="s">
        <v>961</v>
      </c>
      <c r="BW37" s="1082">
        <f>'Core Making VOC-HAP'!F88</f>
        <v>0</v>
      </c>
      <c r="BX37" s="1082">
        <f>'Core Making VOC-HAP'!G88</f>
        <v>0</v>
      </c>
      <c r="BY37" s="1082" t="s">
        <v>1184</v>
      </c>
      <c r="BZ37" s="1079">
        <v>0</v>
      </c>
      <c r="CA37" s="1076" t="s">
        <v>1113</v>
      </c>
      <c r="CB37" s="1077" t="s">
        <v>961</v>
      </c>
      <c r="CC37" s="1078">
        <v>0</v>
      </c>
      <c r="CD37" s="1078">
        <v>0</v>
      </c>
      <c r="CE37" s="1082" t="s">
        <v>1184</v>
      </c>
      <c r="CF37" s="1079">
        <v>0</v>
      </c>
      <c r="CG37" s="1240" t="s">
        <v>96</v>
      </c>
      <c r="CH37" s="1077" t="s">
        <v>961</v>
      </c>
      <c r="CI37" s="1080">
        <f>'Core Making VOC-HAP'!C233+'Core Making VOC-HAP'!E233+'Core Making VOC-HAP'!G233</f>
        <v>3.3823529411764703E-5</v>
      </c>
      <c r="CJ37" s="1080">
        <f>'Core Making VOC-HAP'!D233+'Core Making VOC-HAP'!F233+'Core Making VOC-HAP'!H233</f>
        <v>1.4814705882352938E-4</v>
      </c>
      <c r="CK37" s="1080">
        <f>'Core Making VOC-HAP'!I233</f>
        <v>1.4814705882352938E-4</v>
      </c>
      <c r="CL37" s="1079">
        <v>0</v>
      </c>
      <c r="CM37" s="1076" t="s">
        <v>1113</v>
      </c>
      <c r="CN37" s="1077" t="s">
        <v>961</v>
      </c>
      <c r="CO37" s="1078">
        <v>0</v>
      </c>
      <c r="CP37" s="1078">
        <v>0</v>
      </c>
      <c r="CQ37" s="1078">
        <v>0</v>
      </c>
      <c r="CR37" s="1079">
        <v>0</v>
      </c>
      <c r="CS37" s="1076" t="s">
        <v>1113</v>
      </c>
      <c r="CT37" s="1077" t="s">
        <v>961</v>
      </c>
      <c r="CU37" s="1078">
        <v>0</v>
      </c>
      <c r="CV37" s="1078">
        <v>0</v>
      </c>
      <c r="CW37" s="1078">
        <v>0</v>
      </c>
      <c r="CX37" s="1079">
        <v>0</v>
      </c>
      <c r="CY37" s="1076" t="s">
        <v>1113</v>
      </c>
      <c r="CZ37" s="1077" t="s">
        <v>961</v>
      </c>
      <c r="DA37" s="1078">
        <v>0</v>
      </c>
      <c r="DB37" s="1078">
        <v>0</v>
      </c>
      <c r="DC37" s="1078">
        <v>0</v>
      </c>
      <c r="DD37" s="1079">
        <v>0</v>
      </c>
      <c r="DE37" s="1076" t="s">
        <v>1113</v>
      </c>
      <c r="DF37" s="1077" t="s">
        <v>961</v>
      </c>
      <c r="DG37" s="1078">
        <v>0</v>
      </c>
      <c r="DH37" s="1078">
        <v>0</v>
      </c>
      <c r="DI37" s="1078">
        <v>0</v>
      </c>
      <c r="DJ37" s="1079">
        <v>0</v>
      </c>
      <c r="DK37" s="1076" t="s">
        <v>1113</v>
      </c>
      <c r="DL37" s="1077" t="s">
        <v>961</v>
      </c>
      <c r="DM37" s="1082" t="s">
        <v>1141</v>
      </c>
      <c r="DN37" s="1082" t="s">
        <v>1141</v>
      </c>
      <c r="DO37" s="1080">
        <f>'Core Making VOC-HAP'!F169</f>
        <v>1.3387499999999999E-3</v>
      </c>
      <c r="DP37" s="1079">
        <v>0</v>
      </c>
      <c r="DQ37" s="1076" t="s">
        <v>1113</v>
      </c>
      <c r="DR37" s="1077" t="s">
        <v>961</v>
      </c>
      <c r="DS37" s="1078">
        <v>0</v>
      </c>
      <c r="DT37" s="1078">
        <v>0</v>
      </c>
      <c r="DU37" s="1078">
        <v>0</v>
      </c>
      <c r="DV37" s="1079">
        <v>0</v>
      </c>
      <c r="DW37" s="1076" t="s">
        <v>1113</v>
      </c>
      <c r="DX37" s="1077" t="s">
        <v>961</v>
      </c>
      <c r="DY37" s="1078">
        <v>0</v>
      </c>
      <c r="DZ37" s="1078">
        <v>0</v>
      </c>
      <c r="EA37" s="1078">
        <v>0</v>
      </c>
      <c r="EB37" s="1079">
        <v>0</v>
      </c>
      <c r="EC37" s="1076" t="s">
        <v>1113</v>
      </c>
      <c r="ED37" s="1077" t="s">
        <v>961</v>
      </c>
      <c r="EE37" s="1078">
        <v>0</v>
      </c>
      <c r="EF37" s="1078">
        <v>0</v>
      </c>
      <c r="EG37" s="1078">
        <v>0</v>
      </c>
      <c r="EH37" s="1079">
        <v>0</v>
      </c>
      <c r="EI37" s="1240" t="s">
        <v>96</v>
      </c>
      <c r="EJ37" s="1077" t="s">
        <v>961</v>
      </c>
      <c r="EK37" s="1239">
        <v>1.4705882352941175E-4</v>
      </c>
      <c r="EL37" s="1239">
        <v>6.4411764705882345E-4</v>
      </c>
      <c r="EM37" s="1239">
        <v>6.4411764705882345E-4</v>
      </c>
      <c r="EN37" s="1079">
        <v>0</v>
      </c>
      <c r="EO37" s="1240" t="s">
        <v>96</v>
      </c>
      <c r="EP37" s="1206" t="s">
        <v>961</v>
      </c>
      <c r="EQ37" s="1239">
        <v>2.5735294117647053E-5</v>
      </c>
      <c r="ER37" s="1239">
        <v>1.1272058823529408E-4</v>
      </c>
      <c r="ES37" s="1239">
        <v>1.1272058823529408E-4</v>
      </c>
      <c r="ET37" s="1079">
        <v>0</v>
      </c>
      <c r="EU37" s="1076" t="s">
        <v>1113</v>
      </c>
      <c r="EV37" s="1077" t="s">
        <v>961</v>
      </c>
      <c r="EW37" s="1078">
        <v>0</v>
      </c>
      <c r="EX37" s="1078">
        <v>0</v>
      </c>
      <c r="EY37" s="1078">
        <v>0</v>
      </c>
      <c r="EZ37" s="1079">
        <v>0</v>
      </c>
      <c r="FA37" s="1076" t="s">
        <v>1113</v>
      </c>
      <c r="FB37" s="1077" t="s">
        <v>961</v>
      </c>
      <c r="FC37" s="1078">
        <v>0</v>
      </c>
      <c r="FD37" s="1078">
        <v>0</v>
      </c>
      <c r="FE37" s="1078">
        <v>0</v>
      </c>
      <c r="FF37" s="1079">
        <v>0</v>
      </c>
      <c r="FG37" s="1076" t="s">
        <v>1113</v>
      </c>
      <c r="FH37" s="1077" t="s">
        <v>961</v>
      </c>
      <c r="FI37" s="1078">
        <v>0</v>
      </c>
      <c r="FJ37" s="1078">
        <v>0</v>
      </c>
      <c r="FK37" s="1078">
        <v>0</v>
      </c>
      <c r="FL37" s="1079">
        <v>0</v>
      </c>
      <c r="FM37" s="1076" t="s">
        <v>1113</v>
      </c>
      <c r="FN37" s="1077" t="s">
        <v>961</v>
      </c>
      <c r="FO37" s="1078">
        <v>0</v>
      </c>
      <c r="FP37" s="1078">
        <v>0</v>
      </c>
      <c r="FQ37" s="1078">
        <v>0</v>
      </c>
      <c r="FR37" s="1079">
        <v>0</v>
      </c>
      <c r="FS37" s="1076" t="s">
        <v>1113</v>
      </c>
      <c r="FT37" s="1077" t="s">
        <v>961</v>
      </c>
      <c r="FU37" s="1078">
        <v>0</v>
      </c>
      <c r="FV37" s="1078">
        <v>0</v>
      </c>
      <c r="FW37" s="1078">
        <v>0</v>
      </c>
      <c r="FX37" s="1079">
        <v>0</v>
      </c>
      <c r="FY37" s="1076" t="s">
        <v>1113</v>
      </c>
      <c r="FZ37" s="1077" t="s">
        <v>961</v>
      </c>
      <c r="GA37" s="1078">
        <v>0</v>
      </c>
      <c r="GB37" s="1078">
        <v>0</v>
      </c>
      <c r="GC37" s="1078">
        <v>0</v>
      </c>
      <c r="GD37" s="1079">
        <v>0</v>
      </c>
      <c r="GE37" s="1076" t="s">
        <v>1113</v>
      </c>
      <c r="GF37" s="1077" t="s">
        <v>961</v>
      </c>
      <c r="GG37" s="1261">
        <f>C37+I37+O37+U37+AA37+AG37+AM37+AS37+AY37+BE37+BQ37+BW37+CC37+CI37+CO37+CU37+DA37+DG37+DS37+DY37+EE37+EK37+EQ37+EW37+FC37+FI37+FO37+FU37+GA37</f>
        <v>3.2032937147461723E-3</v>
      </c>
      <c r="GH37" s="1261">
        <f>D37+J37+P37+V37+AB37+AH37+AN37+AT37+AZ37+BF37+BR37+BX37+CD37+CJ37+CP37+CV37+DB37+DH37+DT37+DZ37+EF37+EL37+ER37+EX37+FD37+FJ37+FP37+FV37+GB37</f>
        <v>1.4030426470588232E-2</v>
      </c>
      <c r="GI37" s="1261">
        <f>E37+K37+Q37+W37+AC37+BM37+CK37+CQ37+CW37+DC37+DI37+DO37+DU37+EA37+EG37+EM37+ES37+EY37+FE37+FK37+FQ37+FW37</f>
        <v>4.6591764705882352E-3</v>
      </c>
      <c r="GJ37" s="1199">
        <f t="shared" si="0"/>
        <v>0</v>
      </c>
    </row>
    <row r="38" spans="1:192" s="1081" customFormat="1" ht="15" customHeight="1">
      <c r="A38" s="1076" t="s">
        <v>97</v>
      </c>
      <c r="B38" s="1077" t="s">
        <v>1114</v>
      </c>
      <c r="C38" s="1078">
        <v>0</v>
      </c>
      <c r="D38" s="1078">
        <v>0</v>
      </c>
      <c r="E38" s="1078">
        <v>0</v>
      </c>
      <c r="F38" s="1079">
        <v>0</v>
      </c>
      <c r="G38" s="1076" t="s">
        <v>97</v>
      </c>
      <c r="H38" s="1077" t="s">
        <v>1114</v>
      </c>
      <c r="I38" s="1203">
        <v>0</v>
      </c>
      <c r="J38" s="1078">
        <v>0</v>
      </c>
      <c r="K38" s="1078">
        <v>0</v>
      </c>
      <c r="L38" s="1079">
        <v>0</v>
      </c>
      <c r="M38" s="1076" t="s">
        <v>97</v>
      </c>
      <c r="N38" s="1206" t="s">
        <v>1114</v>
      </c>
      <c r="O38" s="1078">
        <v>0</v>
      </c>
      <c r="P38" s="1078">
        <v>0</v>
      </c>
      <c r="Q38" s="1078">
        <v>0</v>
      </c>
      <c r="R38" s="1079">
        <v>0</v>
      </c>
      <c r="S38" s="1076" t="s">
        <v>97</v>
      </c>
      <c r="T38" s="1077" t="s">
        <v>1114</v>
      </c>
      <c r="U38" s="1203">
        <v>0</v>
      </c>
      <c r="V38" s="1078">
        <v>0</v>
      </c>
      <c r="W38" s="1078">
        <v>0</v>
      </c>
      <c r="X38" s="1079">
        <v>0</v>
      </c>
      <c r="Y38" s="1076" t="s">
        <v>97</v>
      </c>
      <c r="Z38" s="1077" t="s">
        <v>1114</v>
      </c>
      <c r="AA38" s="1078">
        <v>0</v>
      </c>
      <c r="AB38" s="1078">
        <v>0</v>
      </c>
      <c r="AC38" s="1078">
        <v>0</v>
      </c>
      <c r="AD38" s="1079">
        <v>0</v>
      </c>
      <c r="AE38" s="1240" t="s">
        <v>97</v>
      </c>
      <c r="AF38" s="1077" t="s">
        <v>1114</v>
      </c>
      <c r="AG38" s="1239">
        <v>2.6470588235294116E-3</v>
      </c>
      <c r="AH38" s="1239">
        <v>1.1594117647058822E-2</v>
      </c>
      <c r="AI38" s="1082" t="s">
        <v>1174</v>
      </c>
      <c r="AJ38" s="1079">
        <v>0</v>
      </c>
      <c r="AK38" s="1240" t="s">
        <v>97</v>
      </c>
      <c r="AL38" s="1206" t="s">
        <v>1114</v>
      </c>
      <c r="AM38" s="1239">
        <v>2.6470588235294116E-3</v>
      </c>
      <c r="AN38" s="1239">
        <v>1.1594117647058822E-2</v>
      </c>
      <c r="AO38" s="1082" t="s">
        <v>1174</v>
      </c>
      <c r="AP38" s="1079">
        <v>0</v>
      </c>
      <c r="AQ38" s="1240" t="s">
        <v>97</v>
      </c>
      <c r="AR38" s="1077" t="s">
        <v>1114</v>
      </c>
      <c r="AS38" s="1239">
        <v>2.6470588235294116E-3</v>
      </c>
      <c r="AT38" s="1239">
        <v>1.1594117647058822E-2</v>
      </c>
      <c r="AU38" s="1082" t="s">
        <v>1174</v>
      </c>
      <c r="AV38" s="1079">
        <v>0</v>
      </c>
      <c r="AW38" s="1240" t="s">
        <v>97</v>
      </c>
      <c r="AX38" s="1206" t="s">
        <v>1114</v>
      </c>
      <c r="AY38" s="1239">
        <v>2.6470588235294116E-3</v>
      </c>
      <c r="AZ38" s="1239">
        <v>1.1594117647058822E-2</v>
      </c>
      <c r="BA38" s="1082" t="s">
        <v>1174</v>
      </c>
      <c r="BB38" s="1079">
        <v>0</v>
      </c>
      <c r="BC38" s="1240" t="s">
        <v>97</v>
      </c>
      <c r="BD38" s="1077" t="s">
        <v>1114</v>
      </c>
      <c r="BE38" s="1239">
        <v>2.6470588235294116E-3</v>
      </c>
      <c r="BF38" s="1239">
        <v>1.1594117647058822E-2</v>
      </c>
      <c r="BG38" s="1082" t="s">
        <v>1174</v>
      </c>
      <c r="BH38" s="1079">
        <v>0</v>
      </c>
      <c r="BI38" s="1240" t="s">
        <v>97</v>
      </c>
      <c r="BJ38" s="1077" t="s">
        <v>1114</v>
      </c>
      <c r="BK38" s="1082" t="s">
        <v>1141</v>
      </c>
      <c r="BL38" s="1082" t="s">
        <v>1141</v>
      </c>
      <c r="BM38" s="1239">
        <v>5.7970588235294114E-2</v>
      </c>
      <c r="BN38" s="1079">
        <v>0</v>
      </c>
      <c r="BO38" s="1076" t="s">
        <v>97</v>
      </c>
      <c r="BP38" s="1077" t="s">
        <v>1114</v>
      </c>
      <c r="BQ38" s="1078">
        <v>0</v>
      </c>
      <c r="BR38" s="1078">
        <v>0</v>
      </c>
      <c r="BS38" s="1078">
        <v>0</v>
      </c>
      <c r="BT38" s="1079">
        <v>0</v>
      </c>
      <c r="BU38" s="1076" t="s">
        <v>97</v>
      </c>
      <c r="BV38" s="1077" t="s">
        <v>1114</v>
      </c>
      <c r="BW38" s="1078">
        <v>0</v>
      </c>
      <c r="BX38" s="1078">
        <v>0</v>
      </c>
      <c r="BY38" s="1078">
        <v>0</v>
      </c>
      <c r="BZ38" s="1079">
        <v>0</v>
      </c>
      <c r="CA38" s="1076" t="s">
        <v>97</v>
      </c>
      <c r="CB38" s="1077" t="s">
        <v>1114</v>
      </c>
      <c r="CC38" s="1078">
        <v>0</v>
      </c>
      <c r="CD38" s="1078">
        <v>0</v>
      </c>
      <c r="CE38" s="1078">
        <v>0</v>
      </c>
      <c r="CF38" s="1079">
        <v>0</v>
      </c>
      <c r="CG38" s="1240" t="s">
        <v>97</v>
      </c>
      <c r="CH38" s="1077" t="s">
        <v>1114</v>
      </c>
      <c r="CI38" s="1080">
        <f>'Core Making VOC-HAP'!C234+'Core Making VOC-HAP'!E234+'Core Making VOC-HAP'!G234</f>
        <v>8.1176470588235298E-4</v>
      </c>
      <c r="CJ38" s="1080">
        <f>'Core Making VOC-HAP'!D234+'Core Making VOC-HAP'!F234+'Core Making VOC-HAP'!H234</f>
        <v>3.5555294117647061E-3</v>
      </c>
      <c r="CK38" s="1080">
        <f>'Core Making VOC-HAP'!I234</f>
        <v>3.5555294117647061E-3</v>
      </c>
      <c r="CL38" s="1079">
        <v>0</v>
      </c>
      <c r="CM38" s="1076" t="s">
        <v>97</v>
      </c>
      <c r="CN38" s="1077" t="s">
        <v>1114</v>
      </c>
      <c r="CO38" s="1078">
        <v>0</v>
      </c>
      <c r="CP38" s="1078">
        <v>0</v>
      </c>
      <c r="CQ38" s="1078">
        <v>0</v>
      </c>
      <c r="CR38" s="1079">
        <v>0</v>
      </c>
      <c r="CS38" s="1076" t="s">
        <v>97</v>
      </c>
      <c r="CT38" s="1077" t="s">
        <v>1114</v>
      </c>
      <c r="CU38" s="1078">
        <v>0</v>
      </c>
      <c r="CV38" s="1078">
        <v>0</v>
      </c>
      <c r="CW38" s="1078">
        <v>0</v>
      </c>
      <c r="CX38" s="1079">
        <v>0</v>
      </c>
      <c r="CY38" s="1076" t="s">
        <v>97</v>
      </c>
      <c r="CZ38" s="1077" t="s">
        <v>1114</v>
      </c>
      <c r="DA38" s="1078">
        <v>0</v>
      </c>
      <c r="DB38" s="1078">
        <v>0</v>
      </c>
      <c r="DC38" s="1078">
        <v>0</v>
      </c>
      <c r="DD38" s="1079">
        <v>0</v>
      </c>
      <c r="DE38" s="1076" t="s">
        <v>97</v>
      </c>
      <c r="DF38" s="1077" t="s">
        <v>1114</v>
      </c>
      <c r="DG38" s="1078">
        <v>0</v>
      </c>
      <c r="DH38" s="1078">
        <v>0</v>
      </c>
      <c r="DI38" s="1078">
        <v>0</v>
      </c>
      <c r="DJ38" s="1079">
        <v>0</v>
      </c>
      <c r="DK38" s="1076" t="s">
        <v>97</v>
      </c>
      <c r="DL38" s="1077" t="s">
        <v>1114</v>
      </c>
      <c r="DM38" s="1078">
        <v>0</v>
      </c>
      <c r="DN38" s="1078">
        <v>0</v>
      </c>
      <c r="DO38" s="1078">
        <v>0</v>
      </c>
      <c r="DP38" s="1079">
        <v>0</v>
      </c>
      <c r="DQ38" s="1076" t="s">
        <v>97</v>
      </c>
      <c r="DR38" s="1077" t="s">
        <v>1114</v>
      </c>
      <c r="DS38" s="1078">
        <v>0</v>
      </c>
      <c r="DT38" s="1078">
        <v>0</v>
      </c>
      <c r="DU38" s="1078">
        <v>0</v>
      </c>
      <c r="DV38" s="1079">
        <v>0</v>
      </c>
      <c r="DW38" s="1076" t="s">
        <v>97</v>
      </c>
      <c r="DX38" s="1077" t="s">
        <v>1114</v>
      </c>
      <c r="DY38" s="1078">
        <v>0</v>
      </c>
      <c r="DZ38" s="1078">
        <v>0</v>
      </c>
      <c r="EA38" s="1078">
        <v>0</v>
      </c>
      <c r="EB38" s="1079">
        <v>0</v>
      </c>
      <c r="EC38" s="1076" t="s">
        <v>97</v>
      </c>
      <c r="ED38" s="1077" t="s">
        <v>1114</v>
      </c>
      <c r="EE38" s="1078">
        <v>0</v>
      </c>
      <c r="EF38" s="1078">
        <v>0</v>
      </c>
      <c r="EG38" s="1078">
        <v>0</v>
      </c>
      <c r="EH38" s="1079">
        <v>0</v>
      </c>
      <c r="EI38" s="1240" t="s">
        <v>97</v>
      </c>
      <c r="EJ38" s="1077" t="s">
        <v>1114</v>
      </c>
      <c r="EK38" s="1239">
        <v>3.5294117647058825E-3</v>
      </c>
      <c r="EL38" s="1239">
        <v>1.5458823529411764E-2</v>
      </c>
      <c r="EM38" s="1239">
        <v>1.5458823529411764E-2</v>
      </c>
      <c r="EN38" s="1079">
        <v>0</v>
      </c>
      <c r="EO38" s="1240" t="s">
        <v>97</v>
      </c>
      <c r="EP38" s="1206" t="s">
        <v>1114</v>
      </c>
      <c r="EQ38" s="1239">
        <v>6.176470588235293E-4</v>
      </c>
      <c r="ER38" s="1239">
        <v>2.7052941176470583E-3</v>
      </c>
      <c r="ES38" s="1239">
        <v>2.7052941176470583E-3</v>
      </c>
      <c r="ET38" s="1079">
        <v>0</v>
      </c>
      <c r="EU38" s="1076" t="s">
        <v>97</v>
      </c>
      <c r="EV38" s="1077" t="s">
        <v>1114</v>
      </c>
      <c r="EW38" s="1078">
        <v>0</v>
      </c>
      <c r="EX38" s="1078">
        <v>0</v>
      </c>
      <c r="EY38" s="1078">
        <v>0</v>
      </c>
      <c r="EZ38" s="1079">
        <v>0</v>
      </c>
      <c r="FA38" s="1076" t="s">
        <v>97</v>
      </c>
      <c r="FB38" s="1077" t="s">
        <v>1114</v>
      </c>
      <c r="FC38" s="1078">
        <v>0</v>
      </c>
      <c r="FD38" s="1078">
        <v>0</v>
      </c>
      <c r="FE38" s="1078">
        <v>0</v>
      </c>
      <c r="FF38" s="1079">
        <v>0</v>
      </c>
      <c r="FG38" s="1076" t="s">
        <v>97</v>
      </c>
      <c r="FH38" s="1077" t="s">
        <v>1114</v>
      </c>
      <c r="FI38" s="1078">
        <v>0</v>
      </c>
      <c r="FJ38" s="1078">
        <v>0</v>
      </c>
      <c r="FK38" s="1078">
        <v>0</v>
      </c>
      <c r="FL38" s="1079">
        <v>0</v>
      </c>
      <c r="FM38" s="1076" t="s">
        <v>97</v>
      </c>
      <c r="FN38" s="1077" t="s">
        <v>1114</v>
      </c>
      <c r="FO38" s="1078">
        <v>0</v>
      </c>
      <c r="FP38" s="1078">
        <v>0</v>
      </c>
      <c r="FQ38" s="1078">
        <v>0</v>
      </c>
      <c r="FR38" s="1079">
        <v>0</v>
      </c>
      <c r="FS38" s="1076" t="s">
        <v>97</v>
      </c>
      <c r="FT38" s="1077" t="s">
        <v>1114</v>
      </c>
      <c r="FU38" s="1078">
        <v>0</v>
      </c>
      <c r="FV38" s="1078">
        <v>0</v>
      </c>
      <c r="FW38" s="1078">
        <v>0</v>
      </c>
      <c r="FX38" s="1079">
        <v>0</v>
      </c>
      <c r="FY38" s="1076" t="s">
        <v>97</v>
      </c>
      <c r="FZ38" s="1077" t="s">
        <v>1114</v>
      </c>
      <c r="GA38" s="1078">
        <v>0</v>
      </c>
      <c r="GB38" s="1078">
        <v>0</v>
      </c>
      <c r="GC38" s="1078">
        <v>0</v>
      </c>
      <c r="GD38" s="1079">
        <v>0</v>
      </c>
      <c r="GE38" s="1076" t="s">
        <v>97</v>
      </c>
      <c r="GF38" s="1077" t="s">
        <v>1114</v>
      </c>
      <c r="GG38" s="1261">
        <f>C38+I38+O38+U38+AA38+AG38+AM38+AS38+AY38+BE38+BQ38+BW38+CC38+CI38+CO38+CU38+DA38+DG38+DM38+DS38+DY38+EE38+EK38+EQ38+EW38+FC38+FI38+FO38+FU38+GA38</f>
        <v>1.8194117647058822E-2</v>
      </c>
      <c r="GH38" s="1261">
        <f>D38+J38+P38+V38+AB38+AH38+AN38+AT38+AZ38+BF38+BR38+BX38+CD38+CJ38+CP38+CV38+DB38+DH38+DN38+DT38+DZ38+EF38+EL38+ER38+EX38+FD38+FJ38+FP38+FV38+GB38</f>
        <v>7.9690235294117645E-2</v>
      </c>
      <c r="GI38" s="1261">
        <f>E38+K38+Q38+W38+AC38+BM38+BS38+BY38+CE38+CK38+CQ38+CW38+DC38+DI38+DO38+DU38+EA38+EG38+EM38+ES38+EY38+FE38+FK38+FQ38+FW38</f>
        <v>7.9690235294117645E-2</v>
      </c>
      <c r="GJ38" s="1199">
        <f t="shared" si="0"/>
        <v>0</v>
      </c>
    </row>
    <row r="39" spans="1:192" s="1081" customFormat="1" ht="15" customHeight="1">
      <c r="A39" s="1076" t="s">
        <v>268</v>
      </c>
      <c r="B39" s="1077" t="s">
        <v>1115</v>
      </c>
      <c r="C39" s="1078">
        <v>0</v>
      </c>
      <c r="D39" s="1078">
        <v>0</v>
      </c>
      <c r="E39" s="1078">
        <v>0</v>
      </c>
      <c r="F39" s="1079">
        <v>0</v>
      </c>
      <c r="G39" s="1076" t="s">
        <v>268</v>
      </c>
      <c r="H39" s="1077" t="s">
        <v>1115</v>
      </c>
      <c r="I39" s="1204">
        <f>'Brass Melting'!E42</f>
        <v>0.75001426533523541</v>
      </c>
      <c r="J39" s="1204">
        <f>'Brass Melting'!F42</f>
        <v>3.285062482168331</v>
      </c>
      <c r="K39" s="1082" t="s">
        <v>1142</v>
      </c>
      <c r="L39" s="1079">
        <v>0</v>
      </c>
      <c r="M39" s="1076" t="s">
        <v>268</v>
      </c>
      <c r="N39" s="1206" t="s">
        <v>1115</v>
      </c>
      <c r="O39" s="1082">
        <f>'Brass Melting'!I42</f>
        <v>0.75001426533523541</v>
      </c>
      <c r="P39" s="1082">
        <f>'Brass Melting'!J42</f>
        <v>3.285062482168331</v>
      </c>
      <c r="Q39" s="1082" t="s">
        <v>1142</v>
      </c>
      <c r="R39" s="1079">
        <v>0</v>
      </c>
      <c r="S39" s="1076" t="s">
        <v>268</v>
      </c>
      <c r="T39" s="1077" t="s">
        <v>1115</v>
      </c>
      <c r="U39" s="1204">
        <f>'Brass Melting'!M42</f>
        <v>0.22500427960057062</v>
      </c>
      <c r="V39" s="1204">
        <f>'Brass Melting'!N42</f>
        <v>0.98551874465049938</v>
      </c>
      <c r="W39" s="1082" t="s">
        <v>1142</v>
      </c>
      <c r="X39" s="1079">
        <v>0</v>
      </c>
      <c r="Y39" s="1076" t="s">
        <v>268</v>
      </c>
      <c r="Z39" s="1077" t="s">
        <v>1115</v>
      </c>
      <c r="AA39" s="1082" t="s">
        <v>1141</v>
      </c>
      <c r="AB39" s="1082" t="s">
        <v>1141</v>
      </c>
      <c r="AC39" s="1080">
        <f>'Brass Melting'!Q42</f>
        <v>0.11262964222539225</v>
      </c>
      <c r="AD39" s="1079">
        <v>0</v>
      </c>
      <c r="AE39" s="1240" t="s">
        <v>98</v>
      </c>
      <c r="AF39" s="1077" t="s">
        <v>1115</v>
      </c>
      <c r="AG39" s="1239">
        <v>5.588235294117647E-7</v>
      </c>
      <c r="AH39" s="1239">
        <v>2.4476470588235294E-6</v>
      </c>
      <c r="AI39" s="1082" t="s">
        <v>1174</v>
      </c>
      <c r="AJ39" s="1079">
        <v>0</v>
      </c>
      <c r="AK39" s="1240" t="s">
        <v>98</v>
      </c>
      <c r="AL39" s="1206" t="s">
        <v>1115</v>
      </c>
      <c r="AM39" s="1239">
        <v>5.588235294117647E-7</v>
      </c>
      <c r="AN39" s="1239">
        <v>2.4476470588235294E-6</v>
      </c>
      <c r="AO39" s="1082" t="s">
        <v>1174</v>
      </c>
      <c r="AP39" s="1079">
        <v>0</v>
      </c>
      <c r="AQ39" s="1240" t="s">
        <v>98</v>
      </c>
      <c r="AR39" s="1077" t="s">
        <v>1115</v>
      </c>
      <c r="AS39" s="1239">
        <v>5.588235294117647E-7</v>
      </c>
      <c r="AT39" s="1239">
        <v>2.4476470588235294E-6</v>
      </c>
      <c r="AU39" s="1082" t="s">
        <v>1174</v>
      </c>
      <c r="AV39" s="1079">
        <v>0</v>
      </c>
      <c r="AW39" s="1240" t="s">
        <v>98</v>
      </c>
      <c r="AX39" s="1206" t="s">
        <v>1115</v>
      </c>
      <c r="AY39" s="1239">
        <v>5.588235294117647E-7</v>
      </c>
      <c r="AZ39" s="1239">
        <v>2.4476470588235294E-6</v>
      </c>
      <c r="BA39" s="1082" t="s">
        <v>1174</v>
      </c>
      <c r="BB39" s="1079">
        <v>0</v>
      </c>
      <c r="BC39" s="1240" t="s">
        <v>98</v>
      </c>
      <c r="BD39" s="1077" t="s">
        <v>1115</v>
      </c>
      <c r="BE39" s="1239">
        <v>5.588235294117647E-7</v>
      </c>
      <c r="BF39" s="1239">
        <v>2.4476470588235294E-6</v>
      </c>
      <c r="BG39" s="1082" t="s">
        <v>1174</v>
      </c>
      <c r="BH39" s="1079">
        <v>0</v>
      </c>
      <c r="BI39" s="1240" t="s">
        <v>98</v>
      </c>
      <c r="BJ39" s="1077" t="s">
        <v>1115</v>
      </c>
      <c r="BK39" s="1082" t="s">
        <v>1141</v>
      </c>
      <c r="BL39" s="1082" t="s">
        <v>1141</v>
      </c>
      <c r="BM39" s="1239">
        <v>2.0737382352941183E-3</v>
      </c>
      <c r="BN39" s="1079">
        <v>0</v>
      </c>
      <c r="BO39" s="1076" t="s">
        <v>268</v>
      </c>
      <c r="BP39" s="1077" t="s">
        <v>1115</v>
      </c>
      <c r="BQ39" s="1078">
        <v>0</v>
      </c>
      <c r="BR39" s="1078">
        <v>0</v>
      </c>
      <c r="BS39" s="1078">
        <v>0</v>
      </c>
      <c r="BT39" s="1079">
        <v>0</v>
      </c>
      <c r="BU39" s="1076" t="s">
        <v>268</v>
      </c>
      <c r="BV39" s="1077" t="s">
        <v>1115</v>
      </c>
      <c r="BW39" s="1078">
        <v>0</v>
      </c>
      <c r="BX39" s="1078">
        <v>0</v>
      </c>
      <c r="BY39" s="1078">
        <v>0</v>
      </c>
      <c r="BZ39" s="1079">
        <v>0</v>
      </c>
      <c r="CA39" s="1076" t="s">
        <v>268</v>
      </c>
      <c r="CB39" s="1077" t="s">
        <v>1115</v>
      </c>
      <c r="CC39" s="1078">
        <v>0</v>
      </c>
      <c r="CD39" s="1078">
        <v>0</v>
      </c>
      <c r="CE39" s="1078">
        <v>0</v>
      </c>
      <c r="CF39" s="1079">
        <v>0</v>
      </c>
      <c r="CG39" s="1240" t="s">
        <v>98</v>
      </c>
      <c r="CH39" s="1077" t="s">
        <v>1115</v>
      </c>
      <c r="CI39" s="1080">
        <f>'Core Making VOC-HAP'!C235+'Core Making VOC-HAP'!E235+'Core Making VOC-HAP'!G235</f>
        <v>1.7137254901960785E-7</v>
      </c>
      <c r="CJ39" s="1080">
        <f>'Core Making VOC-HAP'!D235+'Core Making VOC-HAP'!F235+'Core Making VOC-HAP'!H235</f>
        <v>7.5061176470588239E-7</v>
      </c>
      <c r="CK39" s="1080">
        <f>'Core Making VOC-HAP'!I235</f>
        <v>7.5061176470588239E-7</v>
      </c>
      <c r="CL39" s="1079">
        <v>0</v>
      </c>
      <c r="CM39" s="1076" t="s">
        <v>268</v>
      </c>
      <c r="CN39" s="1077" t="s">
        <v>1115</v>
      </c>
      <c r="CO39" s="1078">
        <v>0</v>
      </c>
      <c r="CP39" s="1078">
        <v>0</v>
      </c>
      <c r="CQ39" s="1078">
        <v>0</v>
      </c>
      <c r="CR39" s="1079">
        <v>0</v>
      </c>
      <c r="CS39" s="1076" t="s">
        <v>268</v>
      </c>
      <c r="CT39" s="1077" t="s">
        <v>1115</v>
      </c>
      <c r="CU39" s="1078">
        <v>0</v>
      </c>
      <c r="CV39" s="1078">
        <v>0</v>
      </c>
      <c r="CW39" s="1078">
        <v>0</v>
      </c>
      <c r="CX39" s="1079">
        <v>0</v>
      </c>
      <c r="CY39" s="1076" t="s">
        <v>268</v>
      </c>
      <c r="CZ39" s="1077" t="s">
        <v>1115</v>
      </c>
      <c r="DA39" s="1078">
        <v>0</v>
      </c>
      <c r="DB39" s="1078">
        <v>0</v>
      </c>
      <c r="DC39" s="1078">
        <v>0</v>
      </c>
      <c r="DD39" s="1079">
        <v>0</v>
      </c>
      <c r="DE39" s="1076" t="s">
        <v>268</v>
      </c>
      <c r="DF39" s="1077" t="s">
        <v>1115</v>
      </c>
      <c r="DG39" s="1078">
        <v>0</v>
      </c>
      <c r="DH39" s="1078">
        <v>0</v>
      </c>
      <c r="DI39" s="1078">
        <v>0</v>
      </c>
      <c r="DJ39" s="1079">
        <v>0</v>
      </c>
      <c r="DK39" s="1076" t="s">
        <v>268</v>
      </c>
      <c r="DL39" s="1077" t="s">
        <v>1115</v>
      </c>
      <c r="DM39" s="1078">
        <v>0</v>
      </c>
      <c r="DN39" s="1078">
        <v>0</v>
      </c>
      <c r="DO39" s="1078">
        <v>0</v>
      </c>
      <c r="DP39" s="1079">
        <v>0</v>
      </c>
      <c r="DQ39" s="1076" t="s">
        <v>268</v>
      </c>
      <c r="DR39" s="1077" t="s">
        <v>1115</v>
      </c>
      <c r="DS39" s="1078">
        <v>0</v>
      </c>
      <c r="DT39" s="1078">
        <v>0</v>
      </c>
      <c r="DU39" s="1078">
        <v>0</v>
      </c>
      <c r="DV39" s="1079">
        <v>0</v>
      </c>
      <c r="DW39" s="1076" t="s">
        <v>268</v>
      </c>
      <c r="DX39" s="1077" t="s">
        <v>1115</v>
      </c>
      <c r="DY39" s="1082">
        <f>'Pouring-Casting-Cooling'!E31</f>
        <v>0.59851138373751789</v>
      </c>
      <c r="DZ39" s="1082">
        <f>'Pouring-Casting-Cooling'!F31</f>
        <v>2.6214798607703282</v>
      </c>
      <c r="EA39" s="1082">
        <f>'Pouring-Casting-Cooling'!G31</f>
        <v>0.23625449358059916</v>
      </c>
      <c r="EB39" s="1079">
        <v>0</v>
      </c>
      <c r="EC39" s="1076" t="s">
        <v>268</v>
      </c>
      <c r="ED39" s="1077" t="s">
        <v>1115</v>
      </c>
      <c r="EE39" s="1080">
        <f>'IA-Transfer Ladle'!E39*'IA-Transfer Ladle'!$C$10</f>
        <v>1.7100325249643365E-2</v>
      </c>
      <c r="EF39" s="1080">
        <f>'IA-Transfer Ladle'!F39*'IA-Transfer Ladle'!$C$10</f>
        <v>7.4899424593437944E-2</v>
      </c>
      <c r="EG39" s="1080">
        <f>'IA-Transfer Ladle'!G39</f>
        <v>6.7501283880171178E-3</v>
      </c>
      <c r="EH39" s="1079">
        <v>0</v>
      </c>
      <c r="EI39" s="1240" t="s">
        <v>98</v>
      </c>
      <c r="EJ39" s="1077" t="s">
        <v>1115</v>
      </c>
      <c r="EK39" s="1239">
        <v>7.450980392156863E-7</v>
      </c>
      <c r="EL39" s="1239">
        <v>3.2635294117647058E-6</v>
      </c>
      <c r="EM39" s="1239">
        <v>3.2635294117647058E-6</v>
      </c>
      <c r="EN39" s="1079">
        <v>0</v>
      </c>
      <c r="EO39" s="1240" t="s">
        <v>98</v>
      </c>
      <c r="EP39" s="1206" t="s">
        <v>1115</v>
      </c>
      <c r="EQ39" s="1239">
        <v>1.3039215686274509E-7</v>
      </c>
      <c r="ER39" s="1239">
        <v>5.7111764705882356E-7</v>
      </c>
      <c r="ES39" s="1239">
        <v>5.7111764705882356E-7</v>
      </c>
      <c r="ET39" s="1079">
        <v>0</v>
      </c>
      <c r="EU39" s="1076" t="s">
        <v>268</v>
      </c>
      <c r="EV39" s="1077" t="s">
        <v>1115</v>
      </c>
      <c r="EW39" s="1082">
        <f>Shotblast!E36</f>
        <v>2.42254607703281</v>
      </c>
      <c r="EX39" s="1082">
        <f>Shotblast!F36</f>
        <v>10.610751817403708</v>
      </c>
      <c r="EY39" s="1082" t="s">
        <v>1210</v>
      </c>
      <c r="EZ39" s="1079">
        <v>0</v>
      </c>
      <c r="FA39" s="1076" t="s">
        <v>268</v>
      </c>
      <c r="FB39" s="1077" t="s">
        <v>1115</v>
      </c>
      <c r="FC39" s="1082">
        <f t="shared" ref="FC39" si="18">EW39</f>
        <v>2.42254607703281</v>
      </c>
      <c r="FD39" s="1082">
        <f t="shared" ref="FD39" si="19">EX39</f>
        <v>10.610751817403708</v>
      </c>
      <c r="FE39" s="1082" t="s">
        <v>1210</v>
      </c>
      <c r="FF39" s="1079">
        <v>0</v>
      </c>
      <c r="FG39" s="1076" t="s">
        <v>268</v>
      </c>
      <c r="FH39" s="1077" t="s">
        <v>1115</v>
      </c>
      <c r="FI39" s="1082">
        <f t="shared" ref="FI39" si="20">EW39</f>
        <v>2.42254607703281</v>
      </c>
      <c r="FJ39" s="1082">
        <f t="shared" ref="FJ39" si="21">EX39</f>
        <v>10.610751817403708</v>
      </c>
      <c r="FK39" s="1082" t="s">
        <v>1210</v>
      </c>
      <c r="FL39" s="1079">
        <v>0</v>
      </c>
      <c r="FM39" s="1076" t="s">
        <v>268</v>
      </c>
      <c r="FN39" s="1077" t="s">
        <v>1115</v>
      </c>
      <c r="FO39" s="1082" t="s">
        <v>1141</v>
      </c>
      <c r="FP39" s="1082" t="s">
        <v>1141</v>
      </c>
      <c r="FQ39" s="1080">
        <f>Shotblast!H36</f>
        <v>6.6938773181169753E-2</v>
      </c>
      <c r="FR39" s="1079">
        <v>0</v>
      </c>
      <c r="FS39" s="1076" t="s">
        <v>268</v>
      </c>
      <c r="FT39" s="1077" t="s">
        <v>1115</v>
      </c>
      <c r="FU39" s="1080">
        <f>'Shakeout, Green Sand'!E37</f>
        <v>0.16363947607314228</v>
      </c>
      <c r="FV39" s="1080">
        <f>'Shakeout, Green Sand'!F37</f>
        <v>0.71674090520036315</v>
      </c>
      <c r="FW39" s="1080">
        <f>'Shakeout, Green Sand'!I37</f>
        <v>8.8201677603423692E-2</v>
      </c>
      <c r="FX39" s="1079">
        <v>0</v>
      </c>
      <c r="FY39" s="1076" t="s">
        <v>268</v>
      </c>
      <c r="FZ39" s="1077" t="s">
        <v>1115</v>
      </c>
      <c r="GA39" s="1080">
        <f>'Knockout, Silica Sand'!E37</f>
        <v>0.16363947607314228</v>
      </c>
      <c r="GB39" s="1080">
        <f>'Knockout, Silica Sand'!F37</f>
        <v>0.71674090520036315</v>
      </c>
      <c r="GC39" s="1080">
        <f>'Knockout, Silica Sand'!I37</f>
        <v>7.9561513266761766E-2</v>
      </c>
      <c r="GD39" s="1079">
        <v>0</v>
      </c>
      <c r="GE39" s="1076" t="s">
        <v>268</v>
      </c>
      <c r="GF39" s="1077" t="s">
        <v>1115</v>
      </c>
      <c r="GG39" s="1261">
        <f>C39+I39+O39+U39+AG39+AM39+AS39+AY39+BE39+BQ39+BW39+CC39+CI39+CO39+CU39+DA39+DG39+DM39+DS39+DY39+EE39+EK39+EQ39+EW39+FC39+FI39+FU39+GA39</f>
        <v>9.9355655434833086</v>
      </c>
      <c r="GH39" s="1261">
        <f>D39+J39+P39+V39+AH39+AN39+AT39+AZ39+BF39+BR39+BX39+CD39+CJ39+CP39+CV39+DB39+DH39+DN39+DT39+DZ39+EF39+EL39+ER39+EX39+FD39+FJ39+FV39+GB39</f>
        <v>43.517777080456895</v>
      </c>
      <c r="GI39" s="1261">
        <f>E39+AC39+BM39+BS39+BY39+CE39+CK39+CQ39+CW39+DC39+DI39+DO39+DU39+EA39+EG39+EM39+ES39+FQ39+FW39</f>
        <v>0.51285303847271968</v>
      </c>
      <c r="GJ39" s="1199">
        <f t="shared" si="0"/>
        <v>0</v>
      </c>
    </row>
    <row r="40" spans="1:192" s="1081" customFormat="1" ht="15" customHeight="1">
      <c r="A40" s="1076" t="s">
        <v>99</v>
      </c>
      <c r="B40" s="1077" t="s">
        <v>655</v>
      </c>
      <c r="C40" s="1078">
        <v>0</v>
      </c>
      <c r="D40" s="1078">
        <v>0</v>
      </c>
      <c r="E40" s="1078">
        <v>0</v>
      </c>
      <c r="F40" s="1079">
        <v>0</v>
      </c>
      <c r="G40" s="1076" t="s">
        <v>99</v>
      </c>
      <c r="H40" s="1077" t="s">
        <v>655</v>
      </c>
      <c r="I40" s="1203">
        <v>0</v>
      </c>
      <c r="J40" s="1078">
        <v>0</v>
      </c>
      <c r="K40" s="1078">
        <v>0</v>
      </c>
      <c r="L40" s="1079">
        <v>0</v>
      </c>
      <c r="M40" s="1076" t="s">
        <v>99</v>
      </c>
      <c r="N40" s="1206" t="s">
        <v>655</v>
      </c>
      <c r="O40" s="1078">
        <v>0</v>
      </c>
      <c r="P40" s="1078">
        <v>0</v>
      </c>
      <c r="Q40" s="1078">
        <v>0</v>
      </c>
      <c r="R40" s="1079">
        <v>0</v>
      </c>
      <c r="S40" s="1076" t="s">
        <v>99</v>
      </c>
      <c r="T40" s="1077" t="s">
        <v>655</v>
      </c>
      <c r="U40" s="1203">
        <v>0</v>
      </c>
      <c r="V40" s="1078">
        <v>0</v>
      </c>
      <c r="W40" s="1078">
        <v>0</v>
      </c>
      <c r="X40" s="1079">
        <v>0</v>
      </c>
      <c r="Y40" s="1076" t="s">
        <v>99</v>
      </c>
      <c r="Z40" s="1077" t="s">
        <v>655</v>
      </c>
      <c r="AA40" s="1078">
        <v>0</v>
      </c>
      <c r="AB40" s="1078">
        <v>0</v>
      </c>
      <c r="AC40" s="1078">
        <v>0</v>
      </c>
      <c r="AD40" s="1079">
        <v>0</v>
      </c>
      <c r="AE40" s="1240" t="s">
        <v>99</v>
      </c>
      <c r="AF40" s="1077" t="s">
        <v>655</v>
      </c>
      <c r="AG40" s="1239">
        <v>3.8235294117647053E-7</v>
      </c>
      <c r="AH40" s="1239">
        <v>1.674705882352941E-6</v>
      </c>
      <c r="AI40" s="1082" t="s">
        <v>1174</v>
      </c>
      <c r="AJ40" s="1079">
        <v>0</v>
      </c>
      <c r="AK40" s="1240" t="s">
        <v>99</v>
      </c>
      <c r="AL40" s="1206" t="s">
        <v>655</v>
      </c>
      <c r="AM40" s="1239">
        <v>3.8235294117647053E-7</v>
      </c>
      <c r="AN40" s="1239">
        <v>1.674705882352941E-6</v>
      </c>
      <c r="AO40" s="1082" t="s">
        <v>1174</v>
      </c>
      <c r="AP40" s="1079">
        <v>0</v>
      </c>
      <c r="AQ40" s="1240" t="s">
        <v>99</v>
      </c>
      <c r="AR40" s="1077" t="s">
        <v>655</v>
      </c>
      <c r="AS40" s="1239">
        <v>3.8235294117647053E-7</v>
      </c>
      <c r="AT40" s="1239">
        <v>1.674705882352941E-6</v>
      </c>
      <c r="AU40" s="1082" t="s">
        <v>1174</v>
      </c>
      <c r="AV40" s="1079">
        <v>0</v>
      </c>
      <c r="AW40" s="1240" t="s">
        <v>99</v>
      </c>
      <c r="AX40" s="1206" t="s">
        <v>655</v>
      </c>
      <c r="AY40" s="1239">
        <v>3.8235294117647053E-7</v>
      </c>
      <c r="AZ40" s="1239">
        <v>1.674705882352941E-6</v>
      </c>
      <c r="BA40" s="1082" t="s">
        <v>1174</v>
      </c>
      <c r="BB40" s="1079">
        <v>0</v>
      </c>
      <c r="BC40" s="1240" t="s">
        <v>99</v>
      </c>
      <c r="BD40" s="1077" t="s">
        <v>655</v>
      </c>
      <c r="BE40" s="1239">
        <v>3.8235294117647053E-7</v>
      </c>
      <c r="BF40" s="1239">
        <v>1.674705882352941E-6</v>
      </c>
      <c r="BG40" s="1082" t="s">
        <v>1174</v>
      </c>
      <c r="BH40" s="1079">
        <v>0</v>
      </c>
      <c r="BI40" s="1240" t="s">
        <v>99</v>
      </c>
      <c r="BJ40" s="1077" t="s">
        <v>655</v>
      </c>
      <c r="BK40" s="1082" t="s">
        <v>1141</v>
      </c>
      <c r="BL40" s="1082" t="s">
        <v>1141</v>
      </c>
      <c r="BM40" s="1239">
        <v>8.3735294117647043E-6</v>
      </c>
      <c r="BN40" s="1079">
        <v>0</v>
      </c>
      <c r="BO40" s="1076" t="s">
        <v>99</v>
      </c>
      <c r="BP40" s="1077" t="s">
        <v>655</v>
      </c>
      <c r="BQ40" s="1078">
        <v>0</v>
      </c>
      <c r="BR40" s="1078">
        <v>0</v>
      </c>
      <c r="BS40" s="1078">
        <v>0</v>
      </c>
      <c r="BT40" s="1079">
        <v>0</v>
      </c>
      <c r="BU40" s="1076" t="s">
        <v>99</v>
      </c>
      <c r="BV40" s="1077" t="s">
        <v>655</v>
      </c>
      <c r="BW40" s="1078">
        <v>0</v>
      </c>
      <c r="BX40" s="1078">
        <v>0</v>
      </c>
      <c r="BY40" s="1078">
        <v>0</v>
      </c>
      <c r="BZ40" s="1079">
        <v>0</v>
      </c>
      <c r="CA40" s="1076" t="s">
        <v>99</v>
      </c>
      <c r="CB40" s="1077" t="s">
        <v>655</v>
      </c>
      <c r="CC40" s="1078">
        <v>0</v>
      </c>
      <c r="CD40" s="1078">
        <v>0</v>
      </c>
      <c r="CE40" s="1078">
        <v>0</v>
      </c>
      <c r="CF40" s="1079">
        <v>0</v>
      </c>
      <c r="CG40" s="1240" t="s">
        <v>99</v>
      </c>
      <c r="CH40" s="1077" t="s">
        <v>655</v>
      </c>
      <c r="CI40" s="1080">
        <f>'Core Making VOC-HAP'!C236+'Core Making VOC-HAP'!E236+'Core Making VOC-HAP'!G236</f>
        <v>1.1725490196078431E-7</v>
      </c>
      <c r="CJ40" s="1080">
        <f>'Core Making VOC-HAP'!D236+'Core Making VOC-HAP'!F236+'Core Making VOC-HAP'!H236</f>
        <v>5.1357647058823519E-7</v>
      </c>
      <c r="CK40" s="1080">
        <f>'Core Making VOC-HAP'!I236</f>
        <v>5.1357647058823519E-7</v>
      </c>
      <c r="CL40" s="1079">
        <v>0</v>
      </c>
      <c r="CM40" s="1076" t="s">
        <v>99</v>
      </c>
      <c r="CN40" s="1077" t="s">
        <v>655</v>
      </c>
      <c r="CO40" s="1078">
        <v>0</v>
      </c>
      <c r="CP40" s="1078">
        <v>0</v>
      </c>
      <c r="CQ40" s="1078">
        <v>0</v>
      </c>
      <c r="CR40" s="1079">
        <v>0</v>
      </c>
      <c r="CS40" s="1076" t="s">
        <v>99</v>
      </c>
      <c r="CT40" s="1077" t="s">
        <v>655</v>
      </c>
      <c r="CU40" s="1078">
        <v>0</v>
      </c>
      <c r="CV40" s="1078">
        <v>0</v>
      </c>
      <c r="CW40" s="1078">
        <v>0</v>
      </c>
      <c r="CX40" s="1079">
        <v>0</v>
      </c>
      <c r="CY40" s="1076" t="s">
        <v>99</v>
      </c>
      <c r="CZ40" s="1077" t="s">
        <v>655</v>
      </c>
      <c r="DA40" s="1078">
        <v>0</v>
      </c>
      <c r="DB40" s="1078">
        <v>0</v>
      </c>
      <c r="DC40" s="1078">
        <v>0</v>
      </c>
      <c r="DD40" s="1079">
        <v>0</v>
      </c>
      <c r="DE40" s="1076" t="s">
        <v>99</v>
      </c>
      <c r="DF40" s="1077" t="s">
        <v>655</v>
      </c>
      <c r="DG40" s="1078">
        <v>0</v>
      </c>
      <c r="DH40" s="1078">
        <v>0</v>
      </c>
      <c r="DI40" s="1078">
        <v>0</v>
      </c>
      <c r="DJ40" s="1079">
        <v>0</v>
      </c>
      <c r="DK40" s="1076" t="s">
        <v>99</v>
      </c>
      <c r="DL40" s="1077" t="s">
        <v>655</v>
      </c>
      <c r="DM40" s="1078">
        <v>0</v>
      </c>
      <c r="DN40" s="1078">
        <v>0</v>
      </c>
      <c r="DO40" s="1078">
        <v>0</v>
      </c>
      <c r="DP40" s="1079">
        <v>0</v>
      </c>
      <c r="DQ40" s="1076" t="s">
        <v>99</v>
      </c>
      <c r="DR40" s="1077" t="s">
        <v>655</v>
      </c>
      <c r="DS40" s="1078">
        <v>0</v>
      </c>
      <c r="DT40" s="1078">
        <v>0</v>
      </c>
      <c r="DU40" s="1078">
        <v>0</v>
      </c>
      <c r="DV40" s="1079">
        <v>0</v>
      </c>
      <c r="DW40" s="1076" t="s">
        <v>99</v>
      </c>
      <c r="DX40" s="1077" t="s">
        <v>655</v>
      </c>
      <c r="DY40" s="1078">
        <v>0</v>
      </c>
      <c r="DZ40" s="1078">
        <v>0</v>
      </c>
      <c r="EA40" s="1078">
        <v>0</v>
      </c>
      <c r="EB40" s="1079">
        <v>0</v>
      </c>
      <c r="EC40" s="1076" t="s">
        <v>99</v>
      </c>
      <c r="ED40" s="1077" t="s">
        <v>655</v>
      </c>
      <c r="EE40" s="1078">
        <v>0</v>
      </c>
      <c r="EF40" s="1078">
        <v>0</v>
      </c>
      <c r="EG40" s="1078">
        <v>0</v>
      </c>
      <c r="EH40" s="1079">
        <v>0</v>
      </c>
      <c r="EI40" s="1240" t="s">
        <v>99</v>
      </c>
      <c r="EJ40" s="1077" t="s">
        <v>655</v>
      </c>
      <c r="EK40" s="1239">
        <v>5.0980392156862741E-7</v>
      </c>
      <c r="EL40" s="1239">
        <v>2.2329411764705883E-6</v>
      </c>
      <c r="EM40" s="1239">
        <v>2.2329411764705883E-6</v>
      </c>
      <c r="EN40" s="1079">
        <v>0</v>
      </c>
      <c r="EO40" s="1240" t="s">
        <v>99</v>
      </c>
      <c r="EP40" s="1206" t="s">
        <v>655</v>
      </c>
      <c r="EQ40" s="1239">
        <v>8.9215686274509781E-8</v>
      </c>
      <c r="ER40" s="1239">
        <v>3.9076470588235285E-7</v>
      </c>
      <c r="ES40" s="1239">
        <v>3.9076470588235285E-7</v>
      </c>
      <c r="ET40" s="1079">
        <v>0</v>
      </c>
      <c r="EU40" s="1076" t="s">
        <v>99</v>
      </c>
      <c r="EV40" s="1077" t="s">
        <v>655</v>
      </c>
      <c r="EW40" s="1078">
        <v>0</v>
      </c>
      <c r="EX40" s="1078">
        <v>0</v>
      </c>
      <c r="EY40" s="1078">
        <v>0</v>
      </c>
      <c r="EZ40" s="1079">
        <v>0</v>
      </c>
      <c r="FA40" s="1076" t="s">
        <v>99</v>
      </c>
      <c r="FB40" s="1077" t="s">
        <v>655</v>
      </c>
      <c r="FC40" s="1078">
        <v>0</v>
      </c>
      <c r="FD40" s="1078">
        <v>0</v>
      </c>
      <c r="FE40" s="1078">
        <v>0</v>
      </c>
      <c r="FF40" s="1079">
        <v>0</v>
      </c>
      <c r="FG40" s="1076" t="s">
        <v>99</v>
      </c>
      <c r="FH40" s="1077" t="s">
        <v>655</v>
      </c>
      <c r="FI40" s="1078">
        <v>0</v>
      </c>
      <c r="FJ40" s="1078">
        <v>0</v>
      </c>
      <c r="FK40" s="1078">
        <v>0</v>
      </c>
      <c r="FL40" s="1079">
        <v>0</v>
      </c>
      <c r="FM40" s="1076" t="s">
        <v>99</v>
      </c>
      <c r="FN40" s="1077" t="s">
        <v>655</v>
      </c>
      <c r="FO40" s="1078">
        <v>0</v>
      </c>
      <c r="FP40" s="1078">
        <v>0</v>
      </c>
      <c r="FQ40" s="1078">
        <v>0</v>
      </c>
      <c r="FR40" s="1079">
        <v>0</v>
      </c>
      <c r="FS40" s="1076" t="s">
        <v>99</v>
      </c>
      <c r="FT40" s="1077" t="s">
        <v>655</v>
      </c>
      <c r="FU40" s="1078">
        <v>0</v>
      </c>
      <c r="FV40" s="1078">
        <v>0</v>
      </c>
      <c r="FW40" s="1078">
        <v>0</v>
      </c>
      <c r="FX40" s="1079">
        <v>0</v>
      </c>
      <c r="FY40" s="1076" t="s">
        <v>99</v>
      </c>
      <c r="FZ40" s="1077" t="s">
        <v>655</v>
      </c>
      <c r="GA40" s="1078">
        <v>0</v>
      </c>
      <c r="GB40" s="1078">
        <v>0</v>
      </c>
      <c r="GC40" s="1078">
        <v>0</v>
      </c>
      <c r="GD40" s="1079">
        <v>0</v>
      </c>
      <c r="GE40" s="1076" t="s">
        <v>99</v>
      </c>
      <c r="GF40" s="1077" t="s">
        <v>655</v>
      </c>
      <c r="GG40" s="1261">
        <f>C40+I40+O40+U40+AA40+AG40+AM40+AS40+AY40+BE40+BQ40+BW40+CC40+CI40+CO40+CU40+DA40+DG40+DM40+DS40+DY40+EE40+EK40+EQ40+EW40+FC40+FI40+FO40+FU40+GA40</f>
        <v>2.6280392156862743E-6</v>
      </c>
      <c r="GH40" s="1261">
        <f>D40+J40+P40+V40+AB40+AH40+AN40+AT40+AZ40+BF40+BR40+BX40+CD40+CJ40+CP40+CV40+DB40+DH40+DN40+DT40+DZ40+EF40+EL40+ER40+EX40+FD40+FJ40+FP40+FV40+GB40</f>
        <v>1.1510811764705882E-5</v>
      </c>
      <c r="GI40" s="1261">
        <f>E40+K40+Q40+W40+AC40+BM40+BS40+BY40+CE40+CK40+CQ40+CW40+DC40+DI40+DO40+DU40+EA40+EG40+EM40+ES40+EY40+FE40+FK40+FQ40+FW40</f>
        <v>1.1510811764705882E-5</v>
      </c>
      <c r="GJ40" s="1199">
        <f t="shared" si="0"/>
        <v>0</v>
      </c>
    </row>
    <row r="41" spans="1:192" s="1081" customFormat="1" ht="15" customHeight="1">
      <c r="A41" s="1076" t="s">
        <v>359</v>
      </c>
      <c r="B41" s="1077" t="s">
        <v>649</v>
      </c>
      <c r="C41" s="1082">
        <f>'Core Wash'!E39</f>
        <v>2.7724799999999998</v>
      </c>
      <c r="D41" s="1082">
        <f>'Core Wash'!F39</f>
        <v>12.143462400000001</v>
      </c>
      <c r="E41" s="1082">
        <f>'Core Wash'!G39</f>
        <v>1.0944</v>
      </c>
      <c r="F41" s="1079">
        <v>0</v>
      </c>
      <c r="G41" s="1076" t="s">
        <v>359</v>
      </c>
      <c r="H41" s="1077" t="s">
        <v>649</v>
      </c>
      <c r="I41" s="1203">
        <v>0</v>
      </c>
      <c r="J41" s="1078">
        <v>0</v>
      </c>
      <c r="K41" s="1078">
        <v>0</v>
      </c>
      <c r="L41" s="1079">
        <v>0</v>
      </c>
      <c r="M41" s="1076" t="s">
        <v>359</v>
      </c>
      <c r="N41" s="1206" t="s">
        <v>649</v>
      </c>
      <c r="O41" s="1078">
        <v>0</v>
      </c>
      <c r="P41" s="1078">
        <v>0</v>
      </c>
      <c r="Q41" s="1078">
        <v>0</v>
      </c>
      <c r="R41" s="1079">
        <v>0</v>
      </c>
      <c r="S41" s="1076" t="s">
        <v>359</v>
      </c>
      <c r="T41" s="1077" t="s">
        <v>649</v>
      </c>
      <c r="U41" s="1203">
        <v>0</v>
      </c>
      <c r="V41" s="1078">
        <v>0</v>
      </c>
      <c r="W41" s="1078">
        <v>0</v>
      </c>
      <c r="X41" s="1079">
        <v>0</v>
      </c>
      <c r="Y41" s="1076" t="s">
        <v>359</v>
      </c>
      <c r="Z41" s="1077" t="s">
        <v>649</v>
      </c>
      <c r="AA41" s="1078">
        <v>0</v>
      </c>
      <c r="AB41" s="1078">
        <v>0</v>
      </c>
      <c r="AC41" s="1078">
        <v>0</v>
      </c>
      <c r="AD41" s="1079">
        <v>0</v>
      </c>
      <c r="AE41" s="1076" t="s">
        <v>359</v>
      </c>
      <c r="AF41" s="1077" t="s">
        <v>649</v>
      </c>
      <c r="AG41" s="1279">
        <v>0</v>
      </c>
      <c r="AH41" s="1279">
        <v>0</v>
      </c>
      <c r="AI41" s="1078">
        <v>0</v>
      </c>
      <c r="AJ41" s="1079">
        <v>0</v>
      </c>
      <c r="AK41" s="1076" t="s">
        <v>359</v>
      </c>
      <c r="AL41" s="1206" t="s">
        <v>649</v>
      </c>
      <c r="AM41" s="1279">
        <v>0</v>
      </c>
      <c r="AN41" s="1279">
        <v>0</v>
      </c>
      <c r="AO41" s="1078">
        <v>0</v>
      </c>
      <c r="AP41" s="1079">
        <v>0</v>
      </c>
      <c r="AQ41" s="1076" t="s">
        <v>359</v>
      </c>
      <c r="AR41" s="1077" t="s">
        <v>649</v>
      </c>
      <c r="AS41" s="1239">
        <v>0</v>
      </c>
      <c r="AT41" s="1239">
        <v>0</v>
      </c>
      <c r="AU41" s="1078">
        <v>0</v>
      </c>
      <c r="AV41" s="1079">
        <v>0</v>
      </c>
      <c r="AW41" s="1076" t="s">
        <v>359</v>
      </c>
      <c r="AX41" s="1206" t="s">
        <v>649</v>
      </c>
      <c r="AY41" s="1239">
        <v>0</v>
      </c>
      <c r="AZ41" s="1239">
        <v>0</v>
      </c>
      <c r="BA41" s="1078">
        <v>0</v>
      </c>
      <c r="BB41" s="1079">
        <v>0</v>
      </c>
      <c r="BC41" s="1076" t="s">
        <v>359</v>
      </c>
      <c r="BD41" s="1077" t="s">
        <v>649</v>
      </c>
      <c r="BE41" s="1279">
        <v>0</v>
      </c>
      <c r="BF41" s="1279">
        <v>0</v>
      </c>
      <c r="BG41" s="1078">
        <v>0</v>
      </c>
      <c r="BH41" s="1079">
        <v>0</v>
      </c>
      <c r="BI41" s="1076" t="s">
        <v>359</v>
      </c>
      <c r="BJ41" s="1077" t="s">
        <v>649</v>
      </c>
      <c r="BK41" s="1082" t="s">
        <v>1141</v>
      </c>
      <c r="BL41" s="1082" t="s">
        <v>1141</v>
      </c>
      <c r="BM41" s="1279">
        <v>0</v>
      </c>
      <c r="BN41" s="1079">
        <v>0</v>
      </c>
      <c r="BO41" s="1076" t="s">
        <v>359</v>
      </c>
      <c r="BP41" s="1077" t="s">
        <v>649</v>
      </c>
      <c r="BQ41" s="1082">
        <f>'Core Making VOC-HAP'!F43</f>
        <v>2.4452054794520547E-2</v>
      </c>
      <c r="BR41" s="1082">
        <f>'Core Making VOC-HAP'!G43</f>
        <v>0.1071</v>
      </c>
      <c r="BS41" s="1082" t="s">
        <v>1184</v>
      </c>
      <c r="BT41" s="1079">
        <v>0</v>
      </c>
      <c r="BU41" s="1076" t="s">
        <v>359</v>
      </c>
      <c r="BV41" s="1077" t="s">
        <v>649</v>
      </c>
      <c r="BW41" s="1082">
        <f>'Core Making VOC-HAP'!F86</f>
        <v>1.1255707762557078E-2</v>
      </c>
      <c r="BX41" s="1082">
        <f>'Core Making VOC-HAP'!G86</f>
        <v>4.9300000000000004E-2</v>
      </c>
      <c r="BY41" s="1082" t="s">
        <v>1184</v>
      </c>
      <c r="BZ41" s="1079">
        <v>0</v>
      </c>
      <c r="CA41" s="1076" t="s">
        <v>359</v>
      </c>
      <c r="CB41" s="1077" t="s">
        <v>649</v>
      </c>
      <c r="CC41" s="1078">
        <v>0</v>
      </c>
      <c r="CD41" s="1078">
        <v>0</v>
      </c>
      <c r="CE41" s="1082" t="s">
        <v>1184</v>
      </c>
      <c r="CF41" s="1079">
        <v>0</v>
      </c>
      <c r="CG41" s="1076" t="s">
        <v>359</v>
      </c>
      <c r="CH41" s="1077" t="s">
        <v>649</v>
      </c>
      <c r="CI41" s="1078">
        <v>0</v>
      </c>
      <c r="CJ41" s="1078">
        <v>0</v>
      </c>
      <c r="CK41" s="1080">
        <v>0</v>
      </c>
      <c r="CL41" s="1079">
        <v>0</v>
      </c>
      <c r="CM41" s="1076" t="s">
        <v>359</v>
      </c>
      <c r="CN41" s="1077" t="s">
        <v>649</v>
      </c>
      <c r="CO41" s="1078">
        <v>0</v>
      </c>
      <c r="CP41" s="1078">
        <v>0</v>
      </c>
      <c r="CQ41" s="1078">
        <v>0</v>
      </c>
      <c r="CR41" s="1079">
        <v>0</v>
      </c>
      <c r="CS41" s="1076" t="s">
        <v>359</v>
      </c>
      <c r="CT41" s="1077" t="s">
        <v>649</v>
      </c>
      <c r="CU41" s="1078">
        <v>0</v>
      </c>
      <c r="CV41" s="1078">
        <v>0</v>
      </c>
      <c r="CW41" s="1078">
        <v>0</v>
      </c>
      <c r="CX41" s="1079">
        <v>0</v>
      </c>
      <c r="CY41" s="1076" t="s">
        <v>359</v>
      </c>
      <c r="CZ41" s="1077" t="s">
        <v>649</v>
      </c>
      <c r="DA41" s="1078">
        <v>0</v>
      </c>
      <c r="DB41" s="1078">
        <v>0</v>
      </c>
      <c r="DC41" s="1078">
        <v>0</v>
      </c>
      <c r="DD41" s="1079">
        <v>0</v>
      </c>
      <c r="DE41" s="1076" t="s">
        <v>359</v>
      </c>
      <c r="DF41" s="1077" t="s">
        <v>649</v>
      </c>
      <c r="DG41" s="1078">
        <v>0</v>
      </c>
      <c r="DH41" s="1078">
        <v>0</v>
      </c>
      <c r="DI41" s="1078">
        <v>0</v>
      </c>
      <c r="DJ41" s="1079">
        <v>0</v>
      </c>
      <c r="DK41" s="1076" t="s">
        <v>359</v>
      </c>
      <c r="DL41" s="1077" t="s">
        <v>649</v>
      </c>
      <c r="DM41" s="1082" t="s">
        <v>1141</v>
      </c>
      <c r="DN41" s="1082" t="s">
        <v>1141</v>
      </c>
      <c r="DO41" s="1082">
        <f>'Core Making VOC-HAP'!F167</f>
        <v>1.9550000000000001E-2</v>
      </c>
      <c r="DP41" s="1079">
        <v>0</v>
      </c>
      <c r="DQ41" s="1076" t="s">
        <v>359</v>
      </c>
      <c r="DR41" s="1077" t="s">
        <v>649</v>
      </c>
      <c r="DS41" s="1078">
        <v>0</v>
      </c>
      <c r="DT41" s="1078">
        <v>0</v>
      </c>
      <c r="DU41" s="1078">
        <v>0</v>
      </c>
      <c r="DV41" s="1079">
        <v>0</v>
      </c>
      <c r="DW41" s="1076" t="s">
        <v>359</v>
      </c>
      <c r="DX41" s="1077" t="s">
        <v>649</v>
      </c>
      <c r="DY41" s="1078">
        <v>0</v>
      </c>
      <c r="DZ41" s="1078">
        <v>0</v>
      </c>
      <c r="EA41" s="1078">
        <v>0</v>
      </c>
      <c r="EB41" s="1079">
        <v>0</v>
      </c>
      <c r="EC41" s="1076" t="s">
        <v>359</v>
      </c>
      <c r="ED41" s="1077" t="s">
        <v>649</v>
      </c>
      <c r="EE41" s="1078">
        <v>0</v>
      </c>
      <c r="EF41" s="1078">
        <v>0</v>
      </c>
      <c r="EG41" s="1078">
        <v>0</v>
      </c>
      <c r="EH41" s="1079">
        <v>0</v>
      </c>
      <c r="EI41" s="1076" t="s">
        <v>359</v>
      </c>
      <c r="EJ41" s="1077" t="s">
        <v>649</v>
      </c>
      <c r="EK41" s="1279">
        <v>0</v>
      </c>
      <c r="EL41" s="1279">
        <v>0</v>
      </c>
      <c r="EM41" s="1279">
        <v>0</v>
      </c>
      <c r="EN41" s="1079">
        <v>0</v>
      </c>
      <c r="EO41" s="1076" t="s">
        <v>359</v>
      </c>
      <c r="EP41" s="1206" t="s">
        <v>649</v>
      </c>
      <c r="EQ41" s="1279">
        <v>0</v>
      </c>
      <c r="ER41" s="1279">
        <v>0</v>
      </c>
      <c r="ES41" s="1279">
        <v>0</v>
      </c>
      <c r="ET41" s="1079">
        <v>0</v>
      </c>
      <c r="EU41" s="1076" t="s">
        <v>359</v>
      </c>
      <c r="EV41" s="1077" t="s">
        <v>649</v>
      </c>
      <c r="EW41" s="1078">
        <v>0</v>
      </c>
      <c r="EX41" s="1078">
        <v>0</v>
      </c>
      <c r="EY41" s="1078">
        <v>0</v>
      </c>
      <c r="EZ41" s="1079">
        <v>0</v>
      </c>
      <c r="FA41" s="1076" t="s">
        <v>359</v>
      </c>
      <c r="FB41" s="1077" t="s">
        <v>649</v>
      </c>
      <c r="FC41" s="1078">
        <v>0</v>
      </c>
      <c r="FD41" s="1078">
        <v>0</v>
      </c>
      <c r="FE41" s="1078">
        <v>0</v>
      </c>
      <c r="FF41" s="1079">
        <v>0</v>
      </c>
      <c r="FG41" s="1076" t="s">
        <v>359</v>
      </c>
      <c r="FH41" s="1077" t="s">
        <v>649</v>
      </c>
      <c r="FI41" s="1078">
        <v>0</v>
      </c>
      <c r="FJ41" s="1078">
        <v>0</v>
      </c>
      <c r="FK41" s="1078">
        <v>0</v>
      </c>
      <c r="FL41" s="1079">
        <v>0</v>
      </c>
      <c r="FM41" s="1076" t="s">
        <v>359</v>
      </c>
      <c r="FN41" s="1077" t="s">
        <v>649</v>
      </c>
      <c r="FO41" s="1078">
        <v>0</v>
      </c>
      <c r="FP41" s="1078">
        <v>0</v>
      </c>
      <c r="FQ41" s="1078">
        <v>0</v>
      </c>
      <c r="FR41" s="1079">
        <v>0</v>
      </c>
      <c r="FS41" s="1076" t="s">
        <v>359</v>
      </c>
      <c r="FT41" s="1077" t="s">
        <v>649</v>
      </c>
      <c r="FU41" s="1078">
        <v>0</v>
      </c>
      <c r="FV41" s="1078">
        <v>0</v>
      </c>
      <c r="FW41" s="1078">
        <v>0</v>
      </c>
      <c r="FX41" s="1079">
        <v>0</v>
      </c>
      <c r="FY41" s="1076" t="s">
        <v>359</v>
      </c>
      <c r="FZ41" s="1077" t="s">
        <v>649</v>
      </c>
      <c r="GA41" s="1078">
        <v>0</v>
      </c>
      <c r="GB41" s="1078">
        <v>0</v>
      </c>
      <c r="GC41" s="1078">
        <v>0</v>
      </c>
      <c r="GD41" s="1079">
        <v>0</v>
      </c>
      <c r="GE41" s="1076" t="s">
        <v>359</v>
      </c>
      <c r="GF41" s="1077" t="s">
        <v>649</v>
      </c>
      <c r="GG41" s="1261">
        <f t="shared" ref="GG41:GH44" si="22">C41+I41+O41+U41+AA41+AG41+AM41+AS41+AY41+BE41+BQ41+BW41+CC41+CI41+CO41+CU41+DA41+DG41+DS41+DY41+EE41+EK41+EQ41+EW41+FC41+FI41+FO41+FU41+GA41</f>
        <v>2.8081877625570777</v>
      </c>
      <c r="GH41" s="1261">
        <f t="shared" si="22"/>
        <v>12.299862400000002</v>
      </c>
      <c r="GI41" s="1261">
        <f>E41+K41+Q41+W41+AC41+AI41+AO41+AU41+BA41+BG41+BM41+CK41+CQ41+CW41+DC41+DI41+DO41+DU41+EA41+EG41+EM41+ES41+EY41+FE41+FK41+FQ41+FW41</f>
        <v>1.11395</v>
      </c>
      <c r="GJ41" s="1199">
        <f t="shared" si="0"/>
        <v>0</v>
      </c>
    </row>
    <row r="42" spans="1:192" s="1081" customFormat="1" ht="30" customHeight="1">
      <c r="A42" s="1207" t="s">
        <v>971</v>
      </c>
      <c r="B42" s="1077" t="s">
        <v>659</v>
      </c>
      <c r="C42" s="1078">
        <v>0</v>
      </c>
      <c r="D42" s="1078">
        <v>0</v>
      </c>
      <c r="E42" s="1078">
        <v>0</v>
      </c>
      <c r="F42" s="1079">
        <v>0</v>
      </c>
      <c r="G42" s="1207" t="s">
        <v>971</v>
      </c>
      <c r="H42" s="1077" t="s">
        <v>659</v>
      </c>
      <c r="I42" s="1078">
        <v>0</v>
      </c>
      <c r="J42" s="1078">
        <v>0</v>
      </c>
      <c r="K42" s="1078">
        <v>0</v>
      </c>
      <c r="L42" s="1079">
        <v>0</v>
      </c>
      <c r="M42" s="1207" t="s">
        <v>971</v>
      </c>
      <c r="N42" s="1077" t="s">
        <v>659</v>
      </c>
      <c r="O42" s="1078">
        <v>0</v>
      </c>
      <c r="P42" s="1078">
        <v>0</v>
      </c>
      <c r="Q42" s="1078">
        <v>0</v>
      </c>
      <c r="R42" s="1079">
        <v>0</v>
      </c>
      <c r="S42" s="1207" t="s">
        <v>971</v>
      </c>
      <c r="T42" s="1077" t="s">
        <v>659</v>
      </c>
      <c r="U42" s="1078">
        <v>0</v>
      </c>
      <c r="V42" s="1078">
        <v>0</v>
      </c>
      <c r="W42" s="1078">
        <v>0</v>
      </c>
      <c r="X42" s="1079">
        <v>0</v>
      </c>
      <c r="Y42" s="1207" t="s">
        <v>971</v>
      </c>
      <c r="Z42" s="1077" t="s">
        <v>659</v>
      </c>
      <c r="AA42" s="1078">
        <v>0</v>
      </c>
      <c r="AB42" s="1078">
        <v>0</v>
      </c>
      <c r="AC42" s="1078">
        <v>0</v>
      </c>
      <c r="AD42" s="1079">
        <v>0</v>
      </c>
      <c r="AE42" s="1207" t="s">
        <v>971</v>
      </c>
      <c r="AF42" s="1077" t="s">
        <v>659</v>
      </c>
      <c r="AG42" s="1279">
        <v>0</v>
      </c>
      <c r="AH42" s="1279">
        <v>0</v>
      </c>
      <c r="AI42" s="1078">
        <v>0</v>
      </c>
      <c r="AJ42" s="1079">
        <v>0</v>
      </c>
      <c r="AK42" s="1207" t="s">
        <v>971</v>
      </c>
      <c r="AL42" s="1077" t="s">
        <v>659</v>
      </c>
      <c r="AM42" s="1279">
        <v>0</v>
      </c>
      <c r="AN42" s="1279">
        <v>0</v>
      </c>
      <c r="AO42" s="1078">
        <v>0</v>
      </c>
      <c r="AP42" s="1079">
        <v>0</v>
      </c>
      <c r="AQ42" s="1207" t="s">
        <v>971</v>
      </c>
      <c r="AR42" s="1077" t="s">
        <v>659</v>
      </c>
      <c r="AS42" s="1239">
        <v>0</v>
      </c>
      <c r="AT42" s="1239">
        <v>0</v>
      </c>
      <c r="AU42" s="1078">
        <v>0</v>
      </c>
      <c r="AV42" s="1079">
        <v>0</v>
      </c>
      <c r="AW42" s="1207" t="s">
        <v>971</v>
      </c>
      <c r="AX42" s="1077" t="s">
        <v>659</v>
      </c>
      <c r="AY42" s="1239">
        <v>0</v>
      </c>
      <c r="AZ42" s="1239">
        <v>0</v>
      </c>
      <c r="BA42" s="1078">
        <v>0</v>
      </c>
      <c r="BB42" s="1079">
        <v>0</v>
      </c>
      <c r="BC42" s="1207" t="s">
        <v>971</v>
      </c>
      <c r="BD42" s="1077" t="s">
        <v>659</v>
      </c>
      <c r="BE42" s="1279">
        <v>0</v>
      </c>
      <c r="BF42" s="1279">
        <v>0</v>
      </c>
      <c r="BG42" s="1078">
        <v>0</v>
      </c>
      <c r="BH42" s="1079">
        <v>0</v>
      </c>
      <c r="BI42" s="1207" t="s">
        <v>971</v>
      </c>
      <c r="BJ42" s="1077" t="s">
        <v>659</v>
      </c>
      <c r="BK42" s="1082" t="s">
        <v>1141</v>
      </c>
      <c r="BL42" s="1082" t="s">
        <v>1141</v>
      </c>
      <c r="BM42" s="1279">
        <v>0</v>
      </c>
      <c r="BN42" s="1079">
        <v>0</v>
      </c>
      <c r="BO42" s="1207" t="s">
        <v>971</v>
      </c>
      <c r="BP42" s="1077" t="s">
        <v>659</v>
      </c>
      <c r="BQ42" s="1082">
        <f>'Core Making VOC-HAP'!F38</f>
        <v>1.2226027397260275</v>
      </c>
      <c r="BR42" s="1082">
        <f>'Core Making VOC-HAP'!G38</f>
        <v>5.3550000000000013</v>
      </c>
      <c r="BS42" s="1082" t="s">
        <v>1184</v>
      </c>
      <c r="BT42" s="1079">
        <v>0</v>
      </c>
      <c r="BU42" s="1207" t="s">
        <v>971</v>
      </c>
      <c r="BV42" s="1077" t="s">
        <v>659</v>
      </c>
      <c r="BW42" s="1082">
        <f>'Core Making VOC-HAP'!F81</f>
        <v>0.56278538812785395</v>
      </c>
      <c r="BX42" s="1082">
        <f>'Core Making VOC-HAP'!G81</f>
        <v>2.4650000000000003</v>
      </c>
      <c r="BY42" s="1082" t="s">
        <v>1184</v>
      </c>
      <c r="BZ42" s="1079">
        <v>0</v>
      </c>
      <c r="CA42" s="1207" t="s">
        <v>971</v>
      </c>
      <c r="CB42" s="1077" t="s">
        <v>659</v>
      </c>
      <c r="CC42" s="1078">
        <v>0</v>
      </c>
      <c r="CD42" s="1078">
        <v>0</v>
      </c>
      <c r="CE42" s="1082" t="s">
        <v>1184</v>
      </c>
      <c r="CF42" s="1079">
        <v>0</v>
      </c>
      <c r="CG42" s="1207" t="s">
        <v>971</v>
      </c>
      <c r="CH42" s="1077" t="s">
        <v>659</v>
      </c>
      <c r="CI42" s="1078">
        <v>0</v>
      </c>
      <c r="CJ42" s="1078">
        <v>0</v>
      </c>
      <c r="CK42" s="1080">
        <v>0</v>
      </c>
      <c r="CL42" s="1079">
        <v>0</v>
      </c>
      <c r="CM42" s="1207" t="s">
        <v>971</v>
      </c>
      <c r="CN42" s="1077" t="s">
        <v>659</v>
      </c>
      <c r="CO42" s="1078">
        <v>0</v>
      </c>
      <c r="CP42" s="1078">
        <v>0</v>
      </c>
      <c r="CQ42" s="1078">
        <v>0</v>
      </c>
      <c r="CR42" s="1079">
        <v>0</v>
      </c>
      <c r="CS42" s="1207" t="s">
        <v>971</v>
      </c>
      <c r="CT42" s="1077" t="s">
        <v>659</v>
      </c>
      <c r="CU42" s="1078">
        <v>0</v>
      </c>
      <c r="CV42" s="1078">
        <v>0</v>
      </c>
      <c r="CW42" s="1078">
        <v>0</v>
      </c>
      <c r="CX42" s="1079">
        <v>0</v>
      </c>
      <c r="CY42" s="1207" t="s">
        <v>971</v>
      </c>
      <c r="CZ42" s="1077" t="s">
        <v>659</v>
      </c>
      <c r="DA42" s="1078">
        <v>0</v>
      </c>
      <c r="DB42" s="1078">
        <v>0</v>
      </c>
      <c r="DC42" s="1078">
        <v>0</v>
      </c>
      <c r="DD42" s="1079">
        <v>0</v>
      </c>
      <c r="DE42" s="1207" t="s">
        <v>971</v>
      </c>
      <c r="DF42" s="1077" t="s">
        <v>659</v>
      </c>
      <c r="DG42" s="1078">
        <v>0</v>
      </c>
      <c r="DH42" s="1078">
        <v>0</v>
      </c>
      <c r="DI42" s="1078">
        <v>0</v>
      </c>
      <c r="DJ42" s="1079">
        <v>0</v>
      </c>
      <c r="DK42" s="1207" t="s">
        <v>971</v>
      </c>
      <c r="DL42" s="1077" t="s">
        <v>659</v>
      </c>
      <c r="DM42" s="1082" t="s">
        <v>1141</v>
      </c>
      <c r="DN42" s="1082" t="s">
        <v>1141</v>
      </c>
      <c r="DO42" s="1082">
        <f>'Core Making VOC-HAP'!F162</f>
        <v>0.97750000000000026</v>
      </c>
      <c r="DP42" s="1079">
        <v>0</v>
      </c>
      <c r="DQ42" s="1207" t="s">
        <v>971</v>
      </c>
      <c r="DR42" s="1077" t="s">
        <v>659</v>
      </c>
      <c r="DS42" s="1078">
        <v>0</v>
      </c>
      <c r="DT42" s="1078">
        <v>0</v>
      </c>
      <c r="DU42" s="1078">
        <v>0</v>
      </c>
      <c r="DV42" s="1079">
        <v>0</v>
      </c>
      <c r="DW42" s="1207" t="s">
        <v>971</v>
      </c>
      <c r="DX42" s="1077" t="s">
        <v>659</v>
      </c>
      <c r="DY42" s="1078">
        <v>0</v>
      </c>
      <c r="DZ42" s="1078">
        <v>0</v>
      </c>
      <c r="EA42" s="1078">
        <v>0</v>
      </c>
      <c r="EB42" s="1079">
        <v>0</v>
      </c>
      <c r="EC42" s="1207" t="s">
        <v>971</v>
      </c>
      <c r="ED42" s="1077" t="s">
        <v>659</v>
      </c>
      <c r="EE42" s="1078">
        <v>0</v>
      </c>
      <c r="EF42" s="1078">
        <v>0</v>
      </c>
      <c r="EG42" s="1078">
        <v>0</v>
      </c>
      <c r="EH42" s="1079">
        <v>0</v>
      </c>
      <c r="EI42" s="1207" t="s">
        <v>971</v>
      </c>
      <c r="EJ42" s="1077" t="s">
        <v>659</v>
      </c>
      <c r="EK42" s="1279">
        <v>0</v>
      </c>
      <c r="EL42" s="1279">
        <v>0</v>
      </c>
      <c r="EM42" s="1279">
        <v>0</v>
      </c>
      <c r="EN42" s="1079">
        <v>0</v>
      </c>
      <c r="EO42" s="1207" t="s">
        <v>971</v>
      </c>
      <c r="EP42" s="1077" t="s">
        <v>659</v>
      </c>
      <c r="EQ42" s="1279">
        <v>0</v>
      </c>
      <c r="ER42" s="1279">
        <v>0</v>
      </c>
      <c r="ES42" s="1279">
        <v>0</v>
      </c>
      <c r="ET42" s="1079">
        <v>0</v>
      </c>
      <c r="EU42" s="1207" t="s">
        <v>971</v>
      </c>
      <c r="EV42" s="1077" t="s">
        <v>659</v>
      </c>
      <c r="EW42" s="1078">
        <v>0</v>
      </c>
      <c r="EX42" s="1078">
        <v>0</v>
      </c>
      <c r="EY42" s="1078">
        <v>0</v>
      </c>
      <c r="EZ42" s="1079">
        <v>0</v>
      </c>
      <c r="FA42" s="1207" t="s">
        <v>971</v>
      </c>
      <c r="FB42" s="1077" t="s">
        <v>659</v>
      </c>
      <c r="FC42" s="1078">
        <v>0</v>
      </c>
      <c r="FD42" s="1078">
        <v>0</v>
      </c>
      <c r="FE42" s="1078">
        <v>0</v>
      </c>
      <c r="FF42" s="1079">
        <v>0</v>
      </c>
      <c r="FG42" s="1207" t="s">
        <v>971</v>
      </c>
      <c r="FH42" s="1077" t="s">
        <v>659</v>
      </c>
      <c r="FI42" s="1078">
        <v>0</v>
      </c>
      <c r="FJ42" s="1078">
        <v>0</v>
      </c>
      <c r="FK42" s="1078">
        <v>0</v>
      </c>
      <c r="FL42" s="1079">
        <v>0</v>
      </c>
      <c r="FM42" s="1207" t="s">
        <v>971</v>
      </c>
      <c r="FN42" s="1077" t="s">
        <v>659</v>
      </c>
      <c r="FO42" s="1078">
        <v>0</v>
      </c>
      <c r="FP42" s="1078">
        <v>0</v>
      </c>
      <c r="FQ42" s="1078">
        <v>0</v>
      </c>
      <c r="FR42" s="1079">
        <v>0</v>
      </c>
      <c r="FS42" s="1207" t="s">
        <v>971</v>
      </c>
      <c r="FT42" s="1077" t="s">
        <v>659</v>
      </c>
      <c r="FU42" s="1078">
        <v>0</v>
      </c>
      <c r="FV42" s="1078">
        <v>0</v>
      </c>
      <c r="FW42" s="1078">
        <v>0</v>
      </c>
      <c r="FX42" s="1079">
        <v>0</v>
      </c>
      <c r="FY42" s="1207" t="s">
        <v>971</v>
      </c>
      <c r="FZ42" s="1077" t="s">
        <v>659</v>
      </c>
      <c r="GA42" s="1078">
        <v>0</v>
      </c>
      <c r="GB42" s="1078">
        <v>0</v>
      </c>
      <c r="GC42" s="1078">
        <v>0</v>
      </c>
      <c r="GD42" s="1079">
        <v>0</v>
      </c>
      <c r="GE42" s="1207" t="s">
        <v>971</v>
      </c>
      <c r="GF42" s="1077" t="s">
        <v>659</v>
      </c>
      <c r="GG42" s="1261">
        <f t="shared" si="22"/>
        <v>1.7853881278538815</v>
      </c>
      <c r="GH42" s="1261">
        <f t="shared" si="22"/>
        <v>7.8200000000000021</v>
      </c>
      <c r="GI42" s="1261">
        <f>E42+K42+Q42+W42+AC42+AI42+AO42+AU42+BA42+BG42+BM42+CK42+CQ42+CW42+DC42+DI42+DO42+DU42+EA42+EG42+EM42+ES42+EY42+FE42+FK42+FQ42+FW42</f>
        <v>0.97750000000000026</v>
      </c>
      <c r="GJ42" s="1199">
        <f t="shared" si="0"/>
        <v>0</v>
      </c>
    </row>
    <row r="43" spans="1:192" s="1081" customFormat="1" ht="30" customHeight="1">
      <c r="A43" s="1076" t="s">
        <v>1156</v>
      </c>
      <c r="B43" s="1077" t="s">
        <v>1157</v>
      </c>
      <c r="C43" s="1078">
        <v>0</v>
      </c>
      <c r="D43" s="1078">
        <v>0</v>
      </c>
      <c r="E43" s="1078">
        <v>0</v>
      </c>
      <c r="F43" s="1079">
        <v>0</v>
      </c>
      <c r="G43" s="1076" t="s">
        <v>1156</v>
      </c>
      <c r="H43" s="1077" t="s">
        <v>1157</v>
      </c>
      <c r="I43" s="1078">
        <v>0</v>
      </c>
      <c r="J43" s="1078">
        <v>0</v>
      </c>
      <c r="K43" s="1078">
        <v>0</v>
      </c>
      <c r="L43" s="1079">
        <v>0</v>
      </c>
      <c r="M43" s="1076" t="s">
        <v>1156</v>
      </c>
      <c r="N43" s="1077" t="s">
        <v>1157</v>
      </c>
      <c r="O43" s="1078">
        <v>0</v>
      </c>
      <c r="P43" s="1078">
        <v>0</v>
      </c>
      <c r="Q43" s="1078">
        <v>0</v>
      </c>
      <c r="R43" s="1079">
        <v>0</v>
      </c>
      <c r="S43" s="1076" t="s">
        <v>1156</v>
      </c>
      <c r="T43" s="1077" t="s">
        <v>1157</v>
      </c>
      <c r="U43" s="1078">
        <v>0</v>
      </c>
      <c r="V43" s="1078">
        <v>0</v>
      </c>
      <c r="W43" s="1078">
        <v>0</v>
      </c>
      <c r="X43" s="1079">
        <v>0</v>
      </c>
      <c r="Y43" s="1076" t="s">
        <v>1156</v>
      </c>
      <c r="Z43" s="1077" t="s">
        <v>1157</v>
      </c>
      <c r="AA43" s="1078">
        <v>0</v>
      </c>
      <c r="AB43" s="1078">
        <v>0</v>
      </c>
      <c r="AC43" s="1078">
        <v>0</v>
      </c>
      <c r="AD43" s="1079">
        <v>0</v>
      </c>
      <c r="AE43" s="1076" t="s">
        <v>1156</v>
      </c>
      <c r="AF43" s="1077" t="s">
        <v>1157</v>
      </c>
      <c r="AG43" s="1279">
        <v>0</v>
      </c>
      <c r="AH43" s="1279">
        <v>0</v>
      </c>
      <c r="AI43" s="1078">
        <v>0</v>
      </c>
      <c r="AJ43" s="1079">
        <v>0</v>
      </c>
      <c r="AK43" s="1076" t="s">
        <v>1156</v>
      </c>
      <c r="AL43" s="1077" t="s">
        <v>1157</v>
      </c>
      <c r="AM43" s="1279">
        <v>0</v>
      </c>
      <c r="AN43" s="1279">
        <v>0</v>
      </c>
      <c r="AO43" s="1078">
        <v>0</v>
      </c>
      <c r="AP43" s="1079">
        <v>0</v>
      </c>
      <c r="AQ43" s="1076" t="s">
        <v>1156</v>
      </c>
      <c r="AR43" s="1077" t="s">
        <v>1157</v>
      </c>
      <c r="AS43" s="1239">
        <v>0</v>
      </c>
      <c r="AT43" s="1239">
        <v>0</v>
      </c>
      <c r="AU43" s="1078">
        <v>0</v>
      </c>
      <c r="AV43" s="1079">
        <v>0</v>
      </c>
      <c r="AW43" s="1076" t="s">
        <v>1156</v>
      </c>
      <c r="AX43" s="1077" t="s">
        <v>1157</v>
      </c>
      <c r="AY43" s="1239">
        <v>0</v>
      </c>
      <c r="AZ43" s="1239">
        <v>0</v>
      </c>
      <c r="BA43" s="1078">
        <v>0</v>
      </c>
      <c r="BB43" s="1079">
        <v>0</v>
      </c>
      <c r="BC43" s="1076" t="s">
        <v>1156</v>
      </c>
      <c r="BD43" s="1077" t="s">
        <v>1157</v>
      </c>
      <c r="BE43" s="1279">
        <v>0</v>
      </c>
      <c r="BF43" s="1279">
        <v>0</v>
      </c>
      <c r="BG43" s="1078">
        <v>0</v>
      </c>
      <c r="BH43" s="1079">
        <v>0</v>
      </c>
      <c r="BI43" s="1076" t="s">
        <v>1156</v>
      </c>
      <c r="BJ43" s="1077" t="s">
        <v>1157</v>
      </c>
      <c r="BK43" s="1082" t="s">
        <v>1141</v>
      </c>
      <c r="BL43" s="1082" t="s">
        <v>1141</v>
      </c>
      <c r="BM43" s="1279">
        <v>0</v>
      </c>
      <c r="BN43" s="1079"/>
      <c r="BO43" s="1076" t="s">
        <v>1156</v>
      </c>
      <c r="BP43" s="1077" t="s">
        <v>1157</v>
      </c>
      <c r="BQ43" s="1078">
        <v>0</v>
      </c>
      <c r="BR43" s="1078">
        <v>0</v>
      </c>
      <c r="BS43" s="1082" t="s">
        <v>1184</v>
      </c>
      <c r="BT43" s="1079">
        <v>0</v>
      </c>
      <c r="BU43" s="1076" t="s">
        <v>1156</v>
      </c>
      <c r="BV43" s="1077" t="s">
        <v>1157</v>
      </c>
      <c r="BW43" s="1082">
        <f>'Core Making VOC-HAP'!F82</f>
        <v>0</v>
      </c>
      <c r="BX43" s="1082">
        <f>'Core Making VOC-HAP'!G82</f>
        <v>0</v>
      </c>
      <c r="BY43" s="1082" t="s">
        <v>1184</v>
      </c>
      <c r="BZ43" s="1079">
        <v>0</v>
      </c>
      <c r="CA43" s="1076" t="s">
        <v>1156</v>
      </c>
      <c r="CB43" s="1077" t="s">
        <v>1157</v>
      </c>
      <c r="CC43" s="1078">
        <v>0</v>
      </c>
      <c r="CD43" s="1078">
        <v>0</v>
      </c>
      <c r="CE43" s="1082" t="s">
        <v>1184</v>
      </c>
      <c r="CF43" s="1079">
        <v>0</v>
      </c>
      <c r="CG43" s="1076" t="s">
        <v>1156</v>
      </c>
      <c r="CH43" s="1077" t="s">
        <v>1157</v>
      </c>
      <c r="CI43" s="1078">
        <v>0</v>
      </c>
      <c r="CJ43" s="1078">
        <v>0</v>
      </c>
      <c r="CK43" s="1080">
        <v>0</v>
      </c>
      <c r="CL43" s="1079">
        <v>0</v>
      </c>
      <c r="CM43" s="1076" t="s">
        <v>1156</v>
      </c>
      <c r="CN43" s="1077" t="s">
        <v>1157</v>
      </c>
      <c r="CO43" s="1078">
        <v>0</v>
      </c>
      <c r="CP43" s="1078">
        <v>0</v>
      </c>
      <c r="CQ43" s="1078">
        <v>0</v>
      </c>
      <c r="CR43" s="1079">
        <v>0</v>
      </c>
      <c r="CS43" s="1076" t="s">
        <v>1156</v>
      </c>
      <c r="CT43" s="1077" t="s">
        <v>1157</v>
      </c>
      <c r="CU43" s="1078">
        <v>0</v>
      </c>
      <c r="CV43" s="1078">
        <v>0</v>
      </c>
      <c r="CW43" s="1078">
        <v>0</v>
      </c>
      <c r="CX43" s="1079">
        <v>0</v>
      </c>
      <c r="CY43" s="1076" t="s">
        <v>1156</v>
      </c>
      <c r="CZ43" s="1077" t="s">
        <v>1157</v>
      </c>
      <c r="DA43" s="1078">
        <v>0</v>
      </c>
      <c r="DB43" s="1078">
        <v>0</v>
      </c>
      <c r="DC43" s="1078">
        <v>0</v>
      </c>
      <c r="DD43" s="1079">
        <v>0</v>
      </c>
      <c r="DE43" s="1076" t="s">
        <v>1156</v>
      </c>
      <c r="DF43" s="1077" t="s">
        <v>1157</v>
      </c>
      <c r="DG43" s="1078">
        <v>0</v>
      </c>
      <c r="DH43" s="1078">
        <v>0</v>
      </c>
      <c r="DI43" s="1078">
        <v>0</v>
      </c>
      <c r="DJ43" s="1079">
        <v>0</v>
      </c>
      <c r="DK43" s="1076" t="s">
        <v>1156</v>
      </c>
      <c r="DL43" s="1077" t="s">
        <v>1157</v>
      </c>
      <c r="DM43" s="1082" t="s">
        <v>1141</v>
      </c>
      <c r="DN43" s="1082" t="s">
        <v>1141</v>
      </c>
      <c r="DO43" s="1082">
        <f>'Core Making VOC-HAP'!F163</f>
        <v>0</v>
      </c>
      <c r="DP43" s="1079">
        <v>0</v>
      </c>
      <c r="DQ43" s="1076" t="s">
        <v>1156</v>
      </c>
      <c r="DR43" s="1077" t="s">
        <v>1157</v>
      </c>
      <c r="DS43" s="1078">
        <v>0</v>
      </c>
      <c r="DT43" s="1078">
        <v>0</v>
      </c>
      <c r="DU43" s="1078">
        <v>0</v>
      </c>
      <c r="DV43" s="1079">
        <v>0</v>
      </c>
      <c r="DW43" s="1076" t="s">
        <v>1156</v>
      </c>
      <c r="DX43" s="1077" t="s">
        <v>1157</v>
      </c>
      <c r="DY43" s="1078">
        <v>0</v>
      </c>
      <c r="DZ43" s="1078">
        <v>0</v>
      </c>
      <c r="EA43" s="1078">
        <v>0</v>
      </c>
      <c r="EB43" s="1079">
        <v>0</v>
      </c>
      <c r="EC43" s="1076" t="s">
        <v>1156</v>
      </c>
      <c r="ED43" s="1077" t="s">
        <v>1157</v>
      </c>
      <c r="EE43" s="1078">
        <v>0</v>
      </c>
      <c r="EF43" s="1078">
        <v>0</v>
      </c>
      <c r="EG43" s="1078">
        <v>0</v>
      </c>
      <c r="EH43" s="1079">
        <v>0</v>
      </c>
      <c r="EI43" s="1076" t="s">
        <v>1156</v>
      </c>
      <c r="EJ43" s="1077" t="s">
        <v>1157</v>
      </c>
      <c r="EK43" s="1279">
        <v>0</v>
      </c>
      <c r="EL43" s="1279">
        <v>0</v>
      </c>
      <c r="EM43" s="1279">
        <v>0</v>
      </c>
      <c r="EN43" s="1079">
        <v>0</v>
      </c>
      <c r="EO43" s="1076" t="s">
        <v>1156</v>
      </c>
      <c r="EP43" s="1077" t="s">
        <v>1157</v>
      </c>
      <c r="EQ43" s="1279">
        <v>0</v>
      </c>
      <c r="ER43" s="1279">
        <v>0</v>
      </c>
      <c r="ES43" s="1279">
        <v>0</v>
      </c>
      <c r="ET43" s="1079">
        <v>0</v>
      </c>
      <c r="EU43" s="1076" t="s">
        <v>1156</v>
      </c>
      <c r="EV43" s="1077" t="s">
        <v>1157</v>
      </c>
      <c r="EW43" s="1078">
        <v>0</v>
      </c>
      <c r="EX43" s="1078">
        <v>0</v>
      </c>
      <c r="EY43" s="1078">
        <v>0</v>
      </c>
      <c r="EZ43" s="1079">
        <v>0</v>
      </c>
      <c r="FA43" s="1076" t="s">
        <v>1156</v>
      </c>
      <c r="FB43" s="1077" t="s">
        <v>1157</v>
      </c>
      <c r="FC43" s="1078">
        <v>0</v>
      </c>
      <c r="FD43" s="1078">
        <v>0</v>
      </c>
      <c r="FE43" s="1078">
        <v>0</v>
      </c>
      <c r="FF43" s="1079">
        <v>0</v>
      </c>
      <c r="FG43" s="1076" t="s">
        <v>1156</v>
      </c>
      <c r="FH43" s="1077" t="s">
        <v>1157</v>
      </c>
      <c r="FI43" s="1078">
        <v>0</v>
      </c>
      <c r="FJ43" s="1078">
        <v>0</v>
      </c>
      <c r="FK43" s="1078">
        <v>0</v>
      </c>
      <c r="FL43" s="1079">
        <v>0</v>
      </c>
      <c r="FM43" s="1076" t="s">
        <v>1156</v>
      </c>
      <c r="FN43" s="1077" t="s">
        <v>1157</v>
      </c>
      <c r="FO43" s="1078">
        <v>0</v>
      </c>
      <c r="FP43" s="1078">
        <v>0</v>
      </c>
      <c r="FQ43" s="1078">
        <v>0</v>
      </c>
      <c r="FR43" s="1079">
        <v>0</v>
      </c>
      <c r="FS43" s="1076" t="s">
        <v>1156</v>
      </c>
      <c r="FT43" s="1077" t="s">
        <v>1157</v>
      </c>
      <c r="FU43" s="1078">
        <v>0</v>
      </c>
      <c r="FV43" s="1078">
        <v>0</v>
      </c>
      <c r="FW43" s="1078">
        <v>0</v>
      </c>
      <c r="FX43" s="1079">
        <v>0</v>
      </c>
      <c r="FY43" s="1076" t="s">
        <v>1156</v>
      </c>
      <c r="FZ43" s="1077" t="s">
        <v>1157</v>
      </c>
      <c r="GA43" s="1078">
        <v>0</v>
      </c>
      <c r="GB43" s="1078">
        <v>0</v>
      </c>
      <c r="GC43" s="1078">
        <v>0</v>
      </c>
      <c r="GD43" s="1079">
        <v>0</v>
      </c>
      <c r="GE43" s="1076" t="s">
        <v>1156</v>
      </c>
      <c r="GF43" s="1077" t="s">
        <v>1157</v>
      </c>
      <c r="GG43" s="1261">
        <f t="shared" si="22"/>
        <v>0</v>
      </c>
      <c r="GH43" s="1261">
        <f t="shared" si="22"/>
        <v>0</v>
      </c>
      <c r="GI43" s="1261">
        <f>E43+K43+Q43+W43+AC43+AI43+AO43+AU43+BA43+BG43+BM43+CK43+CQ43+CW43+DC43+DI43+DO43+DU43+EA43+EG43+EM43+ES43+EY43+FE43+FK43+FQ43+FW43</f>
        <v>0</v>
      </c>
      <c r="GJ43" s="1199">
        <f t="shared" si="0"/>
        <v>0</v>
      </c>
    </row>
    <row r="44" spans="1:192" s="1081" customFormat="1" ht="15" customHeight="1">
      <c r="A44" s="1076" t="s">
        <v>1116</v>
      </c>
      <c r="B44" s="1077" t="s">
        <v>658</v>
      </c>
      <c r="C44" s="1078">
        <v>0</v>
      </c>
      <c r="D44" s="1078">
        <v>0</v>
      </c>
      <c r="E44" s="1078">
        <v>0</v>
      </c>
      <c r="F44" s="1079">
        <v>0</v>
      </c>
      <c r="G44" s="1076" t="s">
        <v>1116</v>
      </c>
      <c r="H44" s="1077" t="s">
        <v>658</v>
      </c>
      <c r="I44" s="1203">
        <v>0</v>
      </c>
      <c r="J44" s="1078">
        <v>0</v>
      </c>
      <c r="K44" s="1078">
        <v>0</v>
      </c>
      <c r="L44" s="1079">
        <v>0</v>
      </c>
      <c r="M44" s="1076" t="s">
        <v>1116</v>
      </c>
      <c r="N44" s="1206" t="s">
        <v>658</v>
      </c>
      <c r="O44" s="1078">
        <v>0</v>
      </c>
      <c r="P44" s="1078">
        <v>0</v>
      </c>
      <c r="Q44" s="1078">
        <v>0</v>
      </c>
      <c r="R44" s="1079">
        <v>0</v>
      </c>
      <c r="S44" s="1076" t="s">
        <v>1116</v>
      </c>
      <c r="T44" s="1077" t="s">
        <v>658</v>
      </c>
      <c r="U44" s="1203">
        <v>0</v>
      </c>
      <c r="V44" s="1078">
        <v>0</v>
      </c>
      <c r="W44" s="1078">
        <v>0</v>
      </c>
      <c r="X44" s="1079">
        <v>0</v>
      </c>
      <c r="Y44" s="1076" t="s">
        <v>1116</v>
      </c>
      <c r="Z44" s="1077" t="s">
        <v>658</v>
      </c>
      <c r="AA44" s="1078">
        <v>0</v>
      </c>
      <c r="AB44" s="1078">
        <v>0</v>
      </c>
      <c r="AC44" s="1078">
        <v>0</v>
      </c>
      <c r="AD44" s="1079">
        <v>0</v>
      </c>
      <c r="AE44" s="1240" t="s">
        <v>100</v>
      </c>
      <c r="AF44" s="1077" t="s">
        <v>658</v>
      </c>
      <c r="AG44" s="1239">
        <v>8.9705882352941166E-7</v>
      </c>
      <c r="AH44" s="1239">
        <v>3.9291176470588234E-6</v>
      </c>
      <c r="AI44" s="1082" t="s">
        <v>1174</v>
      </c>
      <c r="AJ44" s="1079">
        <v>0</v>
      </c>
      <c r="AK44" s="1240" t="s">
        <v>100</v>
      </c>
      <c r="AL44" s="1206" t="s">
        <v>658</v>
      </c>
      <c r="AM44" s="1239">
        <v>8.9705882352941166E-7</v>
      </c>
      <c r="AN44" s="1239">
        <v>3.9291176470588234E-6</v>
      </c>
      <c r="AO44" s="1082" t="s">
        <v>1174</v>
      </c>
      <c r="AP44" s="1079">
        <v>0</v>
      </c>
      <c r="AQ44" s="1240" t="s">
        <v>100</v>
      </c>
      <c r="AR44" s="1077" t="s">
        <v>658</v>
      </c>
      <c r="AS44" s="1239">
        <v>8.9705882352941166E-7</v>
      </c>
      <c r="AT44" s="1239">
        <v>3.9291176470588234E-6</v>
      </c>
      <c r="AU44" s="1082" t="s">
        <v>1174</v>
      </c>
      <c r="AV44" s="1079">
        <v>0</v>
      </c>
      <c r="AW44" s="1240" t="s">
        <v>100</v>
      </c>
      <c r="AX44" s="1206" t="s">
        <v>658</v>
      </c>
      <c r="AY44" s="1239">
        <v>8.9705882352941166E-7</v>
      </c>
      <c r="AZ44" s="1239">
        <v>3.9291176470588234E-6</v>
      </c>
      <c r="BA44" s="1082" t="s">
        <v>1174</v>
      </c>
      <c r="BB44" s="1079">
        <v>0</v>
      </c>
      <c r="BC44" s="1240" t="s">
        <v>100</v>
      </c>
      <c r="BD44" s="1077" t="s">
        <v>658</v>
      </c>
      <c r="BE44" s="1239">
        <v>8.9705882352941166E-7</v>
      </c>
      <c r="BF44" s="1239">
        <v>3.9291176470588234E-6</v>
      </c>
      <c r="BG44" s="1082" t="s">
        <v>1174</v>
      </c>
      <c r="BH44" s="1079">
        <v>0</v>
      </c>
      <c r="BI44" s="1240" t="s">
        <v>100</v>
      </c>
      <c r="BJ44" s="1077" t="s">
        <v>658</v>
      </c>
      <c r="BK44" s="1082" t="s">
        <v>1141</v>
      </c>
      <c r="BL44" s="1082" t="s">
        <v>1141</v>
      </c>
      <c r="BM44" s="1239">
        <v>1.9645588235294119E-5</v>
      </c>
      <c r="BN44" s="1079">
        <v>0</v>
      </c>
      <c r="BO44" s="1076" t="s">
        <v>1116</v>
      </c>
      <c r="BP44" s="1077" t="s">
        <v>658</v>
      </c>
      <c r="BQ44" s="1082">
        <f>'Core Making VOC-HAP'!F44</f>
        <v>0.2445205479452055</v>
      </c>
      <c r="BR44" s="1082">
        <f>'Core Making VOC-HAP'!G44</f>
        <v>1.071</v>
      </c>
      <c r="BS44" s="1082" t="s">
        <v>1184</v>
      </c>
      <c r="BT44" s="1079">
        <v>0</v>
      </c>
      <c r="BU44" s="1076" t="s">
        <v>1116</v>
      </c>
      <c r="BV44" s="1077" t="s">
        <v>658</v>
      </c>
      <c r="BW44" s="1082">
        <f>'Core Making VOC-HAP'!F87</f>
        <v>1.1255707762557078E-2</v>
      </c>
      <c r="BX44" s="1082">
        <f>'Core Making VOC-HAP'!G87</f>
        <v>4.9300000000000004E-2</v>
      </c>
      <c r="BY44" s="1082" t="s">
        <v>1184</v>
      </c>
      <c r="BZ44" s="1079">
        <v>0</v>
      </c>
      <c r="CA44" s="1076" t="s">
        <v>1116</v>
      </c>
      <c r="CB44" s="1077" t="s">
        <v>658</v>
      </c>
      <c r="CC44" s="1078">
        <v>0</v>
      </c>
      <c r="CD44" s="1078">
        <v>0</v>
      </c>
      <c r="CE44" s="1082" t="s">
        <v>1184</v>
      </c>
      <c r="CF44" s="1079">
        <v>0</v>
      </c>
      <c r="CG44" s="1240" t="s">
        <v>100</v>
      </c>
      <c r="CH44" s="1077" t="s">
        <v>658</v>
      </c>
      <c r="CI44" s="1080">
        <f>'Core Making VOC-HAP'!C237+'Core Making VOC-HAP'!E237+'Core Making VOC-HAP'!G237</f>
        <v>2.7509803921568625E-7</v>
      </c>
      <c r="CJ44" s="1080">
        <f>'Core Making VOC-HAP'!D237+'Core Making VOC-HAP'!F237+'Core Making VOC-HAP'!H237</f>
        <v>1.2049294117647057E-6</v>
      </c>
      <c r="CK44" s="1080">
        <f>'Core Making VOC-HAP'!I237</f>
        <v>1.2049294117647057E-6</v>
      </c>
      <c r="CL44" s="1079">
        <v>0</v>
      </c>
      <c r="CM44" s="1076" t="s">
        <v>1116</v>
      </c>
      <c r="CN44" s="1077" t="s">
        <v>658</v>
      </c>
      <c r="CO44" s="1078">
        <v>0</v>
      </c>
      <c r="CP44" s="1078">
        <v>0</v>
      </c>
      <c r="CQ44" s="1078">
        <v>0</v>
      </c>
      <c r="CR44" s="1079">
        <v>0</v>
      </c>
      <c r="CS44" s="1076" t="s">
        <v>1116</v>
      </c>
      <c r="CT44" s="1077" t="s">
        <v>658</v>
      </c>
      <c r="CU44" s="1078">
        <v>0</v>
      </c>
      <c r="CV44" s="1078">
        <v>0</v>
      </c>
      <c r="CW44" s="1078">
        <v>0</v>
      </c>
      <c r="CX44" s="1079">
        <v>0</v>
      </c>
      <c r="CY44" s="1076" t="s">
        <v>1116</v>
      </c>
      <c r="CZ44" s="1077" t="s">
        <v>658</v>
      </c>
      <c r="DA44" s="1078">
        <v>0</v>
      </c>
      <c r="DB44" s="1078">
        <v>0</v>
      </c>
      <c r="DC44" s="1078">
        <v>0</v>
      </c>
      <c r="DD44" s="1079">
        <v>0</v>
      </c>
      <c r="DE44" s="1076" t="s">
        <v>1116</v>
      </c>
      <c r="DF44" s="1077" t="s">
        <v>658</v>
      </c>
      <c r="DG44" s="1078">
        <v>0</v>
      </c>
      <c r="DH44" s="1078">
        <v>0</v>
      </c>
      <c r="DI44" s="1078">
        <v>0</v>
      </c>
      <c r="DJ44" s="1079">
        <v>0</v>
      </c>
      <c r="DK44" s="1076" t="s">
        <v>1116</v>
      </c>
      <c r="DL44" s="1077" t="s">
        <v>658</v>
      </c>
      <c r="DM44" s="1082" t="s">
        <v>1141</v>
      </c>
      <c r="DN44" s="1082" t="s">
        <v>1141</v>
      </c>
      <c r="DO44" s="1082">
        <f>'Core Making VOC-HAP'!F168</f>
        <v>0.14003749999999998</v>
      </c>
      <c r="DP44" s="1079">
        <v>0</v>
      </c>
      <c r="DQ44" s="1076" t="s">
        <v>1116</v>
      </c>
      <c r="DR44" s="1077" t="s">
        <v>658</v>
      </c>
      <c r="DS44" s="1078">
        <v>0</v>
      </c>
      <c r="DT44" s="1078">
        <v>0</v>
      </c>
      <c r="DU44" s="1078">
        <v>0</v>
      </c>
      <c r="DV44" s="1079">
        <v>0</v>
      </c>
      <c r="DW44" s="1076" t="s">
        <v>1116</v>
      </c>
      <c r="DX44" s="1077" t="s">
        <v>658</v>
      </c>
      <c r="DY44" s="1078">
        <v>0</v>
      </c>
      <c r="DZ44" s="1078">
        <v>0</v>
      </c>
      <c r="EA44" s="1078">
        <v>0</v>
      </c>
      <c r="EB44" s="1079">
        <v>0</v>
      </c>
      <c r="EC44" s="1076" t="s">
        <v>1116</v>
      </c>
      <c r="ED44" s="1077" t="s">
        <v>658</v>
      </c>
      <c r="EE44" s="1078">
        <v>0</v>
      </c>
      <c r="EF44" s="1078">
        <v>0</v>
      </c>
      <c r="EG44" s="1078">
        <v>0</v>
      </c>
      <c r="EH44" s="1079">
        <v>0</v>
      </c>
      <c r="EI44" s="1240" t="s">
        <v>100</v>
      </c>
      <c r="EJ44" s="1077" t="s">
        <v>658</v>
      </c>
      <c r="EK44" s="1239">
        <v>1.1960784313725489E-6</v>
      </c>
      <c r="EL44" s="1239">
        <v>5.2388235294117646E-6</v>
      </c>
      <c r="EM44" s="1239">
        <v>5.2388235294117646E-6</v>
      </c>
      <c r="EN44" s="1079">
        <v>0</v>
      </c>
      <c r="EO44" s="1240" t="s">
        <v>100</v>
      </c>
      <c r="EP44" s="1206" t="s">
        <v>658</v>
      </c>
      <c r="EQ44" s="1239">
        <v>2.0931372549019604E-7</v>
      </c>
      <c r="ER44" s="1239">
        <v>9.1679411764705874E-7</v>
      </c>
      <c r="ES44" s="1239">
        <v>9.1679411764705874E-7</v>
      </c>
      <c r="ET44" s="1079">
        <v>0</v>
      </c>
      <c r="EU44" s="1076" t="s">
        <v>1116</v>
      </c>
      <c r="EV44" s="1077" t="s">
        <v>658</v>
      </c>
      <c r="EW44" s="1078">
        <v>0</v>
      </c>
      <c r="EX44" s="1078">
        <v>0</v>
      </c>
      <c r="EY44" s="1078">
        <v>0</v>
      </c>
      <c r="EZ44" s="1079">
        <v>0</v>
      </c>
      <c r="FA44" s="1076" t="s">
        <v>1116</v>
      </c>
      <c r="FB44" s="1077" t="s">
        <v>658</v>
      </c>
      <c r="FC44" s="1078">
        <v>0</v>
      </c>
      <c r="FD44" s="1078">
        <v>0</v>
      </c>
      <c r="FE44" s="1078">
        <v>0</v>
      </c>
      <c r="FF44" s="1079">
        <v>0</v>
      </c>
      <c r="FG44" s="1076" t="s">
        <v>1116</v>
      </c>
      <c r="FH44" s="1077" t="s">
        <v>658</v>
      </c>
      <c r="FI44" s="1078">
        <v>0</v>
      </c>
      <c r="FJ44" s="1078">
        <v>0</v>
      </c>
      <c r="FK44" s="1078">
        <v>0</v>
      </c>
      <c r="FL44" s="1079">
        <v>0</v>
      </c>
      <c r="FM44" s="1076" t="s">
        <v>1116</v>
      </c>
      <c r="FN44" s="1077" t="s">
        <v>658</v>
      </c>
      <c r="FO44" s="1078">
        <v>0</v>
      </c>
      <c r="FP44" s="1078">
        <v>0</v>
      </c>
      <c r="FQ44" s="1078">
        <v>0</v>
      </c>
      <c r="FR44" s="1079">
        <v>0</v>
      </c>
      <c r="FS44" s="1076" t="s">
        <v>1116</v>
      </c>
      <c r="FT44" s="1077" t="s">
        <v>658</v>
      </c>
      <c r="FU44" s="1078">
        <v>0</v>
      </c>
      <c r="FV44" s="1078">
        <v>0</v>
      </c>
      <c r="FW44" s="1078">
        <v>0</v>
      </c>
      <c r="FX44" s="1079">
        <v>0</v>
      </c>
      <c r="FY44" s="1076" t="s">
        <v>1116</v>
      </c>
      <c r="FZ44" s="1077" t="s">
        <v>658</v>
      </c>
      <c r="GA44" s="1078">
        <v>0</v>
      </c>
      <c r="GB44" s="1078">
        <v>0</v>
      </c>
      <c r="GC44" s="1078">
        <v>0</v>
      </c>
      <c r="GD44" s="1079">
        <v>0</v>
      </c>
      <c r="GE44" s="1076" t="s">
        <v>1116</v>
      </c>
      <c r="GF44" s="1077" t="s">
        <v>658</v>
      </c>
      <c r="GG44" s="1261">
        <f t="shared" si="22"/>
        <v>0.25578242149207631</v>
      </c>
      <c r="GH44" s="1261">
        <f t="shared" si="22"/>
        <v>1.1203270061352941</v>
      </c>
      <c r="GI44" s="1261">
        <f>E44+K44+Q44+W44+AC44+BM44+CK44+CQ44+CW44+DC44+DI44+DO44+DU44+EA44+EG44+EM44+ES44+EY44+FE44+FK44+FQ44+FW44</f>
        <v>0.14006450613529409</v>
      </c>
      <c r="GJ44" s="1199">
        <f t="shared" si="0"/>
        <v>0</v>
      </c>
    </row>
    <row r="45" spans="1:192" s="1081" customFormat="1" ht="15" customHeight="1">
      <c r="A45" s="1076" t="s">
        <v>337</v>
      </c>
      <c r="B45" s="1077" t="s">
        <v>656</v>
      </c>
      <c r="C45" s="1078">
        <v>0</v>
      </c>
      <c r="D45" s="1078">
        <v>0</v>
      </c>
      <c r="E45" s="1078">
        <v>0</v>
      </c>
      <c r="F45" s="1079">
        <v>0</v>
      </c>
      <c r="G45" s="1076" t="s">
        <v>337</v>
      </c>
      <c r="H45" s="1077" t="s">
        <v>656</v>
      </c>
      <c r="I45" s="1204">
        <f>'Brass Melting'!E43</f>
        <v>0.89999999999999991</v>
      </c>
      <c r="J45" s="1204">
        <f>'Brass Melting'!F43</f>
        <v>3.9419999999999997</v>
      </c>
      <c r="K45" s="1082" t="s">
        <v>1142</v>
      </c>
      <c r="L45" s="1079">
        <v>0</v>
      </c>
      <c r="M45" s="1076" t="s">
        <v>337</v>
      </c>
      <c r="N45" s="1206" t="s">
        <v>656</v>
      </c>
      <c r="O45" s="1082">
        <f>'Brass Melting'!I43</f>
        <v>0.89999999999999991</v>
      </c>
      <c r="P45" s="1082">
        <f>'Brass Melting'!J43</f>
        <v>3.9419999999999997</v>
      </c>
      <c r="Q45" s="1082" t="s">
        <v>1142</v>
      </c>
      <c r="R45" s="1079">
        <v>0</v>
      </c>
      <c r="S45" s="1076" t="s">
        <v>337</v>
      </c>
      <c r="T45" s="1077" t="s">
        <v>656</v>
      </c>
      <c r="U45" s="1204">
        <f>'Brass Melting'!M43</f>
        <v>0.26999999999999996</v>
      </c>
      <c r="V45" s="1204">
        <f>'Brass Melting'!N43</f>
        <v>1.1825999999999999</v>
      </c>
      <c r="W45" s="1082" t="s">
        <v>1142</v>
      </c>
      <c r="X45" s="1079">
        <v>0</v>
      </c>
      <c r="Y45" s="1076" t="s">
        <v>337</v>
      </c>
      <c r="Z45" s="1077" t="s">
        <v>656</v>
      </c>
      <c r="AA45" s="1082" t="s">
        <v>1141</v>
      </c>
      <c r="AB45" s="1082" t="s">
        <v>1141</v>
      </c>
      <c r="AC45" s="1080">
        <f>'Brass Melting'!Q43</f>
        <v>0.13515299999999991</v>
      </c>
      <c r="AD45" s="1079">
        <v>0</v>
      </c>
      <c r="AE45" s="1240" t="s">
        <v>101</v>
      </c>
      <c r="AF45" s="1077" t="s">
        <v>656</v>
      </c>
      <c r="AG45" s="1239">
        <v>3.0882352941176468E-6</v>
      </c>
      <c r="AH45" s="1239">
        <v>1.3526470588235293E-5</v>
      </c>
      <c r="AI45" s="1082" t="s">
        <v>1174</v>
      </c>
      <c r="AJ45" s="1079">
        <v>0</v>
      </c>
      <c r="AK45" s="1240" t="s">
        <v>101</v>
      </c>
      <c r="AL45" s="1206" t="s">
        <v>656</v>
      </c>
      <c r="AM45" s="1239">
        <v>3.0882352941176468E-6</v>
      </c>
      <c r="AN45" s="1239">
        <v>1.3526470588235293E-5</v>
      </c>
      <c r="AO45" s="1082" t="s">
        <v>1174</v>
      </c>
      <c r="AP45" s="1079">
        <v>0</v>
      </c>
      <c r="AQ45" s="1240" t="s">
        <v>101</v>
      </c>
      <c r="AR45" s="1077" t="s">
        <v>656</v>
      </c>
      <c r="AS45" s="1239">
        <v>3.0882352941176468E-6</v>
      </c>
      <c r="AT45" s="1239">
        <v>1.3526470588235293E-5</v>
      </c>
      <c r="AU45" s="1082" t="s">
        <v>1174</v>
      </c>
      <c r="AV45" s="1079">
        <v>0</v>
      </c>
      <c r="AW45" s="1240" t="s">
        <v>101</v>
      </c>
      <c r="AX45" s="1206" t="s">
        <v>656</v>
      </c>
      <c r="AY45" s="1239">
        <v>3.0882352941176468E-6</v>
      </c>
      <c r="AZ45" s="1239">
        <v>1.3526470588235293E-5</v>
      </c>
      <c r="BA45" s="1082" t="s">
        <v>1174</v>
      </c>
      <c r="BB45" s="1079">
        <v>0</v>
      </c>
      <c r="BC45" s="1240" t="s">
        <v>101</v>
      </c>
      <c r="BD45" s="1077" t="s">
        <v>656</v>
      </c>
      <c r="BE45" s="1239">
        <v>3.0882352941176468E-6</v>
      </c>
      <c r="BF45" s="1239">
        <v>1.3526470588235293E-5</v>
      </c>
      <c r="BG45" s="1082" t="s">
        <v>1174</v>
      </c>
      <c r="BH45" s="1079">
        <v>0</v>
      </c>
      <c r="BI45" s="1240" t="s">
        <v>101</v>
      </c>
      <c r="BJ45" s="1077" t="s">
        <v>656</v>
      </c>
      <c r="BK45" s="1082" t="s">
        <v>1141</v>
      </c>
      <c r="BL45" s="1082" t="s">
        <v>1141</v>
      </c>
      <c r="BM45" s="1239">
        <v>9.2263235294117645E-4</v>
      </c>
      <c r="BN45" s="1079">
        <v>0</v>
      </c>
      <c r="BO45" s="1076" t="s">
        <v>337</v>
      </c>
      <c r="BP45" s="1077" t="s">
        <v>656</v>
      </c>
      <c r="BQ45" s="1078">
        <v>0</v>
      </c>
      <c r="BR45" s="1078">
        <v>0</v>
      </c>
      <c r="BS45" s="1078">
        <v>0</v>
      </c>
      <c r="BT45" s="1079">
        <v>0</v>
      </c>
      <c r="BU45" s="1076" t="s">
        <v>337</v>
      </c>
      <c r="BV45" s="1077" t="s">
        <v>656</v>
      </c>
      <c r="BW45" s="1078">
        <v>0</v>
      </c>
      <c r="BX45" s="1078">
        <v>0</v>
      </c>
      <c r="BY45" s="1078">
        <v>0</v>
      </c>
      <c r="BZ45" s="1079">
        <v>0</v>
      </c>
      <c r="CA45" s="1076" t="s">
        <v>337</v>
      </c>
      <c r="CB45" s="1077" t="s">
        <v>656</v>
      </c>
      <c r="CC45" s="1078">
        <v>0</v>
      </c>
      <c r="CD45" s="1078">
        <v>0</v>
      </c>
      <c r="CE45" s="1078">
        <v>0</v>
      </c>
      <c r="CF45" s="1079">
        <v>0</v>
      </c>
      <c r="CG45" s="1240" t="s">
        <v>101</v>
      </c>
      <c r="CH45" s="1077" t="s">
        <v>656</v>
      </c>
      <c r="CI45" s="1080">
        <f>'Core Making VOC-HAP'!C238+'Core Making VOC-HAP'!E238+'Core Making VOC-HAP'!G238</f>
        <v>9.4705882352941172E-7</v>
      </c>
      <c r="CJ45" s="1080">
        <f>'Core Making VOC-HAP'!D238+'Core Making VOC-HAP'!F238+'Core Making VOC-HAP'!H238</f>
        <v>4.1481176470588234E-6</v>
      </c>
      <c r="CK45" s="1080">
        <f>'Core Making VOC-HAP'!I238</f>
        <v>4.1481176470588234E-6</v>
      </c>
      <c r="CL45" s="1079">
        <v>0</v>
      </c>
      <c r="CM45" s="1076" t="s">
        <v>337</v>
      </c>
      <c r="CN45" s="1077" t="s">
        <v>656</v>
      </c>
      <c r="CO45" s="1078">
        <v>0</v>
      </c>
      <c r="CP45" s="1078">
        <v>0</v>
      </c>
      <c r="CQ45" s="1078">
        <v>0</v>
      </c>
      <c r="CR45" s="1079">
        <v>0</v>
      </c>
      <c r="CS45" s="1076" t="s">
        <v>337</v>
      </c>
      <c r="CT45" s="1077" t="s">
        <v>656</v>
      </c>
      <c r="CU45" s="1078">
        <v>0</v>
      </c>
      <c r="CV45" s="1078">
        <v>0</v>
      </c>
      <c r="CW45" s="1078">
        <v>0</v>
      </c>
      <c r="CX45" s="1079">
        <v>0</v>
      </c>
      <c r="CY45" s="1076" t="s">
        <v>337</v>
      </c>
      <c r="CZ45" s="1077" t="s">
        <v>656</v>
      </c>
      <c r="DA45" s="1078">
        <v>0</v>
      </c>
      <c r="DB45" s="1078">
        <v>0</v>
      </c>
      <c r="DC45" s="1078">
        <v>0</v>
      </c>
      <c r="DD45" s="1079">
        <v>0</v>
      </c>
      <c r="DE45" s="1076" t="s">
        <v>337</v>
      </c>
      <c r="DF45" s="1077" t="s">
        <v>656</v>
      </c>
      <c r="DG45" s="1078">
        <v>0</v>
      </c>
      <c r="DH45" s="1078">
        <v>0</v>
      </c>
      <c r="DI45" s="1078">
        <v>0</v>
      </c>
      <c r="DJ45" s="1079">
        <v>0</v>
      </c>
      <c r="DK45" s="1076" t="s">
        <v>337</v>
      </c>
      <c r="DL45" s="1077" t="s">
        <v>656</v>
      </c>
      <c r="DM45" s="1078">
        <v>0</v>
      </c>
      <c r="DN45" s="1078">
        <v>0</v>
      </c>
      <c r="DO45" s="1078">
        <v>0</v>
      </c>
      <c r="DP45" s="1079">
        <v>0</v>
      </c>
      <c r="DQ45" s="1076" t="s">
        <v>337</v>
      </c>
      <c r="DR45" s="1077" t="s">
        <v>656</v>
      </c>
      <c r="DS45" s="1078">
        <v>0</v>
      </c>
      <c r="DT45" s="1078">
        <v>0</v>
      </c>
      <c r="DU45" s="1078">
        <v>0</v>
      </c>
      <c r="DV45" s="1079">
        <v>0</v>
      </c>
      <c r="DW45" s="1076" t="s">
        <v>337</v>
      </c>
      <c r="DX45" s="1077" t="s">
        <v>656</v>
      </c>
      <c r="DY45" s="1082">
        <f>'Pouring-Casting-Cooling'!E32</f>
        <v>0.71819999999999995</v>
      </c>
      <c r="DZ45" s="1082">
        <f>'Pouring-Casting-Cooling'!F32</f>
        <v>3.1457159999999997</v>
      </c>
      <c r="EA45" s="1082">
        <f>'Pouring-Casting-Cooling'!G32</f>
        <v>0.28349999999999997</v>
      </c>
      <c r="EB45" s="1079">
        <v>0</v>
      </c>
      <c r="EC45" s="1076" t="s">
        <v>337</v>
      </c>
      <c r="ED45" s="1077" t="s">
        <v>656</v>
      </c>
      <c r="EE45" s="1080">
        <f>'IA-Transfer Ladle'!E40*'IA-Transfer Ladle'!$C$10</f>
        <v>2.0519999999999997E-2</v>
      </c>
      <c r="EF45" s="1080">
        <f>'IA-Transfer Ladle'!F40*'IA-Transfer Ladle'!$C$10</f>
        <v>8.9877599999999988E-2</v>
      </c>
      <c r="EG45" s="1080">
        <f>'IA-Transfer Ladle'!G40</f>
        <v>8.0999999999999996E-3</v>
      </c>
      <c r="EH45" s="1079">
        <v>0</v>
      </c>
      <c r="EI45" s="1240" t="s">
        <v>101</v>
      </c>
      <c r="EJ45" s="1077" t="s">
        <v>656</v>
      </c>
      <c r="EK45" s="1239">
        <v>4.1176470588235291E-6</v>
      </c>
      <c r="EL45" s="1239">
        <v>1.8035294117647056E-5</v>
      </c>
      <c r="EM45" s="1239">
        <v>1.8035294117647056E-5</v>
      </c>
      <c r="EN45" s="1079">
        <v>0</v>
      </c>
      <c r="EO45" s="1240" t="s">
        <v>101</v>
      </c>
      <c r="EP45" s="1206" t="s">
        <v>656</v>
      </c>
      <c r="EQ45" s="1239">
        <v>7.205882352941175E-7</v>
      </c>
      <c r="ER45" s="1239">
        <v>3.1561764705882347E-6</v>
      </c>
      <c r="ES45" s="1239">
        <v>3.1561764705882347E-6</v>
      </c>
      <c r="ET45" s="1079">
        <v>0</v>
      </c>
      <c r="EU45" s="1076" t="s">
        <v>337</v>
      </c>
      <c r="EV45" s="1077" t="s">
        <v>656</v>
      </c>
      <c r="EW45" s="1260">
        <f>Shotblast!E37</f>
        <v>0.32489999999999997</v>
      </c>
      <c r="EX45" s="1260">
        <f>Shotblast!F37</f>
        <v>1.4230619999999998</v>
      </c>
      <c r="EY45" s="1082" t="s">
        <v>1210</v>
      </c>
      <c r="EZ45" s="1079">
        <v>0</v>
      </c>
      <c r="FA45" s="1076" t="s">
        <v>337</v>
      </c>
      <c r="FB45" s="1077" t="s">
        <v>656</v>
      </c>
      <c r="FC45" s="1082">
        <f t="shared" ref="FC45" si="23">EW45</f>
        <v>0.32489999999999997</v>
      </c>
      <c r="FD45" s="1082">
        <f t="shared" ref="FD45" si="24">EX45</f>
        <v>1.4230619999999998</v>
      </c>
      <c r="FE45" s="1082" t="s">
        <v>1210</v>
      </c>
      <c r="FF45" s="1079">
        <v>0</v>
      </c>
      <c r="FG45" s="1076" t="s">
        <v>337</v>
      </c>
      <c r="FH45" s="1077" t="s">
        <v>656</v>
      </c>
      <c r="FI45" s="1082">
        <f t="shared" ref="FI45" si="25">EW45</f>
        <v>0.32489999999999997</v>
      </c>
      <c r="FJ45" s="1082">
        <f t="shared" ref="FJ45" si="26">EX45</f>
        <v>1.4230619999999998</v>
      </c>
      <c r="FK45" s="1082" t="s">
        <v>1210</v>
      </c>
      <c r="FL45" s="1079">
        <v>0</v>
      </c>
      <c r="FM45" s="1076" t="s">
        <v>337</v>
      </c>
      <c r="FN45" s="1077" t="s">
        <v>656</v>
      </c>
      <c r="FO45" s="1082" t="s">
        <v>1141</v>
      </c>
      <c r="FP45" s="1082" t="s">
        <v>1141</v>
      </c>
      <c r="FQ45" s="1080">
        <f>Shotblast!H37</f>
        <v>8.9774999999999994E-3</v>
      </c>
      <c r="FR45" s="1079">
        <v>0</v>
      </c>
      <c r="FS45" s="1076" t="s">
        <v>337</v>
      </c>
      <c r="FT45" s="1077" t="s">
        <v>656</v>
      </c>
      <c r="FU45" s="1080">
        <f>'Shakeout, Green Sand'!E38</f>
        <v>0.19636363636363632</v>
      </c>
      <c r="FV45" s="1080">
        <f>'Shakeout, Green Sand'!F38</f>
        <v>0.8600727272727271</v>
      </c>
      <c r="FW45" s="1080">
        <f>'Shakeout, Green Sand'!I38</f>
        <v>0.10583999999999999</v>
      </c>
      <c r="FX45" s="1079">
        <v>0</v>
      </c>
      <c r="FY45" s="1076" t="s">
        <v>337</v>
      </c>
      <c r="FZ45" s="1077" t="s">
        <v>656</v>
      </c>
      <c r="GA45" s="1080">
        <f>'Knockout, Silica Sand'!E38</f>
        <v>0.19636363636363632</v>
      </c>
      <c r="GB45" s="1080">
        <f>'Knockout, Silica Sand'!F38</f>
        <v>0.8600727272727271</v>
      </c>
      <c r="GC45" s="1080">
        <f>'Knockout, Silica Sand'!I38</f>
        <v>9.5471999999999974E-2</v>
      </c>
      <c r="GD45" s="1079">
        <v>0</v>
      </c>
      <c r="GE45" s="1076" t="s">
        <v>337</v>
      </c>
      <c r="GF45" s="1077" t="s">
        <v>656</v>
      </c>
      <c r="GG45" s="1261">
        <f>C45+I45+O45+U45+AG45+AM45+AS45+AY45+BE45+BQ45+BW45+CC45+CI45+CO45+CU45+DA45+DG45+DM45+DS45+DY45+EE45+EK45+EQ45+EW45+FC45+FI45+FU45+GA45</f>
        <v>4.1761684991978605</v>
      </c>
      <c r="GH45" s="1261">
        <f>D45+J45+P45+V45+AH45+AN45+AT45+AZ45+BF45+BR45+BX45+CD45+CJ45+CP45+CV45+DB45+DH45+DN45+DT45+DZ45+EF45+EL45+ER45+EX45+FD45+FJ45+FV45+GB45</f>
        <v>18.291618026486631</v>
      </c>
      <c r="GI45" s="1261">
        <f>E45+AC45+BM45+BS45+BY45+CE45+CK45+CQ45+CW45+DC45+DI45+DO45+DU45+EA45+EG45+EM45+ES45+FQ45+FW45</f>
        <v>0.54251847194117642</v>
      </c>
      <c r="GJ45" s="1199">
        <f t="shared" si="0"/>
        <v>0</v>
      </c>
    </row>
    <row r="46" spans="1:192" s="1081" customFormat="1" ht="15" customHeight="1">
      <c r="A46" s="1076" t="s">
        <v>360</v>
      </c>
      <c r="B46" s="1077" t="s">
        <v>657</v>
      </c>
      <c r="C46" s="1078">
        <v>0</v>
      </c>
      <c r="D46" s="1078">
        <v>0</v>
      </c>
      <c r="E46" s="1078">
        <v>0</v>
      </c>
      <c r="F46" s="1079">
        <v>0</v>
      </c>
      <c r="G46" s="1076" t="s">
        <v>360</v>
      </c>
      <c r="H46" s="1077" t="s">
        <v>657</v>
      </c>
      <c r="I46" s="1203">
        <v>0</v>
      </c>
      <c r="J46" s="1078">
        <v>0</v>
      </c>
      <c r="K46" s="1078">
        <v>0</v>
      </c>
      <c r="L46" s="1079">
        <v>0</v>
      </c>
      <c r="M46" s="1076" t="s">
        <v>360</v>
      </c>
      <c r="N46" s="1206" t="s">
        <v>657</v>
      </c>
      <c r="O46" s="1078">
        <v>0</v>
      </c>
      <c r="P46" s="1078">
        <v>0</v>
      </c>
      <c r="Q46" s="1078">
        <v>0</v>
      </c>
      <c r="R46" s="1079">
        <v>0</v>
      </c>
      <c r="S46" s="1076" t="s">
        <v>360</v>
      </c>
      <c r="T46" s="1077" t="s">
        <v>657</v>
      </c>
      <c r="U46" s="1203">
        <v>0</v>
      </c>
      <c r="V46" s="1078">
        <v>0</v>
      </c>
      <c r="W46" s="1078">
        <v>0</v>
      </c>
      <c r="X46" s="1079">
        <v>0</v>
      </c>
      <c r="Y46" s="1076" t="s">
        <v>360</v>
      </c>
      <c r="Z46" s="1077" t="s">
        <v>657</v>
      </c>
      <c r="AA46" s="1078">
        <v>0</v>
      </c>
      <c r="AB46" s="1078">
        <v>0</v>
      </c>
      <c r="AC46" s="1078">
        <v>0</v>
      </c>
      <c r="AD46" s="1079">
        <v>0</v>
      </c>
      <c r="AE46" s="1076" t="s">
        <v>360</v>
      </c>
      <c r="AF46" s="1077" t="s">
        <v>657</v>
      </c>
      <c r="AG46" s="1279">
        <v>0</v>
      </c>
      <c r="AH46" s="1279">
        <v>0</v>
      </c>
      <c r="AI46" s="1078">
        <v>0</v>
      </c>
      <c r="AJ46" s="1079">
        <v>0</v>
      </c>
      <c r="AK46" s="1076" t="s">
        <v>360</v>
      </c>
      <c r="AL46" s="1206" t="s">
        <v>657</v>
      </c>
      <c r="AM46" s="1279">
        <v>0</v>
      </c>
      <c r="AN46" s="1279">
        <v>0</v>
      </c>
      <c r="AO46" s="1078">
        <v>0</v>
      </c>
      <c r="AP46" s="1079">
        <v>0</v>
      </c>
      <c r="AQ46" s="1076" t="s">
        <v>360</v>
      </c>
      <c r="AR46" s="1077" t="s">
        <v>657</v>
      </c>
      <c r="AS46" s="1239">
        <v>0</v>
      </c>
      <c r="AT46" s="1239">
        <v>0</v>
      </c>
      <c r="AU46" s="1078">
        <v>0</v>
      </c>
      <c r="AV46" s="1079">
        <v>0</v>
      </c>
      <c r="AW46" s="1076" t="s">
        <v>360</v>
      </c>
      <c r="AX46" s="1206" t="s">
        <v>657</v>
      </c>
      <c r="AY46" s="1239">
        <v>0</v>
      </c>
      <c r="AZ46" s="1239">
        <v>0</v>
      </c>
      <c r="BA46" s="1078">
        <v>0</v>
      </c>
      <c r="BB46" s="1079">
        <v>0</v>
      </c>
      <c r="BC46" s="1076" t="s">
        <v>360</v>
      </c>
      <c r="BD46" s="1077" t="s">
        <v>657</v>
      </c>
      <c r="BE46" s="1279">
        <v>0</v>
      </c>
      <c r="BF46" s="1279">
        <v>0</v>
      </c>
      <c r="BG46" s="1078">
        <v>0</v>
      </c>
      <c r="BH46" s="1079">
        <v>0</v>
      </c>
      <c r="BI46" s="1076" t="s">
        <v>360</v>
      </c>
      <c r="BJ46" s="1077" t="s">
        <v>657</v>
      </c>
      <c r="BK46" s="1082" t="s">
        <v>1141</v>
      </c>
      <c r="BL46" s="1082" t="s">
        <v>1141</v>
      </c>
      <c r="BM46" s="1279">
        <v>0</v>
      </c>
      <c r="BN46" s="1380">
        <v>0</v>
      </c>
      <c r="BO46" s="1381" t="s">
        <v>360</v>
      </c>
      <c r="BP46" s="1077" t="s">
        <v>657</v>
      </c>
      <c r="BQ46" s="1082">
        <f>'Core Making VOC-HAP'!F46</f>
        <v>0.15209178082191782</v>
      </c>
      <c r="BR46" s="1082">
        <f>'Core Making VOC-HAP'!G46</f>
        <v>0.66616200000000003</v>
      </c>
      <c r="BS46" s="1082" t="s">
        <v>1184</v>
      </c>
      <c r="BT46" s="1079">
        <v>0</v>
      </c>
      <c r="BU46" s="1076" t="s">
        <v>360</v>
      </c>
      <c r="BV46" s="1077" t="s">
        <v>657</v>
      </c>
      <c r="BW46" s="1082">
        <f>'Core Making VOC-HAP'!F89</f>
        <v>5.6278538812785391E-2</v>
      </c>
      <c r="BX46" s="1082">
        <f>'Core Making VOC-HAP'!G89</f>
        <v>0.2465</v>
      </c>
      <c r="BY46" s="1082" t="s">
        <v>1184</v>
      </c>
      <c r="BZ46" s="1079">
        <v>0</v>
      </c>
      <c r="CA46" s="1076" t="s">
        <v>360</v>
      </c>
      <c r="CB46" s="1077" t="s">
        <v>657</v>
      </c>
      <c r="CC46" s="1078">
        <v>0</v>
      </c>
      <c r="CD46" s="1078">
        <v>0</v>
      </c>
      <c r="CE46" s="1082" t="s">
        <v>1184</v>
      </c>
      <c r="CF46" s="1079">
        <v>0</v>
      </c>
      <c r="CG46" s="1076" t="s">
        <v>360</v>
      </c>
      <c r="CH46" s="1077" t="s">
        <v>657</v>
      </c>
      <c r="CI46" s="1078">
        <v>0</v>
      </c>
      <c r="CJ46" s="1078">
        <v>0</v>
      </c>
      <c r="CK46" s="1080">
        <v>0</v>
      </c>
      <c r="CL46" s="1079">
        <v>0</v>
      </c>
      <c r="CM46" s="1076" t="s">
        <v>360</v>
      </c>
      <c r="CN46" s="1077" t="s">
        <v>657</v>
      </c>
      <c r="CO46" s="1078">
        <v>0</v>
      </c>
      <c r="CP46" s="1078">
        <v>0</v>
      </c>
      <c r="CQ46" s="1078">
        <v>0</v>
      </c>
      <c r="CR46" s="1079">
        <v>0</v>
      </c>
      <c r="CS46" s="1076" t="s">
        <v>360</v>
      </c>
      <c r="CT46" s="1077" t="s">
        <v>657</v>
      </c>
      <c r="CU46" s="1078">
        <v>0</v>
      </c>
      <c r="CV46" s="1078">
        <v>0</v>
      </c>
      <c r="CW46" s="1078">
        <v>0</v>
      </c>
      <c r="CX46" s="1079">
        <v>0</v>
      </c>
      <c r="CY46" s="1076" t="s">
        <v>360</v>
      </c>
      <c r="CZ46" s="1077" t="s">
        <v>657</v>
      </c>
      <c r="DA46" s="1078">
        <v>0</v>
      </c>
      <c r="DB46" s="1078">
        <v>0</v>
      </c>
      <c r="DC46" s="1078">
        <v>0</v>
      </c>
      <c r="DD46" s="1079">
        <v>0</v>
      </c>
      <c r="DE46" s="1076" t="s">
        <v>360</v>
      </c>
      <c r="DF46" s="1077" t="s">
        <v>657</v>
      </c>
      <c r="DG46" s="1078">
        <v>0</v>
      </c>
      <c r="DH46" s="1078">
        <v>0</v>
      </c>
      <c r="DI46" s="1078">
        <v>0</v>
      </c>
      <c r="DJ46" s="1079">
        <v>0</v>
      </c>
      <c r="DK46" s="1076" t="s">
        <v>360</v>
      </c>
      <c r="DL46" s="1077" t="s">
        <v>657</v>
      </c>
      <c r="DM46" s="1082" t="s">
        <v>1141</v>
      </c>
      <c r="DN46" s="1082" t="s">
        <v>1141</v>
      </c>
      <c r="DO46" s="1082">
        <f>'Core Making VOC-HAP'!F170</f>
        <v>0.11408275000000001</v>
      </c>
      <c r="DP46" s="1079">
        <v>0</v>
      </c>
      <c r="DQ46" s="1076" t="s">
        <v>360</v>
      </c>
      <c r="DR46" s="1077" t="s">
        <v>657</v>
      </c>
      <c r="DS46" s="1078">
        <v>0</v>
      </c>
      <c r="DT46" s="1078">
        <v>0</v>
      </c>
      <c r="DU46" s="1078">
        <v>0</v>
      </c>
      <c r="DV46" s="1079">
        <v>0</v>
      </c>
      <c r="DW46" s="1076" t="s">
        <v>360</v>
      </c>
      <c r="DX46" s="1077" t="s">
        <v>657</v>
      </c>
      <c r="DY46" s="1078">
        <v>0</v>
      </c>
      <c r="DZ46" s="1078">
        <v>0</v>
      </c>
      <c r="EA46" s="1078">
        <v>0</v>
      </c>
      <c r="EB46" s="1079">
        <v>0</v>
      </c>
      <c r="EC46" s="1076" t="s">
        <v>360</v>
      </c>
      <c r="ED46" s="1077" t="s">
        <v>657</v>
      </c>
      <c r="EE46" s="1078">
        <v>0</v>
      </c>
      <c r="EF46" s="1078">
        <v>0</v>
      </c>
      <c r="EG46" s="1078">
        <v>0</v>
      </c>
      <c r="EH46" s="1079">
        <v>0</v>
      </c>
      <c r="EI46" s="1076" t="s">
        <v>360</v>
      </c>
      <c r="EJ46" s="1077" t="s">
        <v>657</v>
      </c>
      <c r="EK46" s="1279">
        <v>0</v>
      </c>
      <c r="EL46" s="1279">
        <v>0</v>
      </c>
      <c r="EM46" s="1279">
        <v>0</v>
      </c>
      <c r="EN46" s="1079">
        <v>0</v>
      </c>
      <c r="EO46" s="1076" t="s">
        <v>360</v>
      </c>
      <c r="EP46" s="1206" t="s">
        <v>657</v>
      </c>
      <c r="EQ46" s="1279">
        <v>0</v>
      </c>
      <c r="ER46" s="1279">
        <v>0</v>
      </c>
      <c r="ES46" s="1279">
        <v>0</v>
      </c>
      <c r="ET46" s="1079">
        <v>0</v>
      </c>
      <c r="EU46" s="1076" t="s">
        <v>360</v>
      </c>
      <c r="EV46" s="1077" t="s">
        <v>657</v>
      </c>
      <c r="EW46" s="1078">
        <v>0</v>
      </c>
      <c r="EX46" s="1078">
        <v>0</v>
      </c>
      <c r="EY46" s="1078">
        <v>0</v>
      </c>
      <c r="EZ46" s="1079">
        <v>0</v>
      </c>
      <c r="FA46" s="1076" t="s">
        <v>360</v>
      </c>
      <c r="FB46" s="1077" t="s">
        <v>657</v>
      </c>
      <c r="FC46" s="1078">
        <v>0</v>
      </c>
      <c r="FD46" s="1078">
        <v>0</v>
      </c>
      <c r="FE46" s="1078">
        <v>0</v>
      </c>
      <c r="FF46" s="1079">
        <v>0</v>
      </c>
      <c r="FG46" s="1076" t="s">
        <v>360</v>
      </c>
      <c r="FH46" s="1077" t="s">
        <v>657</v>
      </c>
      <c r="FI46" s="1078">
        <v>0</v>
      </c>
      <c r="FJ46" s="1078">
        <v>0</v>
      </c>
      <c r="FK46" s="1078">
        <v>0</v>
      </c>
      <c r="FL46" s="1079">
        <v>0</v>
      </c>
      <c r="FM46" s="1076" t="s">
        <v>360</v>
      </c>
      <c r="FN46" s="1077" t="s">
        <v>657</v>
      </c>
      <c r="FO46" s="1078">
        <v>0</v>
      </c>
      <c r="FP46" s="1078">
        <v>0</v>
      </c>
      <c r="FQ46" s="1078">
        <v>0</v>
      </c>
      <c r="FR46" s="1079">
        <v>0</v>
      </c>
      <c r="FS46" s="1076" t="s">
        <v>360</v>
      </c>
      <c r="FT46" s="1077" t="s">
        <v>657</v>
      </c>
      <c r="FU46" s="1078">
        <v>0</v>
      </c>
      <c r="FV46" s="1078">
        <v>0</v>
      </c>
      <c r="FW46" s="1078">
        <v>0</v>
      </c>
      <c r="FX46" s="1079">
        <v>0</v>
      </c>
      <c r="FY46" s="1076" t="s">
        <v>360</v>
      </c>
      <c r="FZ46" s="1077" t="s">
        <v>657</v>
      </c>
      <c r="GA46" s="1078">
        <v>0</v>
      </c>
      <c r="GB46" s="1078">
        <v>0</v>
      </c>
      <c r="GC46" s="1078">
        <v>0</v>
      </c>
      <c r="GD46" s="1079">
        <v>0</v>
      </c>
      <c r="GE46" s="1076" t="s">
        <v>360</v>
      </c>
      <c r="GF46" s="1077" t="s">
        <v>657</v>
      </c>
      <c r="GG46" s="1261">
        <f>C46+I46+O46+U46+AA46+AG46+AM46+AS46+AY46+BE46+BQ46+BW46+CC46+CI46+CO46+CU46+DA46+DG46+DS46+DY46+EE46+EK46+EQ46+EW46+FC46+FI46+FO46+FU46+GA46</f>
        <v>0.2083703196347032</v>
      </c>
      <c r="GH46" s="1261">
        <f>D46+J46+P46+V46+AB46+AH46+AN46+AT46+AZ46+BF46+BR46+BX46+CD46+CJ46+CP46+CV46+DB46+DH46+DT46+DZ46+EF46+EL46+ER46+EX46+FD46+FJ46+FP46+FV46+GB46</f>
        <v>0.91266200000000008</v>
      </c>
      <c r="GI46" s="1261">
        <f>E46+K46+Q46+W46+AC46+AI46+AO46+AU46+BA46+BG46+BM46+CK46+CQ46+CW46+DC46+DI46+DO46+DU46+EA46+EG46+EM46+ES46+EY46+FE46+FK46+FQ46+FW46</f>
        <v>0.11408275000000001</v>
      </c>
      <c r="GJ46" s="1199">
        <f t="shared" si="0"/>
        <v>0</v>
      </c>
    </row>
    <row r="47" spans="1:192" s="1081" customFormat="1" ht="15" customHeight="1">
      <c r="A47" s="1076" t="s">
        <v>1117</v>
      </c>
      <c r="B47" s="1077" t="s">
        <v>1118</v>
      </c>
      <c r="C47" s="1078">
        <v>0</v>
      </c>
      <c r="D47" s="1078">
        <v>0</v>
      </c>
      <c r="E47" s="1078">
        <v>0</v>
      </c>
      <c r="F47" s="1079">
        <v>0</v>
      </c>
      <c r="G47" s="1076" t="s">
        <v>1117</v>
      </c>
      <c r="H47" s="1077" t="s">
        <v>1118</v>
      </c>
      <c r="I47" s="1203">
        <v>0</v>
      </c>
      <c r="J47" s="1078">
        <v>0</v>
      </c>
      <c r="K47" s="1078">
        <v>0</v>
      </c>
      <c r="L47" s="1079">
        <v>0</v>
      </c>
      <c r="M47" s="1076" t="s">
        <v>1117</v>
      </c>
      <c r="N47" s="1206" t="s">
        <v>1118</v>
      </c>
      <c r="O47" s="1078">
        <v>0</v>
      </c>
      <c r="P47" s="1078">
        <v>0</v>
      </c>
      <c r="Q47" s="1078">
        <v>0</v>
      </c>
      <c r="R47" s="1079">
        <v>0</v>
      </c>
      <c r="S47" s="1076" t="s">
        <v>1117</v>
      </c>
      <c r="T47" s="1077" t="s">
        <v>1118</v>
      </c>
      <c r="U47" s="1203">
        <v>0</v>
      </c>
      <c r="V47" s="1078">
        <v>0</v>
      </c>
      <c r="W47" s="1078">
        <v>0</v>
      </c>
      <c r="X47" s="1079">
        <v>0</v>
      </c>
      <c r="Y47" s="1076" t="s">
        <v>1117</v>
      </c>
      <c r="Z47" s="1077" t="s">
        <v>1118</v>
      </c>
      <c r="AA47" s="1078">
        <v>0</v>
      </c>
      <c r="AB47" s="1078">
        <v>0</v>
      </c>
      <c r="AC47" s="1078">
        <v>0</v>
      </c>
      <c r="AD47" s="1079">
        <v>0</v>
      </c>
      <c r="AE47" s="1240" t="s">
        <v>103</v>
      </c>
      <c r="AF47" s="1077" t="s">
        <v>1118</v>
      </c>
      <c r="AG47" s="1239">
        <v>3.5294117647058824E-8</v>
      </c>
      <c r="AH47" s="1239">
        <v>1.5458823529411765E-7</v>
      </c>
      <c r="AI47" s="1082" t="s">
        <v>1174</v>
      </c>
      <c r="AJ47" s="1079">
        <v>0</v>
      </c>
      <c r="AK47" s="1240" t="s">
        <v>103</v>
      </c>
      <c r="AL47" s="1206" t="s">
        <v>1118</v>
      </c>
      <c r="AM47" s="1239">
        <v>3.5294117647058824E-8</v>
      </c>
      <c r="AN47" s="1239">
        <v>1.5458823529411765E-7</v>
      </c>
      <c r="AO47" s="1082" t="s">
        <v>1174</v>
      </c>
      <c r="AP47" s="1079">
        <v>0</v>
      </c>
      <c r="AQ47" s="1240" t="s">
        <v>103</v>
      </c>
      <c r="AR47" s="1077" t="s">
        <v>1118</v>
      </c>
      <c r="AS47" s="1239">
        <v>3.5294117647058824E-8</v>
      </c>
      <c r="AT47" s="1239">
        <v>1.5458823529411765E-7</v>
      </c>
      <c r="AU47" s="1082" t="s">
        <v>1174</v>
      </c>
      <c r="AV47" s="1079">
        <v>0</v>
      </c>
      <c r="AW47" s="1240" t="s">
        <v>103</v>
      </c>
      <c r="AX47" s="1206" t="s">
        <v>1118</v>
      </c>
      <c r="AY47" s="1239">
        <v>3.5294117647058824E-8</v>
      </c>
      <c r="AZ47" s="1239">
        <v>1.5458823529411765E-7</v>
      </c>
      <c r="BA47" s="1082" t="s">
        <v>1174</v>
      </c>
      <c r="BB47" s="1079">
        <v>0</v>
      </c>
      <c r="BC47" s="1240" t="s">
        <v>103</v>
      </c>
      <c r="BD47" s="1077" t="s">
        <v>1118</v>
      </c>
      <c r="BE47" s="1239">
        <v>3.5294117647058824E-8</v>
      </c>
      <c r="BF47" s="1239">
        <v>1.5458823529411765E-7</v>
      </c>
      <c r="BG47" s="1082" t="s">
        <v>1174</v>
      </c>
      <c r="BH47" s="1079">
        <v>0</v>
      </c>
      <c r="BI47" s="1240" t="s">
        <v>103</v>
      </c>
      <c r="BJ47" s="1077" t="s">
        <v>1118</v>
      </c>
      <c r="BK47" s="1082" t="s">
        <v>1141</v>
      </c>
      <c r="BL47" s="1082" t="s">
        <v>1141</v>
      </c>
      <c r="BM47" s="1239">
        <v>7.7294117647058823E-7</v>
      </c>
      <c r="BN47" s="1079">
        <v>0</v>
      </c>
      <c r="BO47" s="1076" t="s">
        <v>1117</v>
      </c>
      <c r="BP47" s="1077" t="s">
        <v>1118</v>
      </c>
      <c r="BQ47" s="1078">
        <v>0</v>
      </c>
      <c r="BR47" s="1078">
        <v>0</v>
      </c>
      <c r="BS47" s="1078">
        <v>0</v>
      </c>
      <c r="BT47" s="1079">
        <v>0</v>
      </c>
      <c r="BU47" s="1076" t="s">
        <v>1117</v>
      </c>
      <c r="BV47" s="1077" t="s">
        <v>1118</v>
      </c>
      <c r="BW47" s="1078">
        <v>0</v>
      </c>
      <c r="BX47" s="1078">
        <v>0</v>
      </c>
      <c r="BY47" s="1078">
        <v>0</v>
      </c>
      <c r="BZ47" s="1079">
        <v>0</v>
      </c>
      <c r="CA47" s="1076" t="s">
        <v>1117</v>
      </c>
      <c r="CB47" s="1077" t="s">
        <v>1118</v>
      </c>
      <c r="CC47" s="1078">
        <v>0</v>
      </c>
      <c r="CD47" s="1078">
        <v>0</v>
      </c>
      <c r="CE47" s="1078">
        <v>0</v>
      </c>
      <c r="CF47" s="1079">
        <v>0</v>
      </c>
      <c r="CG47" s="1240" t="s">
        <v>103</v>
      </c>
      <c r="CH47" s="1077" t="s">
        <v>1118</v>
      </c>
      <c r="CI47" s="1080">
        <f>'Core Making VOC-HAP'!C240+'Core Making VOC-HAP'!E240+'Core Making VOC-HAP'!G240</f>
        <v>1.0823529411764706E-8</v>
      </c>
      <c r="CJ47" s="1080">
        <f>'Core Making VOC-HAP'!D240+'Core Making VOC-HAP'!F240+'Core Making VOC-HAP'!H240</f>
        <v>4.7407058823529412E-8</v>
      </c>
      <c r="CK47" s="1080">
        <f>'Core Making VOC-HAP'!I240</f>
        <v>4.7407058823529412E-8</v>
      </c>
      <c r="CL47" s="1079">
        <v>0</v>
      </c>
      <c r="CM47" s="1076" t="s">
        <v>1117</v>
      </c>
      <c r="CN47" s="1077" t="s">
        <v>1118</v>
      </c>
      <c r="CO47" s="1078">
        <v>0</v>
      </c>
      <c r="CP47" s="1078">
        <v>0</v>
      </c>
      <c r="CQ47" s="1078">
        <v>0</v>
      </c>
      <c r="CR47" s="1079">
        <v>0</v>
      </c>
      <c r="CS47" s="1076" t="s">
        <v>1117</v>
      </c>
      <c r="CT47" s="1077" t="s">
        <v>1118</v>
      </c>
      <c r="CU47" s="1078">
        <v>0</v>
      </c>
      <c r="CV47" s="1078">
        <v>0</v>
      </c>
      <c r="CW47" s="1078">
        <v>0</v>
      </c>
      <c r="CX47" s="1079">
        <v>0</v>
      </c>
      <c r="CY47" s="1076" t="s">
        <v>1117</v>
      </c>
      <c r="CZ47" s="1077" t="s">
        <v>1118</v>
      </c>
      <c r="DA47" s="1078">
        <v>0</v>
      </c>
      <c r="DB47" s="1078">
        <v>0</v>
      </c>
      <c r="DC47" s="1078">
        <v>0</v>
      </c>
      <c r="DD47" s="1079">
        <v>0</v>
      </c>
      <c r="DE47" s="1076" t="s">
        <v>1117</v>
      </c>
      <c r="DF47" s="1077" t="s">
        <v>1118</v>
      </c>
      <c r="DG47" s="1078">
        <v>0</v>
      </c>
      <c r="DH47" s="1078">
        <v>0</v>
      </c>
      <c r="DI47" s="1078">
        <v>0</v>
      </c>
      <c r="DJ47" s="1079">
        <v>0</v>
      </c>
      <c r="DK47" s="1076" t="s">
        <v>1117</v>
      </c>
      <c r="DL47" s="1077" t="s">
        <v>1118</v>
      </c>
      <c r="DM47" s="1078">
        <v>0</v>
      </c>
      <c r="DN47" s="1078">
        <v>0</v>
      </c>
      <c r="DO47" s="1078">
        <v>0</v>
      </c>
      <c r="DP47" s="1079">
        <v>0</v>
      </c>
      <c r="DQ47" s="1076" t="s">
        <v>1117</v>
      </c>
      <c r="DR47" s="1077" t="s">
        <v>1118</v>
      </c>
      <c r="DS47" s="1078">
        <v>0</v>
      </c>
      <c r="DT47" s="1078">
        <v>0</v>
      </c>
      <c r="DU47" s="1078">
        <v>0</v>
      </c>
      <c r="DV47" s="1079">
        <v>0</v>
      </c>
      <c r="DW47" s="1076" t="s">
        <v>1117</v>
      </c>
      <c r="DX47" s="1077" t="s">
        <v>1118</v>
      </c>
      <c r="DY47" s="1078">
        <v>0</v>
      </c>
      <c r="DZ47" s="1078">
        <v>0</v>
      </c>
      <c r="EA47" s="1078">
        <v>0</v>
      </c>
      <c r="EB47" s="1079">
        <v>0</v>
      </c>
      <c r="EC47" s="1076" t="s">
        <v>1117</v>
      </c>
      <c r="ED47" s="1077" t="s">
        <v>1118</v>
      </c>
      <c r="EE47" s="1078">
        <v>0</v>
      </c>
      <c r="EF47" s="1078">
        <v>0</v>
      </c>
      <c r="EG47" s="1078">
        <v>0</v>
      </c>
      <c r="EH47" s="1079">
        <v>0</v>
      </c>
      <c r="EI47" s="1240" t="s">
        <v>103</v>
      </c>
      <c r="EJ47" s="1077" t="s">
        <v>1118</v>
      </c>
      <c r="EK47" s="1239">
        <v>4.7058823529411763E-8</v>
      </c>
      <c r="EL47" s="1239">
        <v>2.0611764705882354E-7</v>
      </c>
      <c r="EM47" s="1239">
        <v>2.0611764705882354E-7</v>
      </c>
      <c r="EN47" s="1079">
        <v>0</v>
      </c>
      <c r="EO47" s="1240" t="s">
        <v>103</v>
      </c>
      <c r="EP47" s="1206" t="s">
        <v>1118</v>
      </c>
      <c r="EQ47" s="1239">
        <v>8.235294117647058E-9</v>
      </c>
      <c r="ER47" s="1239">
        <v>3.6070588235294113E-8</v>
      </c>
      <c r="ES47" s="1239">
        <v>3.6070588235294113E-8</v>
      </c>
      <c r="ET47" s="1079">
        <v>0</v>
      </c>
      <c r="EU47" s="1076" t="s">
        <v>1117</v>
      </c>
      <c r="EV47" s="1077" t="s">
        <v>1118</v>
      </c>
      <c r="EW47" s="1078">
        <v>0</v>
      </c>
      <c r="EX47" s="1078">
        <v>0</v>
      </c>
      <c r="EY47" s="1078">
        <v>0</v>
      </c>
      <c r="EZ47" s="1079">
        <v>0</v>
      </c>
      <c r="FA47" s="1076" t="s">
        <v>1117</v>
      </c>
      <c r="FB47" s="1077" t="s">
        <v>1118</v>
      </c>
      <c r="FC47" s="1078">
        <v>0</v>
      </c>
      <c r="FD47" s="1078">
        <v>0</v>
      </c>
      <c r="FE47" s="1078">
        <v>0</v>
      </c>
      <c r="FF47" s="1079">
        <v>0</v>
      </c>
      <c r="FG47" s="1076" t="s">
        <v>1117</v>
      </c>
      <c r="FH47" s="1077" t="s">
        <v>1118</v>
      </c>
      <c r="FI47" s="1078">
        <v>0</v>
      </c>
      <c r="FJ47" s="1078">
        <v>0</v>
      </c>
      <c r="FK47" s="1078">
        <v>0</v>
      </c>
      <c r="FL47" s="1079">
        <v>0</v>
      </c>
      <c r="FM47" s="1076" t="s">
        <v>1117</v>
      </c>
      <c r="FN47" s="1077" t="s">
        <v>1118</v>
      </c>
      <c r="FO47" s="1078">
        <v>0</v>
      </c>
      <c r="FP47" s="1078">
        <v>0</v>
      </c>
      <c r="FQ47" s="1078">
        <v>0</v>
      </c>
      <c r="FR47" s="1079">
        <v>0</v>
      </c>
      <c r="FS47" s="1076" t="s">
        <v>1117</v>
      </c>
      <c r="FT47" s="1077" t="s">
        <v>1118</v>
      </c>
      <c r="FU47" s="1078">
        <v>0</v>
      </c>
      <c r="FV47" s="1078">
        <v>0</v>
      </c>
      <c r="FW47" s="1078">
        <v>0</v>
      </c>
      <c r="FX47" s="1079">
        <v>0</v>
      </c>
      <c r="FY47" s="1076" t="s">
        <v>1117</v>
      </c>
      <c r="FZ47" s="1077" t="s">
        <v>1118</v>
      </c>
      <c r="GA47" s="1078">
        <v>0</v>
      </c>
      <c r="GB47" s="1078">
        <v>0</v>
      </c>
      <c r="GC47" s="1078">
        <v>0</v>
      </c>
      <c r="GD47" s="1079">
        <v>0</v>
      </c>
      <c r="GE47" s="1076" t="s">
        <v>1117</v>
      </c>
      <c r="GF47" s="1077" t="s">
        <v>1118</v>
      </c>
      <c r="GG47" s="1261">
        <f t="shared" ref="GG47:GH49" si="27">C47+I47+O47+U47+AA47+AG47+AM47+AS47+AY47+BE47+BQ47+BW47+CC47+CI47+CO47+CU47+DA47+DG47+DM47+DS47+DY47+EE47+EK47+EQ47+EW47+FC47+FI47+FO47+FU47+GA47</f>
        <v>2.4258823529411764E-7</v>
      </c>
      <c r="GH47" s="1261">
        <f t="shared" si="27"/>
        <v>1.0625364705882353E-6</v>
      </c>
      <c r="GI47" s="1261">
        <f>E47+K47+Q47+W47+AC47+BM47+BS47+BY47+CE47+CK47+CQ47+CW47+DC47+DI47+DO47+DU47+EA47+EG47+EM47+ES47+EY47+FE47+FK47+FQ47+FW47</f>
        <v>1.0625364705882353E-6</v>
      </c>
      <c r="GJ47" s="1199">
        <f t="shared" si="0"/>
        <v>0</v>
      </c>
    </row>
    <row r="48" spans="1:192" s="1081" customFormat="1" ht="15" customHeight="1">
      <c r="A48" s="1076" t="s">
        <v>1119</v>
      </c>
      <c r="B48" s="1077" t="s">
        <v>673</v>
      </c>
      <c r="C48" s="1082">
        <f>'Core Wash'!E44</f>
        <v>0.14591999999999999</v>
      </c>
      <c r="D48" s="1082">
        <f>'Core Wash'!F44</f>
        <v>0.63912960000000008</v>
      </c>
      <c r="E48" s="1082">
        <f>'Core Wash'!G44</f>
        <v>5.7600000000000005E-2</v>
      </c>
      <c r="F48" s="1079">
        <v>0</v>
      </c>
      <c r="G48" s="1076" t="s">
        <v>1119</v>
      </c>
      <c r="H48" s="1077" t="s">
        <v>673</v>
      </c>
      <c r="I48" s="1203">
        <v>0</v>
      </c>
      <c r="J48" s="1078">
        <v>0</v>
      </c>
      <c r="K48" s="1078">
        <v>0</v>
      </c>
      <c r="L48" s="1079">
        <v>0</v>
      </c>
      <c r="M48" s="1076" t="s">
        <v>1119</v>
      </c>
      <c r="N48" s="1206" t="s">
        <v>673</v>
      </c>
      <c r="O48" s="1078">
        <v>0</v>
      </c>
      <c r="P48" s="1078">
        <v>0</v>
      </c>
      <c r="Q48" s="1078">
        <v>0</v>
      </c>
      <c r="R48" s="1079">
        <v>0</v>
      </c>
      <c r="S48" s="1076" t="s">
        <v>1119</v>
      </c>
      <c r="T48" s="1077" t="s">
        <v>673</v>
      </c>
      <c r="U48" s="1203">
        <v>0</v>
      </c>
      <c r="V48" s="1078">
        <v>0</v>
      </c>
      <c r="W48" s="1078">
        <v>0</v>
      </c>
      <c r="X48" s="1079">
        <v>0</v>
      </c>
      <c r="Y48" s="1076" t="s">
        <v>1119</v>
      </c>
      <c r="Z48" s="1077" t="s">
        <v>673</v>
      </c>
      <c r="AA48" s="1078">
        <v>0</v>
      </c>
      <c r="AB48" s="1078">
        <v>0</v>
      </c>
      <c r="AC48" s="1078">
        <v>0</v>
      </c>
      <c r="AD48" s="1079">
        <v>0</v>
      </c>
      <c r="AE48" s="1240" t="s">
        <v>104</v>
      </c>
      <c r="AF48" s="1077" t="s">
        <v>673</v>
      </c>
      <c r="AG48" s="1239">
        <v>4.9999999999999996E-6</v>
      </c>
      <c r="AH48" s="1239">
        <v>2.19E-5</v>
      </c>
      <c r="AI48" s="1082" t="s">
        <v>1174</v>
      </c>
      <c r="AJ48" s="1079">
        <v>0</v>
      </c>
      <c r="AK48" s="1240" t="s">
        <v>104</v>
      </c>
      <c r="AL48" s="1206" t="s">
        <v>673</v>
      </c>
      <c r="AM48" s="1239">
        <v>4.9999999999999996E-6</v>
      </c>
      <c r="AN48" s="1239">
        <v>2.19E-5</v>
      </c>
      <c r="AO48" s="1082" t="s">
        <v>1174</v>
      </c>
      <c r="AP48" s="1079">
        <v>0</v>
      </c>
      <c r="AQ48" s="1240" t="s">
        <v>104</v>
      </c>
      <c r="AR48" s="1077" t="s">
        <v>673</v>
      </c>
      <c r="AS48" s="1239">
        <v>4.9999999999999996E-6</v>
      </c>
      <c r="AT48" s="1239">
        <v>2.19E-5</v>
      </c>
      <c r="AU48" s="1082" t="s">
        <v>1174</v>
      </c>
      <c r="AV48" s="1079">
        <v>0</v>
      </c>
      <c r="AW48" s="1240" t="s">
        <v>104</v>
      </c>
      <c r="AX48" s="1206" t="s">
        <v>673</v>
      </c>
      <c r="AY48" s="1239">
        <v>4.9999999999999996E-6</v>
      </c>
      <c r="AZ48" s="1239">
        <v>2.19E-5</v>
      </c>
      <c r="BA48" s="1082" t="s">
        <v>1174</v>
      </c>
      <c r="BB48" s="1079">
        <v>0</v>
      </c>
      <c r="BC48" s="1240" t="s">
        <v>104</v>
      </c>
      <c r="BD48" s="1077" t="s">
        <v>673</v>
      </c>
      <c r="BE48" s="1239">
        <v>4.9999999999999996E-6</v>
      </c>
      <c r="BF48" s="1239">
        <v>2.19E-5</v>
      </c>
      <c r="BG48" s="1082" t="s">
        <v>1174</v>
      </c>
      <c r="BH48" s="1079">
        <v>0</v>
      </c>
      <c r="BI48" s="1240" t="s">
        <v>104</v>
      </c>
      <c r="BJ48" s="1077" t="s">
        <v>673</v>
      </c>
      <c r="BK48" s="1082" t="s">
        <v>1141</v>
      </c>
      <c r="BL48" s="1082" t="s">
        <v>1141</v>
      </c>
      <c r="BM48" s="1239">
        <v>1.0950000000000001E-4</v>
      </c>
      <c r="BN48" s="1079">
        <v>0</v>
      </c>
      <c r="BO48" s="1076" t="s">
        <v>1119</v>
      </c>
      <c r="BP48" s="1077" t="s">
        <v>673</v>
      </c>
      <c r="BQ48" s="1078">
        <v>0</v>
      </c>
      <c r="BR48" s="1078">
        <v>0</v>
      </c>
      <c r="BS48" s="1078">
        <v>0</v>
      </c>
      <c r="BT48" s="1079">
        <v>0</v>
      </c>
      <c r="BU48" s="1076" t="s">
        <v>1119</v>
      </c>
      <c r="BV48" s="1077" t="s">
        <v>673</v>
      </c>
      <c r="BW48" s="1078">
        <v>0</v>
      </c>
      <c r="BX48" s="1078">
        <v>0</v>
      </c>
      <c r="BY48" s="1078">
        <v>0</v>
      </c>
      <c r="BZ48" s="1079">
        <v>0</v>
      </c>
      <c r="CA48" s="1076" t="s">
        <v>1119</v>
      </c>
      <c r="CB48" s="1077" t="s">
        <v>673</v>
      </c>
      <c r="CC48" s="1078">
        <v>0</v>
      </c>
      <c r="CD48" s="1078">
        <v>0</v>
      </c>
      <c r="CE48" s="1078">
        <v>0</v>
      </c>
      <c r="CF48" s="1079">
        <v>0</v>
      </c>
      <c r="CG48" s="1240" t="s">
        <v>104</v>
      </c>
      <c r="CH48" s="1077" t="s">
        <v>673</v>
      </c>
      <c r="CI48" s="1078">
        <v>0</v>
      </c>
      <c r="CJ48" s="1078">
        <v>0</v>
      </c>
      <c r="CK48" s="1080">
        <v>0</v>
      </c>
      <c r="CL48" s="1079">
        <v>0</v>
      </c>
      <c r="CM48" s="1076" t="s">
        <v>1119</v>
      </c>
      <c r="CN48" s="1077" t="s">
        <v>673</v>
      </c>
      <c r="CO48" s="1078">
        <v>0</v>
      </c>
      <c r="CP48" s="1078">
        <v>0</v>
      </c>
      <c r="CQ48" s="1078">
        <v>0</v>
      </c>
      <c r="CR48" s="1079">
        <v>0</v>
      </c>
      <c r="CS48" s="1076" t="s">
        <v>1119</v>
      </c>
      <c r="CT48" s="1077" t="s">
        <v>673</v>
      </c>
      <c r="CU48" s="1078">
        <v>0</v>
      </c>
      <c r="CV48" s="1078">
        <v>0</v>
      </c>
      <c r="CW48" s="1078">
        <v>0</v>
      </c>
      <c r="CX48" s="1079">
        <v>0</v>
      </c>
      <c r="CY48" s="1076" t="s">
        <v>1119</v>
      </c>
      <c r="CZ48" s="1077" t="s">
        <v>673</v>
      </c>
      <c r="DA48" s="1078">
        <v>0</v>
      </c>
      <c r="DB48" s="1078">
        <v>0</v>
      </c>
      <c r="DC48" s="1078">
        <v>0</v>
      </c>
      <c r="DD48" s="1079">
        <v>0</v>
      </c>
      <c r="DE48" s="1076" t="s">
        <v>1119</v>
      </c>
      <c r="DF48" s="1077" t="s">
        <v>673</v>
      </c>
      <c r="DG48" s="1078">
        <v>0</v>
      </c>
      <c r="DH48" s="1078">
        <v>0</v>
      </c>
      <c r="DI48" s="1078">
        <v>0</v>
      </c>
      <c r="DJ48" s="1079">
        <v>0</v>
      </c>
      <c r="DK48" s="1076" t="s">
        <v>1119</v>
      </c>
      <c r="DL48" s="1077" t="s">
        <v>673</v>
      </c>
      <c r="DM48" s="1078">
        <v>0</v>
      </c>
      <c r="DN48" s="1078">
        <v>0</v>
      </c>
      <c r="DO48" s="1078">
        <v>0</v>
      </c>
      <c r="DP48" s="1079">
        <v>0</v>
      </c>
      <c r="DQ48" s="1076" t="s">
        <v>1119</v>
      </c>
      <c r="DR48" s="1077" t="s">
        <v>673</v>
      </c>
      <c r="DS48" s="1078">
        <v>0</v>
      </c>
      <c r="DT48" s="1078">
        <v>0</v>
      </c>
      <c r="DU48" s="1078">
        <v>0</v>
      </c>
      <c r="DV48" s="1079">
        <v>0</v>
      </c>
      <c r="DW48" s="1076" t="s">
        <v>1119</v>
      </c>
      <c r="DX48" s="1077" t="s">
        <v>673</v>
      </c>
      <c r="DY48" s="1078">
        <v>0</v>
      </c>
      <c r="DZ48" s="1078">
        <v>0</v>
      </c>
      <c r="EA48" s="1078">
        <v>0</v>
      </c>
      <c r="EB48" s="1079">
        <v>0</v>
      </c>
      <c r="EC48" s="1076" t="s">
        <v>1119</v>
      </c>
      <c r="ED48" s="1077" t="s">
        <v>673</v>
      </c>
      <c r="EE48" s="1078">
        <v>0</v>
      </c>
      <c r="EF48" s="1078">
        <v>0</v>
      </c>
      <c r="EG48" s="1078">
        <v>0</v>
      </c>
      <c r="EH48" s="1079">
        <v>0</v>
      </c>
      <c r="EI48" s="1240" t="s">
        <v>104</v>
      </c>
      <c r="EJ48" s="1077" t="s">
        <v>673</v>
      </c>
      <c r="EK48" s="1239">
        <v>6.6666666666666658E-6</v>
      </c>
      <c r="EL48" s="1239">
        <v>2.9199999999999998E-5</v>
      </c>
      <c r="EM48" s="1239">
        <v>2.9199999999999998E-5</v>
      </c>
      <c r="EN48" s="1079">
        <v>0</v>
      </c>
      <c r="EO48" s="1240" t="s">
        <v>104</v>
      </c>
      <c r="EP48" s="1206" t="s">
        <v>673</v>
      </c>
      <c r="EQ48" s="1239">
        <v>1.1666666666666664E-6</v>
      </c>
      <c r="ER48" s="1239">
        <v>5.1099999999999994E-6</v>
      </c>
      <c r="ES48" s="1239">
        <v>5.1099999999999994E-6</v>
      </c>
      <c r="ET48" s="1079">
        <v>0</v>
      </c>
      <c r="EU48" s="1076" t="s">
        <v>1119</v>
      </c>
      <c r="EV48" s="1077" t="s">
        <v>673</v>
      </c>
      <c r="EW48" s="1078">
        <v>0</v>
      </c>
      <c r="EX48" s="1078">
        <v>0</v>
      </c>
      <c r="EY48" s="1078">
        <v>0</v>
      </c>
      <c r="EZ48" s="1079">
        <v>0</v>
      </c>
      <c r="FA48" s="1076" t="s">
        <v>1119</v>
      </c>
      <c r="FB48" s="1077" t="s">
        <v>673</v>
      </c>
      <c r="FC48" s="1078">
        <v>0</v>
      </c>
      <c r="FD48" s="1078">
        <v>0</v>
      </c>
      <c r="FE48" s="1078">
        <v>0</v>
      </c>
      <c r="FF48" s="1079">
        <v>0</v>
      </c>
      <c r="FG48" s="1076" t="s">
        <v>1119</v>
      </c>
      <c r="FH48" s="1077" t="s">
        <v>673</v>
      </c>
      <c r="FI48" s="1078">
        <v>0</v>
      </c>
      <c r="FJ48" s="1078">
        <v>0</v>
      </c>
      <c r="FK48" s="1078">
        <v>0</v>
      </c>
      <c r="FL48" s="1079">
        <v>0</v>
      </c>
      <c r="FM48" s="1076" t="s">
        <v>1119</v>
      </c>
      <c r="FN48" s="1077" t="s">
        <v>673</v>
      </c>
      <c r="FO48" s="1078">
        <v>0</v>
      </c>
      <c r="FP48" s="1078">
        <v>0</v>
      </c>
      <c r="FQ48" s="1078">
        <v>0</v>
      </c>
      <c r="FR48" s="1079">
        <v>0</v>
      </c>
      <c r="FS48" s="1076" t="s">
        <v>1119</v>
      </c>
      <c r="FT48" s="1077" t="s">
        <v>673</v>
      </c>
      <c r="FU48" s="1078">
        <v>0</v>
      </c>
      <c r="FV48" s="1078">
        <v>0</v>
      </c>
      <c r="FW48" s="1078">
        <v>0</v>
      </c>
      <c r="FX48" s="1079">
        <v>0</v>
      </c>
      <c r="FY48" s="1076" t="s">
        <v>1119</v>
      </c>
      <c r="FZ48" s="1077" t="s">
        <v>673</v>
      </c>
      <c r="GA48" s="1078">
        <v>0</v>
      </c>
      <c r="GB48" s="1078">
        <v>0</v>
      </c>
      <c r="GC48" s="1078">
        <v>0</v>
      </c>
      <c r="GD48" s="1079">
        <v>0</v>
      </c>
      <c r="GE48" s="1076" t="s">
        <v>1119</v>
      </c>
      <c r="GF48" s="1077" t="s">
        <v>673</v>
      </c>
      <c r="GG48" s="1261">
        <f t="shared" si="27"/>
        <v>0.14595283333333334</v>
      </c>
      <c r="GH48" s="1261">
        <f t="shared" si="27"/>
        <v>0.63927341000000015</v>
      </c>
      <c r="GI48" s="1261">
        <f>E48+K48+Q48+W48+AC48+BM48+BS48+BY48+CE48+CK48+CQ48+CW48+DC48+DI48+DO48+DU48+EA48+EG48+EM48+ES48+EY48+FE48+FK48+FQ48+FW48</f>
        <v>5.7743810000000007E-2</v>
      </c>
      <c r="GJ48" s="1199">
        <f t="shared" si="0"/>
        <v>0</v>
      </c>
    </row>
    <row r="49" spans="1:192" s="1081" customFormat="1" ht="15" customHeight="1">
      <c r="A49" s="1076" t="s">
        <v>1120</v>
      </c>
      <c r="B49" s="1077" t="s">
        <v>47</v>
      </c>
      <c r="C49" s="1078">
        <v>0</v>
      </c>
      <c r="D49" s="1078">
        <v>0</v>
      </c>
      <c r="E49" s="1078">
        <v>0</v>
      </c>
      <c r="F49" s="1079">
        <v>0</v>
      </c>
      <c r="G49" s="1076" t="s">
        <v>1120</v>
      </c>
      <c r="H49" s="1077" t="s">
        <v>47</v>
      </c>
      <c r="I49" s="1203">
        <v>0</v>
      </c>
      <c r="J49" s="1078">
        <v>0</v>
      </c>
      <c r="K49" s="1078">
        <v>0</v>
      </c>
      <c r="L49" s="1079">
        <v>0</v>
      </c>
      <c r="M49" s="1076" t="s">
        <v>1120</v>
      </c>
      <c r="N49" s="1206" t="s">
        <v>47</v>
      </c>
      <c r="O49" s="1078">
        <v>0</v>
      </c>
      <c r="P49" s="1078">
        <v>0</v>
      </c>
      <c r="Q49" s="1078">
        <v>0</v>
      </c>
      <c r="R49" s="1079">
        <v>0</v>
      </c>
      <c r="S49" s="1076" t="s">
        <v>1120</v>
      </c>
      <c r="T49" s="1077" t="s">
        <v>47</v>
      </c>
      <c r="U49" s="1203">
        <v>0</v>
      </c>
      <c r="V49" s="1078">
        <v>0</v>
      </c>
      <c r="W49" s="1078">
        <v>0</v>
      </c>
      <c r="X49" s="1079">
        <v>0</v>
      </c>
      <c r="Y49" s="1076" t="s">
        <v>1120</v>
      </c>
      <c r="Z49" s="1077" t="s">
        <v>47</v>
      </c>
      <c r="AA49" s="1078">
        <v>0</v>
      </c>
      <c r="AB49" s="1078">
        <v>0</v>
      </c>
      <c r="AC49" s="1078">
        <v>0</v>
      </c>
      <c r="AD49" s="1079">
        <v>0</v>
      </c>
      <c r="AE49" s="1240" t="s">
        <v>102</v>
      </c>
      <c r="AF49" s="1077" t="s">
        <v>47</v>
      </c>
      <c r="AG49" s="1239">
        <v>1.0267647058823528E-6</v>
      </c>
      <c r="AH49" s="1239">
        <v>4.4972294117647047E-6</v>
      </c>
      <c r="AI49" s="1082" t="s">
        <v>1174</v>
      </c>
      <c r="AJ49" s="1079">
        <v>0</v>
      </c>
      <c r="AK49" s="1240" t="s">
        <v>102</v>
      </c>
      <c r="AL49" s="1206" t="s">
        <v>47</v>
      </c>
      <c r="AM49" s="1239">
        <v>1.0267647058823528E-6</v>
      </c>
      <c r="AN49" s="1239">
        <v>4.4972294117647047E-6</v>
      </c>
      <c r="AO49" s="1082" t="s">
        <v>1174</v>
      </c>
      <c r="AP49" s="1079">
        <v>0</v>
      </c>
      <c r="AQ49" s="1240" t="s">
        <v>102</v>
      </c>
      <c r="AR49" s="1077" t="s">
        <v>47</v>
      </c>
      <c r="AS49" s="1239">
        <v>1.0267647058823528E-6</v>
      </c>
      <c r="AT49" s="1239">
        <v>4.4972294117647047E-6</v>
      </c>
      <c r="AU49" s="1082" t="s">
        <v>1174</v>
      </c>
      <c r="AV49" s="1079">
        <v>0</v>
      </c>
      <c r="AW49" s="1240" t="s">
        <v>102</v>
      </c>
      <c r="AX49" s="1206" t="s">
        <v>47</v>
      </c>
      <c r="AY49" s="1239">
        <v>1.0267647058823528E-6</v>
      </c>
      <c r="AZ49" s="1239">
        <v>4.4972294117647047E-6</v>
      </c>
      <c r="BA49" s="1082" t="s">
        <v>1174</v>
      </c>
      <c r="BB49" s="1079">
        <v>0</v>
      </c>
      <c r="BC49" s="1240" t="s">
        <v>102</v>
      </c>
      <c r="BD49" s="1077" t="s">
        <v>47</v>
      </c>
      <c r="BE49" s="1239">
        <v>1.0267647058823528E-6</v>
      </c>
      <c r="BF49" s="1239">
        <v>4.4972294117647047E-6</v>
      </c>
      <c r="BG49" s="1082" t="s">
        <v>1174</v>
      </c>
      <c r="BH49" s="1079">
        <v>0</v>
      </c>
      <c r="BI49" s="1240" t="s">
        <v>102</v>
      </c>
      <c r="BJ49" s="1077" t="s">
        <v>47</v>
      </c>
      <c r="BK49" s="1082" t="s">
        <v>1141</v>
      </c>
      <c r="BL49" s="1082" t="s">
        <v>1141</v>
      </c>
      <c r="BM49" s="1239">
        <v>2.2486147058823524E-5</v>
      </c>
      <c r="BN49" s="1079">
        <v>0</v>
      </c>
      <c r="BO49" s="1076" t="s">
        <v>1120</v>
      </c>
      <c r="BP49" s="1077" t="s">
        <v>47</v>
      </c>
      <c r="BQ49" s="1078">
        <v>0</v>
      </c>
      <c r="BR49" s="1078">
        <v>0</v>
      </c>
      <c r="BS49" s="1078">
        <v>0</v>
      </c>
      <c r="BT49" s="1079">
        <v>0</v>
      </c>
      <c r="BU49" s="1076" t="s">
        <v>1120</v>
      </c>
      <c r="BV49" s="1077" t="s">
        <v>47</v>
      </c>
      <c r="BW49" s="1082">
        <f>'Core Making VOC-HAP'!F74</f>
        <v>0.16883561643835618</v>
      </c>
      <c r="BX49" s="1082">
        <f>'Core Making VOC-HAP'!G74</f>
        <v>0.73950000000000005</v>
      </c>
      <c r="BY49" s="1082" t="s">
        <v>1184</v>
      </c>
      <c r="BZ49" s="1079">
        <v>0</v>
      </c>
      <c r="CA49" s="1076" t="s">
        <v>1120</v>
      </c>
      <c r="CB49" s="1077" t="s">
        <v>47</v>
      </c>
      <c r="CC49" s="1078">
        <v>0</v>
      </c>
      <c r="CD49" s="1078">
        <v>0</v>
      </c>
      <c r="CE49" s="1078">
        <v>0</v>
      </c>
      <c r="CF49" s="1079">
        <v>0</v>
      </c>
      <c r="CG49" s="1240" t="s">
        <v>102</v>
      </c>
      <c r="CH49" s="1077" t="s">
        <v>47</v>
      </c>
      <c r="CI49" s="1080">
        <f>'Core Making VOC-HAP'!C239+'Core Making VOC-HAP'!E239+'Core Making VOC-HAP'!G239</f>
        <v>3.1487450980392152E-7</v>
      </c>
      <c r="CJ49" s="1080">
        <f>'Core Making VOC-HAP'!D239+'Core Making VOC-HAP'!F239+'Core Making VOC-HAP'!H239</f>
        <v>1.3791503529411764E-6</v>
      </c>
      <c r="CK49" s="1080">
        <f>'Core Making VOC-HAP'!I239</f>
        <v>1.3791503529411764E-6</v>
      </c>
      <c r="CL49" s="1079">
        <v>0</v>
      </c>
      <c r="CM49" s="1076" t="s">
        <v>1120</v>
      </c>
      <c r="CN49" s="1077" t="s">
        <v>47</v>
      </c>
      <c r="CO49" s="1078">
        <v>0</v>
      </c>
      <c r="CP49" s="1078">
        <v>0</v>
      </c>
      <c r="CQ49" s="1078">
        <v>0</v>
      </c>
      <c r="CR49" s="1079">
        <v>0</v>
      </c>
      <c r="CS49" s="1076" t="s">
        <v>1120</v>
      </c>
      <c r="CT49" s="1077" t="s">
        <v>47</v>
      </c>
      <c r="CU49" s="1078">
        <v>0</v>
      </c>
      <c r="CV49" s="1078">
        <v>0</v>
      </c>
      <c r="CW49" s="1078">
        <v>0</v>
      </c>
      <c r="CX49" s="1079">
        <v>0</v>
      </c>
      <c r="CY49" s="1076" t="s">
        <v>1120</v>
      </c>
      <c r="CZ49" s="1077" t="s">
        <v>47</v>
      </c>
      <c r="DA49" s="1078">
        <v>0</v>
      </c>
      <c r="DB49" s="1078">
        <v>0</v>
      </c>
      <c r="DC49" s="1078">
        <v>0</v>
      </c>
      <c r="DD49" s="1079">
        <v>0</v>
      </c>
      <c r="DE49" s="1076" t="s">
        <v>1120</v>
      </c>
      <c r="DF49" s="1077" t="s">
        <v>47</v>
      </c>
      <c r="DG49" s="1078">
        <v>0</v>
      </c>
      <c r="DH49" s="1078">
        <v>0</v>
      </c>
      <c r="DI49" s="1078">
        <v>0</v>
      </c>
      <c r="DJ49" s="1079">
        <v>0</v>
      </c>
      <c r="DK49" s="1076" t="s">
        <v>1120</v>
      </c>
      <c r="DL49" s="1077" t="s">
        <v>47</v>
      </c>
      <c r="DM49" s="1078">
        <v>0</v>
      </c>
      <c r="DN49" s="1078">
        <v>0</v>
      </c>
      <c r="DO49" s="1082">
        <f>'Core Making VOC-HAP'!F155</f>
        <v>9.2437500000000006E-2</v>
      </c>
      <c r="DP49" s="1079">
        <v>0</v>
      </c>
      <c r="DQ49" s="1076" t="s">
        <v>1120</v>
      </c>
      <c r="DR49" s="1077" t="s">
        <v>47</v>
      </c>
      <c r="DS49" s="1078">
        <v>0</v>
      </c>
      <c r="DT49" s="1078">
        <v>0</v>
      </c>
      <c r="DU49" s="1078">
        <v>0</v>
      </c>
      <c r="DV49" s="1079">
        <v>0</v>
      </c>
      <c r="DW49" s="1076" t="s">
        <v>1120</v>
      </c>
      <c r="DX49" s="1077" t="s">
        <v>47</v>
      </c>
      <c r="DY49" s="1078">
        <v>0</v>
      </c>
      <c r="DZ49" s="1078">
        <v>0</v>
      </c>
      <c r="EA49" s="1078">
        <v>0</v>
      </c>
      <c r="EB49" s="1079">
        <v>0</v>
      </c>
      <c r="EC49" s="1076" t="s">
        <v>1120</v>
      </c>
      <c r="ED49" s="1077" t="s">
        <v>47</v>
      </c>
      <c r="EE49" s="1078">
        <v>0</v>
      </c>
      <c r="EF49" s="1078">
        <v>0</v>
      </c>
      <c r="EG49" s="1078">
        <v>0</v>
      </c>
      <c r="EH49" s="1079">
        <v>0</v>
      </c>
      <c r="EI49" s="1240" t="s">
        <v>102</v>
      </c>
      <c r="EJ49" s="1077" t="s">
        <v>47</v>
      </c>
      <c r="EK49" s="1239">
        <v>1.369019607843137E-6</v>
      </c>
      <c r="EL49" s="1239">
        <v>5.9963058823529405E-6</v>
      </c>
      <c r="EM49" s="1239">
        <v>5.9963058823529405E-6</v>
      </c>
      <c r="EN49" s="1079">
        <v>0</v>
      </c>
      <c r="EO49" s="1240" t="s">
        <v>102</v>
      </c>
      <c r="EP49" s="1206" t="s">
        <v>47</v>
      </c>
      <c r="EQ49" s="1239">
        <v>2.3957843137254897E-7</v>
      </c>
      <c r="ER49" s="1239">
        <v>1.0493535294117645E-6</v>
      </c>
      <c r="ES49" s="1239">
        <v>1.0493535294117645E-6</v>
      </c>
      <c r="ET49" s="1079">
        <v>0</v>
      </c>
      <c r="EU49" s="1076" t="s">
        <v>1120</v>
      </c>
      <c r="EV49" s="1077" t="s">
        <v>47</v>
      </c>
      <c r="EW49" s="1078">
        <v>0</v>
      </c>
      <c r="EX49" s="1078">
        <v>0</v>
      </c>
      <c r="EY49" s="1078">
        <v>0</v>
      </c>
      <c r="EZ49" s="1079">
        <v>0</v>
      </c>
      <c r="FA49" s="1076" t="s">
        <v>1120</v>
      </c>
      <c r="FB49" s="1077" t="s">
        <v>47</v>
      </c>
      <c r="FC49" s="1078">
        <v>0</v>
      </c>
      <c r="FD49" s="1078">
        <v>0</v>
      </c>
      <c r="FE49" s="1078">
        <v>0</v>
      </c>
      <c r="FF49" s="1079">
        <v>0</v>
      </c>
      <c r="FG49" s="1076" t="s">
        <v>1120</v>
      </c>
      <c r="FH49" s="1077" t="s">
        <v>47</v>
      </c>
      <c r="FI49" s="1078">
        <v>0</v>
      </c>
      <c r="FJ49" s="1078">
        <v>0</v>
      </c>
      <c r="FK49" s="1078">
        <v>0</v>
      </c>
      <c r="FL49" s="1079">
        <v>0</v>
      </c>
      <c r="FM49" s="1076" t="s">
        <v>1120</v>
      </c>
      <c r="FN49" s="1077" t="s">
        <v>47</v>
      </c>
      <c r="FO49" s="1078">
        <v>0</v>
      </c>
      <c r="FP49" s="1078">
        <v>0</v>
      </c>
      <c r="FQ49" s="1078">
        <v>0</v>
      </c>
      <c r="FR49" s="1079">
        <v>0</v>
      </c>
      <c r="FS49" s="1076" t="s">
        <v>1120</v>
      </c>
      <c r="FT49" s="1077" t="s">
        <v>47</v>
      </c>
      <c r="FU49" s="1078">
        <v>0</v>
      </c>
      <c r="FV49" s="1078">
        <v>0</v>
      </c>
      <c r="FW49" s="1078">
        <v>0</v>
      </c>
      <c r="FX49" s="1079">
        <v>0</v>
      </c>
      <c r="FY49" s="1076" t="s">
        <v>1120</v>
      </c>
      <c r="FZ49" s="1077" t="s">
        <v>47</v>
      </c>
      <c r="GA49" s="1078">
        <v>0</v>
      </c>
      <c r="GB49" s="1078">
        <v>0</v>
      </c>
      <c r="GC49" s="1078">
        <v>0</v>
      </c>
      <c r="GD49" s="1079">
        <v>0</v>
      </c>
      <c r="GE49" s="1076" t="s">
        <v>1120</v>
      </c>
      <c r="GF49" s="1077" t="s">
        <v>47</v>
      </c>
      <c r="GG49" s="1261">
        <f t="shared" si="27"/>
        <v>0.1688426737344346</v>
      </c>
      <c r="GH49" s="1261">
        <f t="shared" si="27"/>
        <v>0.73953091095682355</v>
      </c>
      <c r="GI49" s="1261" t="e">
        <f>E49+K49+Q49+W49+AC49+BM49+BS49+BY49+CE49+CK49+CQ49+CW49+DC49+DI49+DO49+DU49+EA49+EG49+EM49+ES49+EY49+FE49+FK49+FQ49+FW49</f>
        <v>#VALUE!</v>
      </c>
      <c r="GJ49" s="1199">
        <f t="shared" si="0"/>
        <v>0</v>
      </c>
    </row>
    <row r="50" spans="1:192" s="1081" customFormat="1" ht="15" customHeight="1">
      <c r="A50" s="1076" t="s">
        <v>42</v>
      </c>
      <c r="B50" s="1077" t="s">
        <v>47</v>
      </c>
      <c r="C50" s="1082">
        <f>'Core Wash'!E23</f>
        <v>2.9183999999999997</v>
      </c>
      <c r="D50" s="1082">
        <f>'Core Wash'!F23</f>
        <v>12.782592000000001</v>
      </c>
      <c r="E50" s="1082">
        <f>'Core Wash'!G23</f>
        <v>1.1520000000000001</v>
      </c>
      <c r="F50" s="1079">
        <v>0</v>
      </c>
      <c r="G50" s="1076" t="s">
        <v>42</v>
      </c>
      <c r="H50" s="1077" t="s">
        <v>47</v>
      </c>
      <c r="I50" s="1204">
        <f>'Brass Melting'!E41</f>
        <v>2.6500142653352352</v>
      </c>
      <c r="J50" s="1204">
        <f>'Brass Melting'!F41</f>
        <v>11.607062482168331</v>
      </c>
      <c r="K50" s="1082" t="s">
        <v>1142</v>
      </c>
      <c r="L50" s="1079">
        <v>0</v>
      </c>
      <c r="M50" s="1076" t="s">
        <v>42</v>
      </c>
      <c r="N50" s="1206" t="s">
        <v>47</v>
      </c>
      <c r="O50" s="1082">
        <f>'Brass Melting'!I41</f>
        <v>2.6500142653352352</v>
      </c>
      <c r="P50" s="1082">
        <f>'Brass Melting'!J41</f>
        <v>11.607062482168331</v>
      </c>
      <c r="Q50" s="1082" t="s">
        <v>1142</v>
      </c>
      <c r="R50" s="1079">
        <v>0</v>
      </c>
      <c r="S50" s="1076" t="s">
        <v>42</v>
      </c>
      <c r="T50" s="1077" t="s">
        <v>47</v>
      </c>
      <c r="U50" s="1204">
        <f>'Brass Melting'!M41</f>
        <v>0.79500427960057052</v>
      </c>
      <c r="V50" s="1204">
        <f>'Brass Melting'!N41</f>
        <v>3.4821187446504993</v>
      </c>
      <c r="W50" s="1082" t="s">
        <v>1142</v>
      </c>
      <c r="X50" s="1079">
        <v>0</v>
      </c>
      <c r="Y50" s="1076" t="s">
        <v>42</v>
      </c>
      <c r="Z50" s="1077" t="s">
        <v>47</v>
      </c>
      <c r="AA50" s="1082" t="s">
        <v>1141</v>
      </c>
      <c r="AB50" s="1082" t="s">
        <v>1141</v>
      </c>
      <c r="AC50" s="1080">
        <f>'Brass Melting'!Q41</f>
        <v>0.39795264222539201</v>
      </c>
      <c r="AD50" s="1079">
        <v>0</v>
      </c>
      <c r="AE50" s="1240" t="s">
        <v>42</v>
      </c>
      <c r="AF50" s="1077" t="s">
        <v>47</v>
      </c>
      <c r="AG50" s="1239">
        <v>5.4497091176470593E-3</v>
      </c>
      <c r="AH50" s="1239">
        <v>2.3869725935294121E-2</v>
      </c>
      <c r="AI50" s="1082" t="s">
        <v>1174</v>
      </c>
      <c r="AJ50" s="1079">
        <v>0</v>
      </c>
      <c r="AK50" s="1240" t="s">
        <v>42</v>
      </c>
      <c r="AL50" s="1206" t="s">
        <v>47</v>
      </c>
      <c r="AM50" s="1239">
        <v>5.4497091176470593E-3</v>
      </c>
      <c r="AN50" s="1239">
        <v>2.3869725935294121E-2</v>
      </c>
      <c r="AO50" s="1082" t="s">
        <v>1174</v>
      </c>
      <c r="AP50" s="1079">
        <v>0</v>
      </c>
      <c r="AQ50" s="1240" t="s">
        <v>42</v>
      </c>
      <c r="AR50" s="1077" t="s">
        <v>47</v>
      </c>
      <c r="AS50" s="1239">
        <v>5.4497091176470593E-3</v>
      </c>
      <c r="AT50" s="1239">
        <v>2.3869725935294121E-2</v>
      </c>
      <c r="AU50" s="1082" t="s">
        <v>1174</v>
      </c>
      <c r="AV50" s="1079">
        <v>0</v>
      </c>
      <c r="AW50" s="1240" t="s">
        <v>42</v>
      </c>
      <c r="AX50" s="1206" t="s">
        <v>47</v>
      </c>
      <c r="AY50" s="1239">
        <v>5.4497091176470593E-3</v>
      </c>
      <c r="AZ50" s="1239">
        <v>2.3869725935294121E-2</v>
      </c>
      <c r="BA50" s="1082" t="s">
        <v>1174</v>
      </c>
      <c r="BB50" s="1079">
        <v>0</v>
      </c>
      <c r="BC50" s="1240" t="s">
        <v>42</v>
      </c>
      <c r="BD50" s="1077" t="s">
        <v>47</v>
      </c>
      <c r="BE50" s="1239">
        <v>5.4497091176470593E-3</v>
      </c>
      <c r="BF50" s="1239">
        <v>2.3869725935294121E-2</v>
      </c>
      <c r="BG50" s="1082" t="s">
        <v>1174</v>
      </c>
      <c r="BH50" s="1079">
        <v>0</v>
      </c>
      <c r="BI50" s="1240" t="s">
        <v>42</v>
      </c>
      <c r="BJ50" s="1077" t="s">
        <v>47</v>
      </c>
      <c r="BK50" s="1082" t="s">
        <v>1141</v>
      </c>
      <c r="BL50" s="1082" t="s">
        <v>1141</v>
      </c>
      <c r="BM50" s="1239">
        <v>6.525885967647059E-2</v>
      </c>
      <c r="BN50" s="1079">
        <v>0</v>
      </c>
      <c r="BO50" s="1076" t="s">
        <v>42</v>
      </c>
      <c r="BP50" s="1077" t="s">
        <v>47</v>
      </c>
      <c r="BQ50" s="1082">
        <f>'Core Making VOC-HAP'!F32</f>
        <v>1.6461123287671235</v>
      </c>
      <c r="BR50" s="1082">
        <f>'Core Making VOC-HAP'!G32</f>
        <v>7.2099720000000014</v>
      </c>
      <c r="BS50" s="1082" t="s">
        <v>1184</v>
      </c>
      <c r="BT50" s="1079">
        <v>0</v>
      </c>
      <c r="BU50" s="1076" t="s">
        <v>42</v>
      </c>
      <c r="BV50" s="1077" t="s">
        <v>47</v>
      </c>
      <c r="BW50" s="1082">
        <f>'Core Making VOC-HAP'!F75</f>
        <v>1.3731963470319637</v>
      </c>
      <c r="BX50" s="1082">
        <f>'Core Making VOC-HAP'!G75</f>
        <v>6.0146000000000015</v>
      </c>
      <c r="BY50" s="1082" t="s">
        <v>1184</v>
      </c>
      <c r="BZ50" s="1079">
        <v>0</v>
      </c>
      <c r="CA50" s="1076" t="s">
        <v>42</v>
      </c>
      <c r="CB50" s="1077" t="s">
        <v>47</v>
      </c>
      <c r="CC50" s="1078">
        <v>0</v>
      </c>
      <c r="CD50" s="1078">
        <v>0</v>
      </c>
      <c r="CE50" s="1082" t="s">
        <v>1184</v>
      </c>
      <c r="CF50" s="1079">
        <v>0</v>
      </c>
      <c r="CG50" s="1240" t="s">
        <v>42</v>
      </c>
      <c r="CH50" s="1077" t="s">
        <v>47</v>
      </c>
      <c r="CI50" s="1080">
        <f>'Core Making VOC-HAP'!C221+'Core Making VOC-HAP'!E221+'Core Making VOC-HAP'!G221</f>
        <v>8.5143212941176489E-4</v>
      </c>
      <c r="CJ50" s="1080">
        <f>'Core Making VOC-HAP'!D221+'Core Making VOC-HAP'!F221+'Core Making VOC-HAP'!H221</f>
        <v>3.7292727268235302E-3</v>
      </c>
      <c r="CK50" s="1080">
        <f>'Core Making VOC-HAP'!I221</f>
        <v>3.7292727268235302E-3</v>
      </c>
      <c r="CL50" s="1079">
        <v>0</v>
      </c>
      <c r="CM50" s="1076" t="s">
        <v>42</v>
      </c>
      <c r="CN50" s="1077" t="s">
        <v>47</v>
      </c>
      <c r="CO50" s="1078">
        <v>0</v>
      </c>
      <c r="CP50" s="1078">
        <v>0</v>
      </c>
      <c r="CQ50" s="1078">
        <v>0</v>
      </c>
      <c r="CR50" s="1079">
        <v>0</v>
      </c>
      <c r="CS50" s="1076" t="s">
        <v>42</v>
      </c>
      <c r="CT50" s="1077" t="s">
        <v>47</v>
      </c>
      <c r="CU50" s="1078">
        <v>0</v>
      </c>
      <c r="CV50" s="1078">
        <v>0</v>
      </c>
      <c r="CW50" s="1078">
        <v>0</v>
      </c>
      <c r="CX50" s="1079">
        <v>0</v>
      </c>
      <c r="CY50" s="1076" t="s">
        <v>42</v>
      </c>
      <c r="CZ50" s="1077" t="s">
        <v>47</v>
      </c>
      <c r="DA50" s="1078">
        <v>0</v>
      </c>
      <c r="DB50" s="1078">
        <v>0</v>
      </c>
      <c r="DC50" s="1078">
        <v>0</v>
      </c>
      <c r="DD50" s="1079">
        <v>0</v>
      </c>
      <c r="DE50" s="1076" t="s">
        <v>42</v>
      </c>
      <c r="DF50" s="1077" t="s">
        <v>47</v>
      </c>
      <c r="DG50" s="1078">
        <v>0</v>
      </c>
      <c r="DH50" s="1078">
        <v>0</v>
      </c>
      <c r="DI50" s="1078">
        <v>0</v>
      </c>
      <c r="DJ50" s="1079">
        <v>0</v>
      </c>
      <c r="DK50" s="1076" t="s">
        <v>42</v>
      </c>
      <c r="DL50" s="1077" t="s">
        <v>47</v>
      </c>
      <c r="DM50" s="1082" t="s">
        <v>1141</v>
      </c>
      <c r="DN50" s="1082" t="s">
        <v>1141</v>
      </c>
      <c r="DO50" s="1082">
        <f>'Core Making VOC-HAP'!F156</f>
        <v>1.6580538812500003</v>
      </c>
      <c r="DP50" s="1079">
        <v>0</v>
      </c>
      <c r="DQ50" s="1382" t="s">
        <v>42</v>
      </c>
      <c r="DR50" s="1383" t="s">
        <v>47</v>
      </c>
      <c r="DS50" s="1384">
        <v>0</v>
      </c>
      <c r="DT50" s="1384">
        <v>0</v>
      </c>
      <c r="DU50" s="1384">
        <v>0</v>
      </c>
      <c r="DV50" s="1385">
        <v>0</v>
      </c>
      <c r="DW50" s="1076" t="s">
        <v>42</v>
      </c>
      <c r="DX50" s="1077" t="s">
        <v>47</v>
      </c>
      <c r="DY50" s="1082">
        <f>'Pouring-Casting-Cooling'!E27</f>
        <v>2.1314693837375178</v>
      </c>
      <c r="DZ50" s="1082">
        <f>'Pouring-Casting-Cooling'!F27</f>
        <v>9.3358359007703271</v>
      </c>
      <c r="EA50" s="1082">
        <f>'Pouring-Casting-Cooling'!G27</f>
        <v>0.84136949358059909</v>
      </c>
      <c r="EB50" s="1079">
        <v>0</v>
      </c>
      <c r="EC50" s="1076" t="s">
        <v>42</v>
      </c>
      <c r="ED50" s="1077" t="s">
        <v>47</v>
      </c>
      <c r="EE50" s="1082">
        <f>'IA-Transfer Ladle'!E35*'IA-Transfer Ladle'!$C$10</f>
        <v>6.089912524964336E-2</v>
      </c>
      <c r="EF50" s="1082">
        <f>'IA-Transfer Ladle'!F35*'IA-Transfer Ladle'!$C$10</f>
        <v>0.26673816859343791</v>
      </c>
      <c r="EG50" s="1082">
        <f>'IA-Transfer Ladle'!G35</f>
        <v>6.0039128388017109E-2</v>
      </c>
      <c r="EH50" s="1079">
        <v>0</v>
      </c>
      <c r="EI50" s="1240" t="s">
        <v>84</v>
      </c>
      <c r="EJ50" s="1077" t="s">
        <v>47</v>
      </c>
      <c r="EK50" s="1239">
        <v>3.7018788235294118E-3</v>
      </c>
      <c r="EL50" s="1239">
        <v>1.6214229247058825E-2</v>
      </c>
      <c r="EM50" s="1239">
        <v>1.6214229247058825E-2</v>
      </c>
      <c r="EN50" s="1079">
        <v>0</v>
      </c>
      <c r="EO50" s="1240" t="s">
        <v>84</v>
      </c>
      <c r="EP50" s="1206" t="s">
        <v>47</v>
      </c>
      <c r="EQ50" s="1239">
        <v>6.47828794117647E-4</v>
      </c>
      <c r="ER50" s="1239">
        <v>2.8374901182352938E-3</v>
      </c>
      <c r="ES50" s="1239">
        <v>2.8374901182352938E-3</v>
      </c>
      <c r="ET50" s="1079">
        <v>0</v>
      </c>
      <c r="EU50" s="1076" t="s">
        <v>42</v>
      </c>
      <c r="EV50" s="1077" t="s">
        <v>47</v>
      </c>
      <c r="EW50" s="1082">
        <f>Shotblast!E32</f>
        <v>6.0452760770328098</v>
      </c>
      <c r="EX50" s="1082">
        <f>Shotblast!F32</f>
        <v>26.478309217403705</v>
      </c>
      <c r="EY50" s="1082" t="s">
        <v>1210</v>
      </c>
      <c r="EZ50" s="1079">
        <v>0</v>
      </c>
      <c r="FA50" s="1076" t="s">
        <v>42</v>
      </c>
      <c r="FB50" s="1077" t="s">
        <v>47</v>
      </c>
      <c r="FC50" s="1082">
        <f t="shared" ref="FC50" si="28">EW50</f>
        <v>6.0452760770328098</v>
      </c>
      <c r="FD50" s="1082">
        <f t="shared" ref="FD50" si="29">EX50</f>
        <v>26.478309217403705</v>
      </c>
      <c r="FE50" s="1082" t="s">
        <v>1210</v>
      </c>
      <c r="FF50" s="1079">
        <v>0</v>
      </c>
      <c r="FG50" s="1076" t="s">
        <v>42</v>
      </c>
      <c r="FH50" s="1077" t="s">
        <v>47</v>
      </c>
      <c r="FI50" s="1082">
        <f t="shared" ref="FI50" si="30">EW50</f>
        <v>6.0452760770328098</v>
      </c>
      <c r="FJ50" s="1082">
        <f t="shared" ref="FJ50" si="31">EX50</f>
        <v>26.478309217403705</v>
      </c>
      <c r="FK50" s="1082" t="s">
        <v>1210</v>
      </c>
      <c r="FL50" s="1079">
        <v>0</v>
      </c>
      <c r="FM50" s="1076" t="s">
        <v>42</v>
      </c>
      <c r="FN50" s="1077" t="s">
        <v>47</v>
      </c>
      <c r="FO50" s="1082" t="s">
        <v>1141</v>
      </c>
      <c r="FP50" s="1082" t="s">
        <v>1141</v>
      </c>
      <c r="FQ50" s="1082">
        <f>Shotblast!H32</f>
        <v>0.16704052318116974</v>
      </c>
      <c r="FR50" s="1079">
        <v>0</v>
      </c>
      <c r="FS50" s="1076" t="s">
        <v>42</v>
      </c>
      <c r="FT50" s="1077" t="s">
        <v>47</v>
      </c>
      <c r="FU50" s="1082">
        <f>'Shakeout, Green Sand'!E33</f>
        <v>0.5827667488004149</v>
      </c>
      <c r="FV50" s="1082">
        <f>'Shakeout, Green Sand'!F33</f>
        <v>2.5525183597458172</v>
      </c>
      <c r="FW50" s="1082">
        <f>'Shakeout, Green Sand'!I33</f>
        <v>0.31411127760342367</v>
      </c>
      <c r="FX50" s="1079">
        <v>0</v>
      </c>
      <c r="FY50" s="1076" t="s">
        <v>42</v>
      </c>
      <c r="FZ50" s="1077" t="s">
        <v>47</v>
      </c>
      <c r="GA50" s="1082">
        <f>'Knockout, Silica Sand'!E33</f>
        <v>0.5827667488004149</v>
      </c>
      <c r="GB50" s="1082">
        <f>'Knockout, Silica Sand'!F33</f>
        <v>2.5525183597458176</v>
      </c>
      <c r="GC50" s="1082">
        <f>'Knockout, Silica Sand'!I33</f>
        <v>0.28334119326676177</v>
      </c>
      <c r="GD50" s="1079">
        <v>0</v>
      </c>
      <c r="GE50" s="1076" t="s">
        <v>42</v>
      </c>
      <c r="GF50" s="1077" t="s">
        <v>47</v>
      </c>
      <c r="GG50" s="1261">
        <f>C50+I50+O50+U50+AG50+AM50+AS50+AY50+BE50+BQ50+BW50+CC50+CI50+CO50+CU50+DA50+DG50+DS50+DY50+EE50+EK50+EQ50+EW50+FC50+FI50+FU50+GA50</f>
        <v>33.558921409091845</v>
      </c>
      <c r="GH50" s="1261">
        <f>D50+J50+P50+V50+AH50+AN50+AT50+AZ50+BF50+BR50+BX50+CD50+CJ50+CP50+CV50+DB50+DH50+DT50+DZ50+EF50+EL50+ER50+EX50+FD50+FJ50+FV50+GB50</f>
        <v>146.98807577182225</v>
      </c>
      <c r="GI50" s="1261">
        <f>E50+AC50+BM50+CK50+CQ50+CW50+DC50+DI50+DO50+DU50+EA50+EG50+EM50+ES50+FQ50+FW50</f>
        <v>4.6786067979971895</v>
      </c>
      <c r="GJ50" s="1199">
        <f t="shared" si="0"/>
        <v>0</v>
      </c>
    </row>
    <row r="51" spans="1:192" s="1081" customFormat="1" ht="16" customHeight="1">
      <c r="A51" s="1083"/>
      <c r="B51" s="1084"/>
      <c r="C51" s="1085"/>
      <c r="D51" s="1083"/>
      <c r="E51" s="1086"/>
      <c r="F51" s="1085"/>
      <c r="G51" s="1087"/>
      <c r="H51" s="1088"/>
      <c r="I51" s="1085"/>
      <c r="J51" s="1083"/>
      <c r="K51" s="1086"/>
      <c r="L51" s="1085"/>
      <c r="M51" s="1089"/>
      <c r="S51" s="1090"/>
      <c r="U51" s="1185"/>
      <c r="V51" s="1186"/>
      <c r="W51" s="1091"/>
      <c r="X51" s="1092"/>
      <c r="Y51" s="1090"/>
      <c r="AE51" s="1090"/>
      <c r="AK51" s="1090"/>
      <c r="AQ51" s="1090"/>
      <c r="AW51" s="1090"/>
    </row>
    <row r="52" spans="1:192" s="1081" customFormat="1" ht="15.75" customHeight="1">
      <c r="A52" s="1083"/>
      <c r="B52" s="1084"/>
      <c r="C52" s="1085"/>
      <c r="D52" s="1083"/>
      <c r="E52" s="1093"/>
      <c r="F52" s="1085"/>
      <c r="G52" s="1087"/>
      <c r="H52" s="1088"/>
      <c r="I52" s="1085"/>
      <c r="J52" s="1083"/>
      <c r="K52" s="1093"/>
      <c r="L52" s="1085"/>
      <c r="M52" s="1089"/>
      <c r="O52" s="1094"/>
      <c r="P52" s="1094"/>
      <c r="Q52" s="1094"/>
      <c r="R52" s="1094"/>
      <c r="S52" s="1095"/>
      <c r="T52" s="1094"/>
      <c r="U52" s="1094"/>
      <c r="V52" s="1094"/>
      <c r="W52" s="1094"/>
      <c r="X52" s="1094"/>
      <c r="Y52" s="1090"/>
      <c r="AE52" s="1090"/>
      <c r="AK52" s="1090"/>
      <c r="AQ52" s="1090"/>
      <c r="AW52" s="1090"/>
    </row>
    <row r="53" spans="1:192" s="1081" customFormat="1" ht="15.75" customHeight="1">
      <c r="A53" s="1083"/>
      <c r="B53" s="1096"/>
      <c r="C53" s="1097"/>
      <c r="D53" s="1097"/>
      <c r="E53" s="1097"/>
      <c r="F53" s="1097"/>
      <c r="G53" s="1098"/>
      <c r="H53" s="1097"/>
      <c r="I53" s="1097"/>
      <c r="J53" s="1097"/>
      <c r="K53" s="1097"/>
      <c r="L53" s="1097"/>
      <c r="M53" s="1089"/>
      <c r="N53" s="1099"/>
      <c r="Q53" s="1100"/>
      <c r="R53" s="1100"/>
      <c r="S53" s="1101"/>
      <c r="T53" s="1100"/>
      <c r="W53" s="1100"/>
      <c r="X53" s="1100"/>
      <c r="Y53" s="1090"/>
      <c r="AE53" s="1090"/>
      <c r="AK53" s="1090"/>
      <c r="AQ53" s="1090"/>
      <c r="AW53" s="1090"/>
    </row>
    <row r="54" spans="1:192" s="1081" customFormat="1" ht="15.75" customHeight="1">
      <c r="A54" s="1083"/>
      <c r="B54" s="1096"/>
      <c r="C54" s="1097"/>
      <c r="D54" s="1097"/>
      <c r="E54" s="1097"/>
      <c r="F54" s="1097"/>
      <c r="G54" s="1098"/>
      <c r="H54" s="1097"/>
      <c r="I54" s="1097"/>
      <c r="J54" s="1097"/>
      <c r="K54" s="1097"/>
      <c r="L54" s="1097"/>
      <c r="M54" s="1089"/>
      <c r="N54" s="1099"/>
      <c r="P54" s="1100"/>
      <c r="Q54" s="1100"/>
      <c r="R54" s="1100"/>
      <c r="S54" s="1101"/>
      <c r="T54" s="1100"/>
      <c r="U54" s="1099"/>
      <c r="V54" s="1099"/>
      <c r="W54" s="1100"/>
      <c r="X54" s="1100"/>
      <c r="Y54" s="1090"/>
      <c r="AE54" s="1102"/>
      <c r="AF54" s="1103"/>
      <c r="AG54" s="1103"/>
      <c r="AH54" s="1103"/>
      <c r="AI54" s="1103"/>
      <c r="AJ54" s="1103"/>
      <c r="AK54" s="1090"/>
      <c r="AQ54" s="1102"/>
      <c r="AR54" s="1103"/>
      <c r="AW54" s="1090"/>
    </row>
    <row r="55" spans="1:192" s="1081" customFormat="1" ht="15.75" customHeight="1">
      <c r="A55" s="1083"/>
      <c r="B55" s="1096"/>
      <c r="C55" s="1097"/>
      <c r="D55" s="1097"/>
      <c r="E55" s="1097"/>
      <c r="F55" s="1097"/>
      <c r="G55" s="1098"/>
      <c r="H55" s="1097"/>
      <c r="I55" s="1097"/>
      <c r="J55" s="1097"/>
      <c r="K55" s="1097"/>
      <c r="L55" s="1097"/>
      <c r="M55" s="1089"/>
      <c r="N55" s="1099"/>
      <c r="O55" s="1104"/>
      <c r="P55" s="1104"/>
      <c r="Q55" s="1104"/>
      <c r="R55" s="1104"/>
      <c r="S55" s="1105"/>
      <c r="T55" s="1104"/>
      <c r="Y55" s="1090"/>
      <c r="AE55" s="1090"/>
      <c r="AK55" s="1090"/>
      <c r="AQ55" s="1090"/>
      <c r="AW55" s="1090"/>
    </row>
    <row r="56" spans="1:192" s="1081" customFormat="1" ht="12.5">
      <c r="A56" s="1083"/>
      <c r="B56" s="1096"/>
      <c r="C56" s="1097"/>
      <c r="D56" s="1097"/>
      <c r="E56" s="1097"/>
      <c r="F56" s="1097"/>
      <c r="G56" s="1098"/>
      <c r="H56" s="1097"/>
      <c r="I56" s="1097"/>
      <c r="J56" s="1097"/>
      <c r="K56" s="1097"/>
      <c r="L56" s="1097"/>
      <c r="M56" s="1089"/>
      <c r="N56" s="1099"/>
      <c r="O56" s="1104"/>
      <c r="P56" s="1104"/>
      <c r="Q56" s="1104"/>
      <c r="R56" s="1104"/>
      <c r="S56" s="1105"/>
      <c r="T56" s="1104"/>
      <c r="U56" s="1104"/>
      <c r="V56" s="1104"/>
      <c r="W56" s="1104"/>
      <c r="X56" s="1104"/>
      <c r="Y56" s="1090"/>
      <c r="AE56" s="1090"/>
      <c r="AK56" s="1090"/>
      <c r="AQ56" s="1090"/>
      <c r="AW56" s="1090"/>
    </row>
    <row r="57" spans="1:192" s="1081" customFormat="1" ht="12.5">
      <c r="A57" s="1106"/>
      <c r="B57" s="1096"/>
      <c r="C57" s="1097"/>
      <c r="D57" s="1097"/>
      <c r="E57" s="1097"/>
      <c r="F57" s="1097"/>
      <c r="G57" s="1098"/>
      <c r="H57" s="1097"/>
      <c r="I57" s="1097"/>
      <c r="J57" s="1097"/>
      <c r="K57" s="1097"/>
      <c r="L57" s="1097"/>
      <c r="M57" s="1089"/>
      <c r="N57" s="1099"/>
      <c r="O57" s="1104"/>
      <c r="P57" s="1099"/>
      <c r="Q57" s="1107"/>
      <c r="R57" s="1104"/>
      <c r="S57" s="1105"/>
      <c r="T57" s="1104"/>
      <c r="U57" s="1104"/>
      <c r="V57" s="1099"/>
      <c r="W57" s="1107"/>
      <c r="X57" s="1104"/>
      <c r="Y57" s="1090"/>
      <c r="AE57" s="1090"/>
      <c r="AK57" s="1090"/>
      <c r="AQ57" s="1090"/>
      <c r="AW57" s="1090"/>
    </row>
    <row r="58" spans="1:192" s="1081" customFormat="1">
      <c r="A58" s="1051"/>
      <c r="B58" s="1096"/>
      <c r="C58" s="1097"/>
      <c r="D58" s="1097"/>
      <c r="E58" s="1097"/>
      <c r="F58" s="1097"/>
      <c r="G58" s="1098"/>
      <c r="H58" s="1097"/>
      <c r="I58" s="1097"/>
      <c r="J58" s="1097"/>
      <c r="K58" s="1097"/>
      <c r="L58" s="1097"/>
      <c r="M58" s="1089"/>
      <c r="N58" s="1099"/>
      <c r="O58" s="1104"/>
      <c r="P58" s="1099"/>
      <c r="Q58" s="1108"/>
      <c r="R58" s="1104"/>
      <c r="S58" s="1105"/>
      <c r="T58" s="1104"/>
      <c r="U58" s="1104"/>
      <c r="V58" s="1099"/>
      <c r="W58" s="1108"/>
      <c r="X58" s="1104"/>
      <c r="Y58" s="1102"/>
      <c r="Z58" s="1103"/>
      <c r="AA58" s="1103"/>
      <c r="AB58" s="1103"/>
      <c r="AC58" s="1103"/>
      <c r="AD58" s="1103"/>
      <c r="AE58" s="1090"/>
      <c r="AK58" s="1090"/>
      <c r="AQ58" s="1090"/>
      <c r="AW58" s="1090"/>
    </row>
    <row r="59" spans="1:192" s="1103" customFormat="1" ht="15.5">
      <c r="A59" s="1084"/>
      <c r="B59" s="1096"/>
      <c r="C59" s="1097"/>
      <c r="D59" s="1097"/>
      <c r="E59" s="1097"/>
      <c r="F59" s="1097"/>
      <c r="G59" s="1098"/>
      <c r="H59" s="1097"/>
      <c r="I59" s="1097"/>
      <c r="J59" s="1097"/>
      <c r="K59" s="1097"/>
      <c r="L59" s="1097"/>
      <c r="M59" s="1089"/>
      <c r="N59" s="1109"/>
      <c r="O59" s="1110"/>
      <c r="P59" s="1110"/>
      <c r="Q59" s="1110"/>
      <c r="R59" s="1110"/>
      <c r="S59" s="1111"/>
      <c r="T59" s="1110"/>
      <c r="U59" s="1110"/>
      <c r="V59" s="1110"/>
      <c r="W59" s="1110"/>
      <c r="X59" s="1110"/>
      <c r="Y59" s="1090"/>
      <c r="Z59" s="1081"/>
      <c r="AA59" s="1081"/>
      <c r="AB59" s="1081"/>
      <c r="AC59" s="1081"/>
      <c r="AD59" s="1081"/>
      <c r="AE59" s="1090"/>
      <c r="AF59" s="1081"/>
      <c r="AG59" s="1081"/>
      <c r="AH59" s="1081"/>
      <c r="AI59" s="1081"/>
      <c r="AJ59" s="1081"/>
      <c r="AK59" s="1090"/>
      <c r="AL59" s="1081"/>
      <c r="AM59" s="1081"/>
      <c r="AN59" s="1081"/>
      <c r="AO59" s="1081"/>
      <c r="AP59" s="1081"/>
      <c r="AQ59" s="1090"/>
      <c r="AR59" s="1081"/>
      <c r="AW59" s="1102"/>
    </row>
    <row r="60" spans="1:192" s="1081" customFormat="1" ht="15.5">
      <c r="A60" s="1084"/>
      <c r="B60" s="1096"/>
      <c r="C60" s="1097"/>
      <c r="D60" s="1097"/>
      <c r="E60" s="1097"/>
      <c r="F60" s="1097"/>
      <c r="G60" s="1098"/>
      <c r="H60" s="1097"/>
      <c r="I60" s="1097"/>
      <c r="J60" s="1097"/>
      <c r="K60" s="1097"/>
      <c r="L60" s="1097"/>
      <c r="M60" s="1089"/>
      <c r="N60" s="1109"/>
      <c r="O60" s="1110"/>
      <c r="P60" s="1110"/>
      <c r="Q60" s="1110"/>
      <c r="R60" s="1110"/>
      <c r="S60" s="1111"/>
      <c r="T60" s="1110"/>
      <c r="U60" s="1110"/>
      <c r="V60" s="1110"/>
      <c r="W60" s="1110"/>
      <c r="X60" s="1110"/>
      <c r="Y60" s="1090"/>
      <c r="AE60" s="1090"/>
      <c r="AK60" s="1090"/>
      <c r="AQ60" s="1090"/>
      <c r="AW60" s="1090"/>
    </row>
    <row r="61" spans="1:192" s="1081" customFormat="1" ht="15.5">
      <c r="A61" s="1084"/>
      <c r="B61" s="1112"/>
      <c r="C61" s="1050"/>
      <c r="D61" s="1050"/>
      <c r="E61" s="1050"/>
      <c r="F61" s="1113"/>
      <c r="G61" s="1114"/>
      <c r="H61" s="1113"/>
      <c r="I61" s="1050"/>
      <c r="J61" s="1050"/>
      <c r="K61" s="1050"/>
      <c r="L61" s="1113"/>
      <c r="M61" s="1089"/>
      <c r="N61" s="1109"/>
      <c r="O61" s="1110"/>
      <c r="P61" s="1110"/>
      <c r="Q61" s="1110"/>
      <c r="R61" s="1110"/>
      <c r="S61" s="1111"/>
      <c r="T61" s="1110"/>
      <c r="U61" s="1110"/>
      <c r="V61" s="1110"/>
      <c r="W61" s="1110"/>
      <c r="X61" s="1110"/>
      <c r="Y61" s="1090"/>
      <c r="AE61" s="1090"/>
      <c r="AK61" s="1090"/>
      <c r="AQ61" s="1090"/>
      <c r="AW61" s="1090"/>
    </row>
    <row r="62" spans="1:192" s="1081" customFormat="1" ht="15" customHeight="1">
      <c r="A62" s="1187"/>
      <c r="B62" s="1050"/>
      <c r="C62" s="1050"/>
      <c r="D62" s="1050"/>
      <c r="E62" s="1050"/>
      <c r="F62" s="1050"/>
      <c r="G62" s="1055"/>
      <c r="H62" s="1050"/>
      <c r="I62" s="1050"/>
      <c r="J62" s="1050"/>
      <c r="K62" s="1115"/>
      <c r="L62" s="1050"/>
      <c r="M62" s="1089"/>
      <c r="N62" s="1109"/>
      <c r="O62" s="1110"/>
      <c r="P62" s="1110"/>
      <c r="Q62" s="1110"/>
      <c r="R62" s="1110"/>
      <c r="S62" s="1111"/>
      <c r="T62" s="1110"/>
      <c r="U62" s="1110"/>
      <c r="V62" s="1110"/>
      <c r="W62" s="1110"/>
      <c r="X62" s="1110"/>
      <c r="Y62" s="1090"/>
      <c r="AE62" s="1090"/>
      <c r="AK62" s="1090"/>
      <c r="AQ62" s="1090"/>
      <c r="AW62" s="1090"/>
    </row>
    <row r="63" spans="1:192" s="1081" customFormat="1">
      <c r="A63" s="1051"/>
      <c r="B63" s="1116"/>
      <c r="C63" s="1085"/>
      <c r="D63" s="1085"/>
      <c r="E63" s="1085"/>
      <c r="F63" s="1088"/>
      <c r="G63" s="1087"/>
      <c r="H63" s="1088"/>
      <c r="I63" s="1085"/>
      <c r="J63" s="1085"/>
      <c r="K63" s="1085"/>
      <c r="L63" s="1088"/>
      <c r="M63" s="1117"/>
      <c r="N63" s="1109"/>
      <c r="O63" s="1110"/>
      <c r="P63" s="1110"/>
      <c r="Q63" s="1110"/>
      <c r="R63" s="1110"/>
      <c r="S63" s="1111"/>
      <c r="T63" s="1110"/>
      <c r="U63" s="1110"/>
      <c r="V63" s="1110"/>
      <c r="W63" s="1110"/>
      <c r="X63" s="1110"/>
      <c r="Y63" s="1090"/>
      <c r="AE63" s="1090"/>
      <c r="AK63" s="1090"/>
      <c r="AQ63" s="1090"/>
      <c r="AW63" s="1090"/>
    </row>
    <row r="64" spans="1:192" s="1081" customFormat="1" ht="15.5">
      <c r="A64" s="1118"/>
      <c r="B64" s="1116"/>
      <c r="C64" s="1113"/>
      <c r="D64" s="1119"/>
      <c r="E64" s="1120"/>
      <c r="F64" s="1088"/>
      <c r="G64" s="1087"/>
      <c r="H64" s="1088"/>
      <c r="I64" s="1113"/>
      <c r="J64" s="1119"/>
      <c r="K64" s="1120"/>
      <c r="L64" s="1088"/>
      <c r="M64" s="1121"/>
      <c r="N64" s="1109"/>
      <c r="O64" s="1110"/>
      <c r="P64" s="1110"/>
      <c r="Q64" s="1110"/>
      <c r="R64" s="1110"/>
      <c r="S64" s="1111"/>
      <c r="T64" s="1110"/>
      <c r="U64" s="1110"/>
      <c r="V64" s="1110"/>
      <c r="W64" s="1110"/>
      <c r="X64" s="1110"/>
      <c r="Y64" s="1090"/>
      <c r="AE64" s="1090"/>
      <c r="AK64" s="1090"/>
      <c r="AQ64" s="1090"/>
      <c r="AW64" s="1090"/>
    </row>
    <row r="65" spans="1:49" s="1081" customFormat="1" ht="15.5">
      <c r="A65" s="1118"/>
      <c r="B65" s="1116"/>
      <c r="C65" s="1113"/>
      <c r="D65" s="1122"/>
      <c r="E65" s="1122"/>
      <c r="F65" s="1123"/>
      <c r="G65" s="1124"/>
      <c r="H65" s="1123"/>
      <c r="I65" s="1113"/>
      <c r="J65" s="1122"/>
      <c r="K65" s="1122"/>
      <c r="L65" s="1123"/>
      <c r="M65" s="1089"/>
      <c r="N65" s="1109"/>
      <c r="O65" s="1110"/>
      <c r="P65" s="1110"/>
      <c r="Q65" s="1110"/>
      <c r="R65" s="1110"/>
      <c r="S65" s="1111"/>
      <c r="T65" s="1110"/>
      <c r="U65" s="1110"/>
      <c r="V65" s="1110"/>
      <c r="W65" s="1110"/>
      <c r="X65" s="1110"/>
      <c r="Y65" s="1090"/>
      <c r="AE65" s="1090"/>
      <c r="AK65" s="1090"/>
      <c r="AQ65" s="1090"/>
      <c r="AW65" s="1090"/>
    </row>
    <row r="66" spans="1:49" s="1081" customFormat="1">
      <c r="A66" s="1118"/>
      <c r="B66" s="1050"/>
      <c r="C66" s="1050"/>
      <c r="D66" s="1050"/>
      <c r="E66" s="1050"/>
      <c r="F66" s="1050"/>
      <c r="G66" s="1055"/>
      <c r="H66" s="1050"/>
      <c r="I66" s="1188"/>
      <c r="J66" s="1189"/>
      <c r="K66" s="1088"/>
      <c r="L66" s="1088"/>
      <c r="M66" s="1089"/>
      <c r="N66" s="1109"/>
      <c r="O66" s="1110"/>
      <c r="P66" s="1110"/>
      <c r="Q66" s="1110"/>
      <c r="R66" s="1110"/>
      <c r="S66" s="1111"/>
      <c r="T66" s="1110"/>
      <c r="U66" s="1110"/>
      <c r="V66" s="1110"/>
      <c r="W66" s="1110"/>
      <c r="X66" s="1110"/>
      <c r="Y66" s="1090"/>
      <c r="AE66" s="1090"/>
      <c r="AK66" s="1090"/>
      <c r="AQ66" s="1090"/>
      <c r="AW66" s="1090"/>
    </row>
    <row r="67" spans="1:49" s="1081" customFormat="1">
      <c r="A67" s="1118"/>
      <c r="B67" s="1050"/>
      <c r="C67" s="1125"/>
      <c r="D67" s="1125"/>
      <c r="E67" s="1125"/>
      <c r="F67" s="1125"/>
      <c r="G67" s="1126"/>
      <c r="H67" s="1125"/>
      <c r="I67" s="1125"/>
      <c r="J67" s="1125"/>
      <c r="K67" s="1125"/>
      <c r="L67" s="1125"/>
      <c r="M67" s="1089"/>
      <c r="N67" s="1099"/>
      <c r="O67" s="1104"/>
      <c r="P67" s="1104"/>
      <c r="Q67" s="1104"/>
      <c r="R67" s="1104"/>
      <c r="S67" s="1105"/>
      <c r="T67" s="1104"/>
      <c r="X67" s="1127"/>
      <c r="Y67" s="1090"/>
      <c r="AE67" s="1090"/>
      <c r="AK67" s="1090"/>
      <c r="AQ67" s="1090"/>
      <c r="AW67" s="1090"/>
    </row>
    <row r="68" spans="1:49" s="1081" customFormat="1" ht="15" customHeight="1">
      <c r="A68" s="1084"/>
      <c r="B68" s="1116"/>
      <c r="C68" s="1128"/>
      <c r="D68" s="1128"/>
      <c r="E68" s="1129"/>
      <c r="F68" s="1129"/>
      <c r="G68" s="1130"/>
      <c r="H68" s="1130"/>
      <c r="I68" s="1128"/>
      <c r="J68" s="1128"/>
      <c r="K68" s="1129"/>
      <c r="L68" s="1129"/>
      <c r="M68" s="1187"/>
      <c r="N68" s="1050"/>
      <c r="O68" s="1050"/>
      <c r="P68" s="1050"/>
      <c r="Q68" s="1050"/>
      <c r="R68" s="1050"/>
      <c r="S68" s="1055"/>
      <c r="T68" s="1050"/>
      <c r="U68" s="1050"/>
      <c r="V68" s="1050"/>
      <c r="W68" s="1115"/>
      <c r="X68" s="1050"/>
      <c r="Y68" s="1090"/>
      <c r="AE68" s="1090"/>
      <c r="AK68" s="1090"/>
      <c r="AQ68" s="1090"/>
      <c r="AW68" s="1090"/>
    </row>
    <row r="69" spans="1:49" s="1081" customFormat="1" ht="15" customHeight="1">
      <c r="A69" s="1084"/>
      <c r="B69" s="1116"/>
      <c r="C69" s="1052"/>
      <c r="D69" s="1052"/>
      <c r="E69" s="1129"/>
      <c r="F69" s="1129"/>
      <c r="G69" s="1130"/>
      <c r="H69" s="1130"/>
      <c r="I69" s="1052"/>
      <c r="J69" s="1052"/>
      <c r="K69" s="1129"/>
      <c r="L69" s="1129"/>
      <c r="M69" s="1084"/>
      <c r="N69" s="1116"/>
      <c r="O69" s="1085"/>
      <c r="P69" s="1085"/>
      <c r="Q69" s="1085"/>
      <c r="R69" s="1088"/>
      <c r="S69" s="1087"/>
      <c r="T69" s="1088"/>
      <c r="U69" s="1131"/>
      <c r="V69" s="1131"/>
      <c r="W69" s="1131"/>
      <c r="X69" s="1132"/>
      <c r="Y69" s="1090"/>
      <c r="AE69" s="1090"/>
      <c r="AK69" s="1090"/>
      <c r="AQ69" s="1090"/>
      <c r="AW69" s="1090"/>
    </row>
    <row r="70" spans="1:49" s="1081" customFormat="1" ht="14.25" customHeight="1">
      <c r="A70" s="1083"/>
      <c r="B70" s="1116"/>
      <c r="C70" s="1085"/>
      <c r="D70" s="1085"/>
      <c r="E70" s="1085"/>
      <c r="F70" s="1088"/>
      <c r="G70" s="1087"/>
      <c r="H70" s="1088"/>
      <c r="I70" s="1133"/>
      <c r="J70" s="1133"/>
      <c r="K70" s="1133"/>
      <c r="L70" s="1133"/>
      <c r="M70" s="1118"/>
      <c r="N70" s="1116"/>
      <c r="O70" s="1113"/>
      <c r="P70" s="1119"/>
      <c r="Q70" s="1120"/>
      <c r="R70" s="1088"/>
      <c r="S70" s="1087"/>
      <c r="T70" s="1088"/>
      <c r="U70" s="1134"/>
      <c r="V70" s="1119"/>
      <c r="W70" s="1120"/>
      <c r="X70" s="1132"/>
      <c r="Y70" s="1090"/>
      <c r="AE70" s="1090"/>
      <c r="AK70" s="1090"/>
      <c r="AQ70" s="1090"/>
      <c r="AW70" s="1090"/>
    </row>
    <row r="71" spans="1:49" s="1081" customFormat="1" ht="14.25" customHeight="1">
      <c r="A71" s="1083"/>
      <c r="B71" s="1116"/>
      <c r="C71" s="1085"/>
      <c r="D71" s="1085"/>
      <c r="E71" s="1085"/>
      <c r="F71" s="1088"/>
      <c r="G71" s="1087"/>
      <c r="H71" s="1088"/>
      <c r="I71" s="1133"/>
      <c r="J71" s="1133"/>
      <c r="K71" s="1133"/>
      <c r="L71" s="1133"/>
      <c r="M71" s="1118"/>
      <c r="N71" s="1116"/>
      <c r="O71" s="1113"/>
      <c r="P71" s="1135"/>
      <c r="Q71" s="1135"/>
      <c r="R71" s="1136"/>
      <c r="S71" s="1137"/>
      <c r="T71" s="1136"/>
      <c r="U71" s="1134"/>
      <c r="V71" s="1122"/>
      <c r="W71" s="1122"/>
      <c r="X71" s="1123"/>
      <c r="Y71" s="1090"/>
      <c r="AE71" s="1090"/>
      <c r="AK71" s="1090"/>
      <c r="AQ71" s="1090"/>
      <c r="AW71" s="1090"/>
    </row>
    <row r="72" spans="1:49" s="1081" customFormat="1" ht="15.5">
      <c r="A72" s="1083"/>
      <c r="B72" s="1084"/>
      <c r="C72" s="1085"/>
      <c r="D72" s="1083"/>
      <c r="E72" s="1086"/>
      <c r="F72" s="1085"/>
      <c r="G72" s="1087"/>
      <c r="H72" s="1088"/>
      <c r="I72" s="1085"/>
      <c r="J72" s="1083"/>
      <c r="K72" s="1086"/>
      <c r="L72" s="1085"/>
      <c r="M72" s="1118"/>
      <c r="N72" s="1050"/>
      <c r="O72" s="1050"/>
      <c r="P72" s="1050"/>
      <c r="Q72" s="1050"/>
      <c r="R72" s="1050"/>
      <c r="S72" s="1055"/>
      <c r="T72" s="1050"/>
      <c r="U72" s="1188"/>
      <c r="V72" s="1189"/>
      <c r="W72" s="1132"/>
      <c r="X72" s="1132"/>
      <c r="Y72" s="1090"/>
      <c r="AE72" s="1090"/>
      <c r="AK72" s="1090"/>
      <c r="AQ72" s="1090"/>
      <c r="AW72" s="1090"/>
    </row>
    <row r="73" spans="1:49" s="1081" customFormat="1" ht="15.5">
      <c r="A73" s="1083"/>
      <c r="B73" s="1084"/>
      <c r="C73" s="1085"/>
      <c r="D73" s="1083"/>
      <c r="E73" s="1093"/>
      <c r="F73" s="1085"/>
      <c r="G73" s="1087"/>
      <c r="H73" s="1088"/>
      <c r="I73" s="1085"/>
      <c r="J73" s="1083"/>
      <c r="K73" s="1093"/>
      <c r="L73" s="1085"/>
      <c r="M73" s="1118"/>
      <c r="N73" s="1116"/>
      <c r="O73" s="1113"/>
      <c r="P73" s="1132"/>
      <c r="Q73" s="1132"/>
      <c r="R73" s="1132"/>
      <c r="S73" s="1138"/>
      <c r="T73" s="1132"/>
      <c r="U73" s="1134"/>
      <c r="V73" s="1132"/>
      <c r="W73" s="1132"/>
      <c r="X73" s="1132"/>
      <c r="Y73" s="1090"/>
      <c r="AE73" s="1090"/>
      <c r="AK73" s="1090"/>
      <c r="AQ73" s="1090"/>
      <c r="AW73" s="1090"/>
    </row>
    <row r="74" spans="1:49" s="1081" customFormat="1" ht="15.5">
      <c r="A74" s="1083"/>
      <c r="B74" s="1096"/>
      <c r="C74" s="1097"/>
      <c r="D74" s="1097"/>
      <c r="E74" s="1097"/>
      <c r="F74" s="1097"/>
      <c r="G74" s="1098"/>
      <c r="H74" s="1097"/>
      <c r="I74" s="1097"/>
      <c r="J74" s="1097"/>
      <c r="K74" s="1097"/>
      <c r="L74" s="1097"/>
      <c r="M74" s="1084"/>
      <c r="N74" s="1116"/>
      <c r="O74" s="1128"/>
      <c r="P74" s="1128"/>
      <c r="Q74" s="1129"/>
      <c r="R74" s="1129"/>
      <c r="S74" s="1130"/>
      <c r="T74" s="1130"/>
      <c r="U74" s="1128"/>
      <c r="V74" s="1128"/>
      <c r="W74" s="1129"/>
      <c r="X74" s="1129"/>
      <c r="Y74" s="1090"/>
      <c r="AE74" s="1090"/>
      <c r="AK74" s="1090"/>
      <c r="AQ74" s="1090"/>
      <c r="AW74" s="1090"/>
    </row>
    <row r="75" spans="1:49" s="1081" customFormat="1" ht="15.5">
      <c r="A75" s="1083"/>
      <c r="B75" s="1096"/>
      <c r="C75" s="1097"/>
      <c r="D75" s="1097"/>
      <c r="E75" s="1097"/>
      <c r="F75" s="1097"/>
      <c r="G75" s="1098"/>
      <c r="H75" s="1097"/>
      <c r="I75" s="1097"/>
      <c r="J75" s="1097"/>
      <c r="K75" s="1097"/>
      <c r="L75" s="1097"/>
      <c r="M75" s="1084"/>
      <c r="N75" s="1116"/>
      <c r="O75" s="1052"/>
      <c r="P75" s="1052"/>
      <c r="Q75" s="1129"/>
      <c r="R75" s="1129"/>
      <c r="S75" s="1130"/>
      <c r="T75" s="1130"/>
      <c r="U75" s="1052"/>
      <c r="V75" s="1052"/>
      <c r="W75" s="1129"/>
      <c r="X75" s="1129"/>
      <c r="Y75" s="1090"/>
      <c r="AE75" s="1090"/>
      <c r="AK75" s="1090"/>
      <c r="AQ75" s="1090"/>
      <c r="AW75" s="1090"/>
    </row>
    <row r="76" spans="1:49" s="1081" customFormat="1" ht="12.5">
      <c r="A76" s="1083"/>
      <c r="B76" s="1096"/>
      <c r="C76" s="1097"/>
      <c r="D76" s="1097"/>
      <c r="E76" s="1097"/>
      <c r="F76" s="1097"/>
      <c r="G76" s="1098"/>
      <c r="H76" s="1097"/>
      <c r="I76" s="1097"/>
      <c r="J76" s="1097"/>
      <c r="K76" s="1097"/>
      <c r="L76" s="1097"/>
      <c r="M76" s="1083"/>
      <c r="N76" s="1116"/>
      <c r="O76" s="1085"/>
      <c r="P76" s="1085"/>
      <c r="Q76" s="1085"/>
      <c r="R76" s="1088"/>
      <c r="S76" s="1087"/>
      <c r="T76" s="1088"/>
      <c r="U76" s="1133"/>
      <c r="V76" s="1133"/>
      <c r="W76" s="1133"/>
      <c r="X76" s="1133"/>
      <c r="Y76" s="1090"/>
      <c r="AE76" s="1090"/>
      <c r="AK76" s="1090"/>
      <c r="AQ76" s="1090"/>
      <c r="AW76" s="1090"/>
    </row>
    <row r="77" spans="1:49" s="1081" customFormat="1" ht="12.5">
      <c r="A77" s="1083"/>
      <c r="B77" s="1096"/>
      <c r="C77" s="1097"/>
      <c r="D77" s="1097"/>
      <c r="E77" s="1097"/>
      <c r="F77" s="1097"/>
      <c r="G77" s="1098"/>
      <c r="H77" s="1097"/>
      <c r="I77" s="1097"/>
      <c r="J77" s="1097"/>
      <c r="K77" s="1097"/>
      <c r="L77" s="1097"/>
      <c r="M77" s="1083"/>
      <c r="N77" s="1116"/>
      <c r="O77" s="1085"/>
      <c r="P77" s="1085"/>
      <c r="Q77" s="1085"/>
      <c r="R77" s="1088"/>
      <c r="S77" s="1087"/>
      <c r="T77" s="1088"/>
      <c r="U77" s="1133"/>
      <c r="V77" s="1133"/>
      <c r="W77" s="1133"/>
      <c r="X77" s="1133"/>
      <c r="Y77" s="1090"/>
      <c r="AE77" s="1090"/>
      <c r="AK77" s="1090"/>
      <c r="AQ77" s="1090"/>
      <c r="AW77" s="1090"/>
    </row>
    <row r="78" spans="1:49" s="1081" customFormat="1" ht="12.5">
      <c r="A78" s="1106"/>
      <c r="B78" s="1096"/>
      <c r="C78" s="1097"/>
      <c r="D78" s="1097"/>
      <c r="E78" s="1097"/>
      <c r="F78" s="1097"/>
      <c r="G78" s="1098"/>
      <c r="H78" s="1097"/>
      <c r="I78" s="1097"/>
      <c r="J78" s="1097"/>
      <c r="K78" s="1097"/>
      <c r="L78" s="1097"/>
      <c r="M78" s="1090"/>
      <c r="P78" s="1104"/>
      <c r="Q78" s="1139"/>
      <c r="S78" s="1121"/>
      <c r="Y78" s="1090"/>
      <c r="AE78" s="1090"/>
      <c r="AK78" s="1090"/>
      <c r="AQ78" s="1090"/>
      <c r="AW78" s="1090"/>
    </row>
    <row r="79" spans="1:49" s="1081" customFormat="1">
      <c r="A79" s="1051"/>
      <c r="B79" s="1096"/>
      <c r="C79" s="1097"/>
      <c r="D79" s="1097"/>
      <c r="E79" s="1097"/>
      <c r="F79" s="1097"/>
      <c r="G79" s="1098"/>
      <c r="H79" s="1097"/>
      <c r="I79" s="1097"/>
      <c r="J79" s="1097"/>
      <c r="K79" s="1097"/>
      <c r="L79" s="1097"/>
      <c r="M79" s="1105"/>
      <c r="N79" s="1140"/>
      <c r="P79" s="1104"/>
      <c r="Q79" s="1139"/>
      <c r="S79" s="1121"/>
      <c r="Y79" s="1090"/>
      <c r="AE79" s="1090"/>
      <c r="AK79" s="1090"/>
      <c r="AQ79" s="1090"/>
      <c r="AW79" s="1090"/>
    </row>
    <row r="80" spans="1:49" s="1081" customFormat="1" ht="15.5">
      <c r="A80" s="1084"/>
      <c r="B80" s="1096"/>
      <c r="C80" s="1097"/>
      <c r="D80" s="1097"/>
      <c r="E80" s="1097"/>
      <c r="F80" s="1097"/>
      <c r="G80" s="1098"/>
      <c r="H80" s="1097"/>
      <c r="I80" s="1097"/>
      <c r="J80" s="1097"/>
      <c r="K80" s="1097"/>
      <c r="L80" s="1097"/>
      <c r="M80" s="1105"/>
      <c r="N80" s="1104"/>
      <c r="O80" s="1104"/>
      <c r="P80" s="1104"/>
      <c r="Q80" s="1139"/>
      <c r="S80" s="1121"/>
      <c r="Y80" s="1090"/>
      <c r="AE80" s="1090"/>
      <c r="AK80" s="1090"/>
      <c r="AQ80" s="1090"/>
      <c r="AW80" s="1090"/>
    </row>
    <row r="81" spans="1:49" s="1081" customFormat="1" ht="15.5">
      <c r="A81" s="1084"/>
      <c r="B81" s="1096"/>
      <c r="C81" s="1097"/>
      <c r="D81" s="1097"/>
      <c r="E81" s="1097"/>
      <c r="F81" s="1097"/>
      <c r="G81" s="1098"/>
      <c r="H81" s="1097"/>
      <c r="I81" s="1097"/>
      <c r="J81" s="1097"/>
      <c r="K81" s="1097"/>
      <c r="L81" s="1097"/>
      <c r="M81" s="1105"/>
      <c r="N81" s="1099"/>
      <c r="O81" s="1108"/>
      <c r="P81" s="1104"/>
      <c r="Q81" s="1139"/>
      <c r="S81" s="1121"/>
      <c r="Y81" s="1090"/>
      <c r="AE81" s="1090"/>
      <c r="AK81" s="1090"/>
      <c r="AQ81" s="1090"/>
      <c r="AW81" s="1090"/>
    </row>
    <row r="82" spans="1:49" s="1081" customFormat="1" ht="15.5">
      <c r="A82" s="1084"/>
      <c r="B82" s="1112"/>
      <c r="C82" s="1050"/>
      <c r="D82" s="1050"/>
      <c r="E82" s="1050"/>
      <c r="F82" s="1113"/>
      <c r="G82" s="1114"/>
      <c r="H82" s="1113"/>
      <c r="I82" s="1050"/>
      <c r="J82" s="1050"/>
      <c r="K82" s="1050"/>
      <c r="L82" s="1113"/>
      <c r="M82" s="1141"/>
      <c r="N82" s="1142"/>
      <c r="O82" s="1142"/>
      <c r="P82" s="1100"/>
      <c r="Q82" s="1139"/>
      <c r="R82" s="1143"/>
      <c r="S82" s="1121"/>
      <c r="Y82" s="1090"/>
      <c r="AE82" s="1090"/>
      <c r="AK82" s="1090"/>
      <c r="AQ82" s="1090"/>
      <c r="AW82" s="1090"/>
    </row>
    <row r="83" spans="1:49" s="1081" customFormat="1">
      <c r="A83" s="1187"/>
      <c r="B83" s="1050"/>
      <c r="C83" s="1050"/>
      <c r="D83" s="1050"/>
      <c r="E83" s="1050"/>
      <c r="F83" s="1050"/>
      <c r="G83" s="1055"/>
      <c r="H83" s="1050"/>
      <c r="I83" s="1050"/>
      <c r="J83" s="1050"/>
      <c r="K83" s="1115"/>
      <c r="L83" s="1050"/>
      <c r="M83" s="1105"/>
      <c r="N83" s="1144"/>
      <c r="O83" s="1144"/>
      <c r="P83" s="1104"/>
      <c r="Q83" s="1139"/>
      <c r="S83" s="1121"/>
      <c r="Y83" s="1090"/>
      <c r="AE83" s="1090"/>
      <c r="AK83" s="1090"/>
      <c r="AQ83" s="1090"/>
      <c r="AW83" s="1090"/>
    </row>
    <row r="84" spans="1:49" s="1081" customFormat="1">
      <c r="A84" s="1051"/>
      <c r="B84" s="1116"/>
      <c r="C84" s="1085"/>
      <c r="D84" s="1085"/>
      <c r="E84" s="1085"/>
      <c r="F84" s="1088"/>
      <c r="G84" s="1087"/>
      <c r="H84" s="1088"/>
      <c r="I84" s="1085"/>
      <c r="J84" s="1085"/>
      <c r="K84" s="1085"/>
      <c r="L84" s="1088"/>
      <c r="M84" s="1095"/>
      <c r="N84" s="1094"/>
      <c r="O84" s="1094"/>
      <c r="P84" s="1094"/>
      <c r="Q84" s="1139"/>
      <c r="S84" s="1121"/>
      <c r="Y84" s="1090"/>
      <c r="AE84" s="1090"/>
      <c r="AK84" s="1090"/>
      <c r="AQ84" s="1090"/>
      <c r="AW84" s="1090"/>
    </row>
    <row r="85" spans="1:49" s="1081" customFormat="1" ht="15.5">
      <c r="A85" s="1051"/>
      <c r="B85" s="1116"/>
      <c r="C85" s="1113"/>
      <c r="D85" s="1119"/>
      <c r="E85" s="1120"/>
      <c r="F85" s="1088"/>
      <c r="G85" s="1087"/>
      <c r="H85" s="1088"/>
      <c r="I85" s="1113"/>
      <c r="J85" s="1119"/>
      <c r="K85" s="1120"/>
      <c r="L85" s="1088"/>
      <c r="M85" s="1090"/>
      <c r="O85" s="1100"/>
      <c r="P85" s="1100"/>
      <c r="S85" s="1121"/>
      <c r="Y85" s="1090"/>
      <c r="AE85" s="1090"/>
      <c r="AK85" s="1090"/>
      <c r="AQ85" s="1090"/>
      <c r="AW85" s="1090"/>
    </row>
    <row r="86" spans="1:49" s="1081" customFormat="1" ht="14.25" customHeight="1">
      <c r="A86" s="1051"/>
      <c r="B86" s="1116"/>
      <c r="C86" s="1113"/>
      <c r="D86" s="1122"/>
      <c r="E86" s="1122"/>
      <c r="F86" s="1123"/>
      <c r="G86" s="1124"/>
      <c r="H86" s="1123"/>
      <c r="I86" s="1113"/>
      <c r="J86" s="1122"/>
      <c r="K86" s="1122"/>
      <c r="L86" s="1123"/>
      <c r="M86" s="1090"/>
      <c r="O86" s="1100"/>
      <c r="P86" s="1100"/>
      <c r="S86" s="1121"/>
      <c r="Y86" s="1090"/>
      <c r="AE86" s="1090"/>
      <c r="AK86" s="1090"/>
      <c r="AQ86" s="1090"/>
      <c r="AW86" s="1090"/>
    </row>
    <row r="87" spans="1:49" s="1081" customFormat="1" ht="14.25" customHeight="1">
      <c r="A87" s="1051"/>
      <c r="B87" s="1050"/>
      <c r="C87" s="1050"/>
      <c r="D87" s="1050"/>
      <c r="E87" s="1050"/>
      <c r="F87" s="1050"/>
      <c r="G87" s="1055"/>
      <c r="H87" s="1050"/>
      <c r="I87" s="1188"/>
      <c r="J87" s="1189"/>
      <c r="K87" s="1050"/>
      <c r="L87" s="1050"/>
      <c r="M87" s="1105"/>
      <c r="N87" s="1104"/>
      <c r="O87" s="1104"/>
      <c r="P87" s="1104"/>
      <c r="S87" s="1121"/>
      <c r="Y87" s="1090"/>
      <c r="AE87" s="1090"/>
      <c r="AK87" s="1102"/>
      <c r="AL87" s="1103"/>
      <c r="AM87" s="1103"/>
      <c r="AN87" s="1103"/>
      <c r="AO87" s="1103"/>
      <c r="AP87" s="1103"/>
      <c r="AQ87" s="1090"/>
      <c r="AW87" s="1090"/>
    </row>
    <row r="88" spans="1:49" s="1081" customFormat="1" ht="15" customHeight="1">
      <c r="A88" s="1051"/>
      <c r="B88" s="1050"/>
      <c r="C88" s="1050"/>
      <c r="D88" s="1050"/>
      <c r="E88" s="1050"/>
      <c r="F88" s="1050"/>
      <c r="G88" s="1055"/>
      <c r="H88" s="1050"/>
      <c r="I88" s="1050"/>
      <c r="J88" s="1050"/>
      <c r="K88" s="1050"/>
      <c r="L88" s="1050"/>
      <c r="M88" s="1105"/>
      <c r="N88" s="1104"/>
      <c r="O88" s="1104"/>
      <c r="P88" s="1104"/>
      <c r="S88" s="1121"/>
      <c r="Y88" s="1090"/>
      <c r="AE88" s="1090"/>
      <c r="AK88" s="1090"/>
      <c r="AQ88" s="1090"/>
      <c r="AW88" s="1090"/>
    </row>
    <row r="89" spans="1:49" s="1081" customFormat="1">
      <c r="A89" s="1051"/>
      <c r="B89" s="1050"/>
      <c r="C89" s="1050"/>
      <c r="D89" s="1050"/>
      <c r="E89" s="1050"/>
      <c r="F89" s="1050"/>
      <c r="G89" s="1055"/>
      <c r="H89" s="1050"/>
      <c r="I89" s="1050"/>
      <c r="J89" s="1050"/>
      <c r="K89" s="1050"/>
      <c r="L89" s="1050"/>
      <c r="M89" s="1105"/>
      <c r="N89" s="1099"/>
      <c r="O89" s="1107"/>
      <c r="P89" s="1104"/>
      <c r="S89" s="1121"/>
      <c r="Y89" s="1090"/>
      <c r="AE89" s="1090"/>
      <c r="AK89" s="1055"/>
      <c r="AL89" s="1051"/>
      <c r="AM89" s="1051"/>
      <c r="AN89" s="1051"/>
      <c r="AO89" s="1051"/>
      <c r="AP89" s="1051"/>
      <c r="AQ89" s="1090"/>
      <c r="AW89" s="1090"/>
    </row>
    <row r="90" spans="1:49" s="1081" customFormat="1" ht="14.25" customHeight="1">
      <c r="A90" s="1051"/>
      <c r="B90" s="1050"/>
      <c r="C90" s="1050"/>
      <c r="D90" s="1050"/>
      <c r="E90" s="1050"/>
      <c r="F90" s="1050"/>
      <c r="G90" s="1055"/>
      <c r="H90" s="1050"/>
      <c r="I90" s="1050"/>
      <c r="J90" s="1050"/>
      <c r="K90" s="1050"/>
      <c r="L90" s="1050"/>
      <c r="M90" s="1105"/>
      <c r="N90" s="1099"/>
      <c r="O90" s="1108"/>
      <c r="P90" s="1104"/>
      <c r="S90" s="1121"/>
      <c r="Y90" s="1090"/>
      <c r="AE90" s="1090"/>
      <c r="AK90" s="1055"/>
      <c r="AL90" s="1051"/>
      <c r="AM90" s="1051"/>
      <c r="AN90" s="1051"/>
      <c r="AO90" s="1051"/>
      <c r="AP90" s="1051"/>
      <c r="AQ90" s="1090"/>
      <c r="AW90" s="1090"/>
    </row>
    <row r="91" spans="1:49" s="1081" customFormat="1" ht="14.25" customHeight="1">
      <c r="A91" s="1051"/>
      <c r="B91" s="1050"/>
      <c r="C91" s="1050"/>
      <c r="D91" s="1050"/>
      <c r="E91" s="1050"/>
      <c r="F91" s="1050"/>
      <c r="G91" s="1055"/>
      <c r="H91" s="1050"/>
      <c r="I91" s="1050"/>
      <c r="J91" s="1050"/>
      <c r="K91" s="1050"/>
      <c r="L91" s="1050"/>
      <c r="M91" s="1111"/>
      <c r="N91" s="1110"/>
      <c r="O91" s="1110"/>
      <c r="P91" s="1110"/>
      <c r="S91" s="1121"/>
      <c r="Y91" s="1090"/>
      <c r="AE91" s="1090"/>
      <c r="AK91" s="1055"/>
      <c r="AL91" s="1051"/>
      <c r="AM91" s="1051"/>
      <c r="AN91" s="1051"/>
      <c r="AO91" s="1051"/>
      <c r="AP91" s="1051"/>
      <c r="AQ91" s="1090"/>
      <c r="AW91" s="1090"/>
    </row>
    <row r="92" spans="1:49" s="1081" customFormat="1">
      <c r="A92" s="1051"/>
      <c r="B92" s="1050"/>
      <c r="C92" s="1050"/>
      <c r="D92" s="1050"/>
      <c r="E92" s="1050"/>
      <c r="F92" s="1050"/>
      <c r="G92" s="1055"/>
      <c r="H92" s="1050"/>
      <c r="I92" s="1050"/>
      <c r="J92" s="1050"/>
      <c r="K92" s="1050"/>
      <c r="L92" s="1050"/>
      <c r="M92" s="1111"/>
      <c r="N92" s="1110"/>
      <c r="O92" s="1110"/>
      <c r="P92" s="1110"/>
      <c r="R92" s="1145"/>
      <c r="S92" s="1121"/>
      <c r="Y92" s="1090"/>
      <c r="AE92" s="1090"/>
      <c r="AK92" s="1055"/>
      <c r="AL92" s="1051"/>
      <c r="AM92" s="1051"/>
      <c r="AN92" s="1051"/>
      <c r="AO92" s="1051"/>
      <c r="AP92" s="1051"/>
      <c r="AQ92" s="1090"/>
      <c r="AW92" s="1090"/>
    </row>
    <row r="93" spans="1:49" s="1081" customFormat="1">
      <c r="A93" s="1051"/>
      <c r="B93" s="1050"/>
      <c r="C93" s="1050"/>
      <c r="D93" s="1050"/>
      <c r="E93" s="1050"/>
      <c r="F93" s="1050"/>
      <c r="G93" s="1055"/>
      <c r="H93" s="1050"/>
      <c r="I93" s="1050"/>
      <c r="J93" s="1050"/>
      <c r="K93" s="1050"/>
      <c r="L93" s="1050"/>
      <c r="M93" s="1111"/>
      <c r="N93" s="1110"/>
      <c r="O93" s="1110"/>
      <c r="P93" s="1110"/>
      <c r="S93" s="1121"/>
      <c r="Y93" s="1090"/>
      <c r="AE93" s="1090"/>
      <c r="AK93" s="1055"/>
      <c r="AL93" s="1051"/>
      <c r="AM93" s="1051"/>
      <c r="AN93" s="1051"/>
      <c r="AO93" s="1051"/>
      <c r="AP93" s="1051"/>
      <c r="AQ93" s="1090"/>
      <c r="AW93" s="1090"/>
    </row>
    <row r="94" spans="1:49" s="1081" customFormat="1">
      <c r="A94" s="1051"/>
      <c r="B94" s="1050"/>
      <c r="C94" s="1050"/>
      <c r="D94" s="1050"/>
      <c r="E94" s="1050"/>
      <c r="F94" s="1050"/>
      <c r="G94" s="1055"/>
      <c r="H94" s="1050"/>
      <c r="I94" s="1050"/>
      <c r="J94" s="1050"/>
      <c r="K94" s="1050"/>
      <c r="L94" s="1050"/>
      <c r="M94" s="1111"/>
      <c r="N94" s="1110"/>
      <c r="O94" s="1110"/>
      <c r="P94" s="1110"/>
      <c r="S94" s="1121"/>
      <c r="Y94" s="1090"/>
      <c r="AE94" s="1102"/>
      <c r="AF94" s="1103"/>
      <c r="AG94" s="1103"/>
      <c r="AH94" s="1103"/>
      <c r="AI94" s="1103"/>
      <c r="AJ94" s="1103"/>
      <c r="AK94" s="1055"/>
      <c r="AL94" s="1051"/>
      <c r="AM94" s="1051"/>
      <c r="AN94" s="1051"/>
      <c r="AO94" s="1051"/>
      <c r="AP94" s="1051"/>
      <c r="AQ94" s="1102"/>
      <c r="AR94" s="1103"/>
      <c r="AW94" s="1090"/>
    </row>
    <row r="95" spans="1:49" s="1081" customFormat="1">
      <c r="A95" s="1051"/>
      <c r="B95" s="1050"/>
      <c r="C95" s="1050"/>
      <c r="D95" s="1050"/>
      <c r="E95" s="1050"/>
      <c r="F95" s="1050"/>
      <c r="G95" s="1055"/>
      <c r="H95" s="1050"/>
      <c r="I95" s="1050"/>
      <c r="J95" s="1050"/>
      <c r="K95" s="1050"/>
      <c r="L95" s="1050"/>
      <c r="M95" s="1111"/>
      <c r="N95" s="1110"/>
      <c r="O95" s="1110"/>
      <c r="P95" s="1110"/>
      <c r="S95" s="1121"/>
      <c r="Y95" s="1090"/>
      <c r="AE95" s="1090"/>
      <c r="AK95" s="1055"/>
      <c r="AL95" s="1051"/>
      <c r="AM95" s="1051"/>
      <c r="AN95" s="1051"/>
      <c r="AO95" s="1051"/>
      <c r="AP95" s="1051"/>
      <c r="AQ95" s="1090"/>
      <c r="AW95" s="1090"/>
    </row>
    <row r="96" spans="1:49" s="1081" customFormat="1">
      <c r="A96" s="1051"/>
      <c r="B96" s="1050"/>
      <c r="C96" s="1050"/>
      <c r="D96" s="1050"/>
      <c r="E96" s="1050"/>
      <c r="F96" s="1050"/>
      <c r="G96" s="1055"/>
      <c r="H96" s="1050"/>
      <c r="I96" s="1050"/>
      <c r="J96" s="1050"/>
      <c r="K96" s="1050"/>
      <c r="L96" s="1050"/>
      <c r="M96" s="1111"/>
      <c r="N96" s="1110"/>
      <c r="O96" s="1110"/>
      <c r="P96" s="1110"/>
      <c r="S96" s="1121"/>
      <c r="Y96" s="1090"/>
      <c r="AE96" s="1055"/>
      <c r="AF96" s="1051"/>
      <c r="AG96" s="1051"/>
      <c r="AH96" s="1051"/>
      <c r="AI96" s="1051"/>
      <c r="AJ96" s="1051"/>
      <c r="AK96" s="1055"/>
      <c r="AL96" s="1051"/>
      <c r="AM96" s="1051"/>
      <c r="AN96" s="1051"/>
      <c r="AO96" s="1051"/>
      <c r="AP96" s="1051"/>
      <c r="AQ96" s="1055"/>
      <c r="AR96" s="1051"/>
      <c r="AW96" s="1090"/>
    </row>
    <row r="97" spans="1:49" s="1081" customFormat="1">
      <c r="A97" s="1051"/>
      <c r="B97" s="1050"/>
      <c r="C97" s="1050"/>
      <c r="D97" s="1050"/>
      <c r="E97" s="1050"/>
      <c r="F97" s="1050"/>
      <c r="G97" s="1055"/>
      <c r="H97" s="1050"/>
      <c r="I97" s="1050"/>
      <c r="J97" s="1050"/>
      <c r="K97" s="1050"/>
      <c r="L97" s="1050"/>
      <c r="M97" s="1111"/>
      <c r="N97" s="1110"/>
      <c r="O97" s="1110"/>
      <c r="P97" s="1110"/>
      <c r="S97" s="1121"/>
      <c r="Y97" s="1090"/>
      <c r="AE97" s="1055"/>
      <c r="AF97" s="1051"/>
      <c r="AG97" s="1051"/>
      <c r="AH97" s="1051"/>
      <c r="AI97" s="1051"/>
      <c r="AJ97" s="1051"/>
      <c r="AK97" s="1055"/>
      <c r="AL97" s="1051"/>
      <c r="AM97" s="1051"/>
      <c r="AN97" s="1051"/>
      <c r="AO97" s="1051"/>
      <c r="AP97" s="1051"/>
      <c r="AQ97" s="1055"/>
      <c r="AR97" s="1051"/>
      <c r="AW97" s="1090"/>
    </row>
    <row r="98" spans="1:49" s="1081" customFormat="1">
      <c r="A98" s="1051"/>
      <c r="B98" s="1050"/>
      <c r="C98" s="1050"/>
      <c r="D98" s="1050"/>
      <c r="E98" s="1050"/>
      <c r="F98" s="1050"/>
      <c r="G98" s="1055"/>
      <c r="H98" s="1050"/>
      <c r="I98" s="1050"/>
      <c r="J98" s="1050"/>
      <c r="K98" s="1050"/>
      <c r="L98" s="1050"/>
      <c r="M98" s="1111"/>
      <c r="N98" s="1110"/>
      <c r="O98" s="1110"/>
      <c r="P98" s="1110"/>
      <c r="Q98" s="1103"/>
      <c r="R98" s="1103"/>
      <c r="S98" s="1146"/>
      <c r="T98" s="1103"/>
      <c r="U98" s="1103"/>
      <c r="V98" s="1103"/>
      <c r="W98" s="1103"/>
      <c r="X98" s="1103"/>
      <c r="Y98" s="1102"/>
      <c r="Z98" s="1103"/>
      <c r="AA98" s="1103"/>
      <c r="AB98" s="1103"/>
      <c r="AC98" s="1103"/>
      <c r="AD98" s="1103"/>
      <c r="AE98" s="1055"/>
      <c r="AF98" s="1051"/>
      <c r="AG98" s="1051"/>
      <c r="AH98" s="1051"/>
      <c r="AI98" s="1051"/>
      <c r="AJ98" s="1051"/>
      <c r="AK98" s="1055"/>
      <c r="AL98" s="1051"/>
      <c r="AM98" s="1051"/>
      <c r="AN98" s="1051"/>
      <c r="AO98" s="1051"/>
      <c r="AP98" s="1051"/>
      <c r="AQ98" s="1055"/>
      <c r="AR98" s="1051"/>
      <c r="AW98" s="1090"/>
    </row>
    <row r="99" spans="1:49" s="1103" customFormat="1">
      <c r="A99" s="1051"/>
      <c r="B99" s="1050"/>
      <c r="C99" s="1050"/>
      <c r="D99" s="1050"/>
      <c r="E99" s="1050"/>
      <c r="F99" s="1050"/>
      <c r="G99" s="1055"/>
      <c r="H99" s="1050"/>
      <c r="I99" s="1050"/>
      <c r="J99" s="1050"/>
      <c r="K99" s="1050"/>
      <c r="L99" s="1050"/>
      <c r="M99" s="1090"/>
      <c r="N99" s="1081"/>
      <c r="O99" s="1081"/>
      <c r="P99" s="1104"/>
      <c r="Q99" s="1081"/>
      <c r="R99" s="1081"/>
      <c r="S99" s="1121"/>
      <c r="T99" s="1081"/>
      <c r="U99" s="1081"/>
      <c r="V99" s="1081"/>
      <c r="W99" s="1081"/>
      <c r="X99" s="1081"/>
      <c r="Y99" s="1090"/>
      <c r="Z99" s="1081"/>
      <c r="AA99" s="1081"/>
      <c r="AB99" s="1081"/>
      <c r="AC99" s="1081"/>
      <c r="AD99" s="1081"/>
      <c r="AE99" s="1055"/>
      <c r="AF99" s="1051"/>
      <c r="AG99" s="1051"/>
      <c r="AH99" s="1051"/>
      <c r="AI99" s="1051"/>
      <c r="AJ99" s="1051"/>
      <c r="AK99" s="1055"/>
      <c r="AL99" s="1051"/>
      <c r="AM99" s="1051"/>
      <c r="AN99" s="1051"/>
      <c r="AO99" s="1051"/>
      <c r="AP99" s="1051"/>
      <c r="AQ99" s="1055"/>
      <c r="AR99" s="1051"/>
      <c r="AW99" s="1102"/>
    </row>
    <row r="100" spans="1:49" s="1081" customFormat="1" ht="15.5">
      <c r="A100" s="1051"/>
      <c r="B100" s="1050"/>
      <c r="C100" s="1050"/>
      <c r="D100" s="1050"/>
      <c r="E100" s="1050"/>
      <c r="F100" s="1050"/>
      <c r="G100" s="1055"/>
      <c r="H100" s="1050"/>
      <c r="I100" s="1050"/>
      <c r="J100" s="1050"/>
      <c r="K100" s="1050"/>
      <c r="L100" s="1050"/>
      <c r="M100" s="1114"/>
      <c r="N100" s="1147"/>
      <c r="O100" s="1050"/>
      <c r="P100" s="1113"/>
      <c r="Q100" s="1052"/>
      <c r="R100" s="1052"/>
      <c r="S100" s="1051"/>
      <c r="T100" s="1051"/>
      <c r="U100" s="1051"/>
      <c r="V100" s="1051"/>
      <c r="W100" s="1051"/>
      <c r="X100" s="1051"/>
      <c r="Y100" s="1055"/>
      <c r="Z100" s="1051"/>
      <c r="AA100" s="1051"/>
      <c r="AB100" s="1051"/>
      <c r="AC100" s="1051"/>
      <c r="AD100" s="1051"/>
      <c r="AE100" s="1055"/>
      <c r="AF100" s="1051"/>
      <c r="AG100" s="1051"/>
      <c r="AH100" s="1051"/>
      <c r="AI100" s="1051"/>
      <c r="AJ100" s="1051"/>
      <c r="AK100" s="1055"/>
      <c r="AL100" s="1051"/>
      <c r="AM100" s="1051"/>
      <c r="AN100" s="1051"/>
      <c r="AO100" s="1051"/>
      <c r="AP100" s="1051"/>
      <c r="AQ100" s="1055"/>
      <c r="AR100" s="1051"/>
      <c r="AW100" s="1090"/>
    </row>
    <row r="101" spans="1:49">
      <c r="M101" s="1087"/>
      <c r="N101" s="1085"/>
      <c r="O101" s="1085"/>
      <c r="P101" s="1088"/>
    </row>
    <row r="102" spans="1:49" ht="15.5">
      <c r="M102" s="1114"/>
      <c r="N102" s="1119"/>
      <c r="O102" s="1120"/>
      <c r="P102" s="1088"/>
    </row>
    <row r="103" spans="1:49" ht="15" customHeight="1">
      <c r="M103" s="1148"/>
      <c r="N103" s="1122"/>
      <c r="O103" s="1122"/>
      <c r="P103" s="1123"/>
    </row>
    <row r="104" spans="1:49" ht="15.5">
      <c r="M104" s="1148"/>
      <c r="N104" s="1132"/>
      <c r="O104" s="1132"/>
      <c r="P104" s="1132"/>
    </row>
    <row r="105" spans="1:49" ht="15.5">
      <c r="M105" s="1148"/>
      <c r="N105" s="1132"/>
      <c r="O105" s="1132"/>
      <c r="P105" s="1132"/>
    </row>
    <row r="106" spans="1:49">
      <c r="M106" s="1149"/>
      <c r="N106" s="1128"/>
      <c r="O106" s="1129"/>
      <c r="P106" s="1129"/>
    </row>
    <row r="107" spans="1:49" ht="14.25" customHeight="1">
      <c r="M107" s="1150"/>
      <c r="N107" s="1052"/>
      <c r="O107" s="1129"/>
      <c r="P107" s="1129"/>
    </row>
    <row r="108" spans="1:49" ht="14.25" customHeight="1">
      <c r="M108" s="1151"/>
      <c r="N108" s="1133"/>
      <c r="O108" s="1133"/>
      <c r="P108" s="1133"/>
      <c r="AK108" s="1152"/>
      <c r="AL108" s="1153"/>
      <c r="AM108" s="1153"/>
      <c r="AN108" s="1153"/>
      <c r="AO108" s="1153"/>
      <c r="AP108" s="1153"/>
    </row>
    <row r="109" spans="1:49" ht="15" customHeight="1">
      <c r="M109" s="1151"/>
      <c r="N109" s="1133"/>
      <c r="O109" s="1133"/>
      <c r="P109" s="1133"/>
    </row>
    <row r="110" spans="1:49">
      <c r="M110" s="1087"/>
      <c r="N110" s="1083"/>
      <c r="O110" s="1086"/>
      <c r="P110" s="1085"/>
    </row>
    <row r="111" spans="1:49" ht="14.25" customHeight="1">
      <c r="M111" s="1087"/>
      <c r="N111" s="1083"/>
      <c r="O111" s="1093"/>
      <c r="P111" s="1085"/>
    </row>
    <row r="112" spans="1:49" ht="14.25" customHeight="1">
      <c r="M112" s="1098"/>
      <c r="N112" s="1097"/>
      <c r="O112" s="1097"/>
      <c r="P112" s="1097"/>
    </row>
    <row r="113" spans="1:49">
      <c r="M113" s="1098"/>
      <c r="N113" s="1097"/>
      <c r="O113" s="1097"/>
      <c r="P113" s="1097"/>
    </row>
    <row r="114" spans="1:49">
      <c r="M114" s="1098"/>
      <c r="N114" s="1097"/>
      <c r="O114" s="1097"/>
      <c r="P114" s="1097"/>
    </row>
    <row r="115" spans="1:49">
      <c r="M115" s="1098"/>
      <c r="N115" s="1097"/>
      <c r="O115" s="1097"/>
      <c r="P115" s="1097"/>
      <c r="AE115" s="1152"/>
      <c r="AF115" s="1153"/>
      <c r="AG115" s="1153"/>
      <c r="AH115" s="1153"/>
      <c r="AI115" s="1153"/>
      <c r="AJ115" s="1153"/>
      <c r="AQ115" s="1152"/>
      <c r="AR115" s="1153"/>
    </row>
    <row r="116" spans="1:49">
      <c r="M116" s="1098"/>
      <c r="N116" s="1097"/>
      <c r="O116" s="1097"/>
      <c r="P116" s="1097"/>
    </row>
    <row r="117" spans="1:49">
      <c r="M117" s="1098"/>
      <c r="N117" s="1097"/>
      <c r="O117" s="1097"/>
      <c r="P117" s="1097"/>
    </row>
    <row r="118" spans="1:49">
      <c r="M118" s="1098"/>
      <c r="N118" s="1097"/>
      <c r="O118" s="1097"/>
      <c r="P118" s="1097"/>
    </row>
    <row r="119" spans="1:49">
      <c r="M119" s="1098"/>
      <c r="N119" s="1097"/>
      <c r="O119" s="1097"/>
      <c r="P119" s="1097"/>
      <c r="Q119" s="1154"/>
      <c r="R119" s="1155"/>
      <c r="S119" s="1153"/>
      <c r="T119" s="1153"/>
      <c r="U119" s="1153"/>
      <c r="V119" s="1153"/>
      <c r="W119" s="1153"/>
      <c r="X119" s="1153"/>
      <c r="Y119" s="1152"/>
      <c r="Z119" s="1153"/>
      <c r="AA119" s="1153"/>
      <c r="AB119" s="1153"/>
      <c r="AC119" s="1153"/>
      <c r="AD119" s="1153"/>
    </row>
    <row r="120" spans="1:49" s="1153" customFormat="1" ht="15.5">
      <c r="A120" s="1051"/>
      <c r="B120" s="1050"/>
      <c r="C120" s="1050"/>
      <c r="D120" s="1050"/>
      <c r="E120" s="1050"/>
      <c r="F120" s="1050"/>
      <c r="G120" s="1055"/>
      <c r="H120" s="1050"/>
      <c r="I120" s="1050"/>
      <c r="J120" s="1050"/>
      <c r="K120" s="1050"/>
      <c r="L120" s="1050"/>
      <c r="M120" s="1055"/>
      <c r="N120" s="1050"/>
      <c r="O120" s="1050"/>
      <c r="P120" s="1113"/>
      <c r="Q120" s="1052"/>
      <c r="R120" s="1052"/>
      <c r="S120" s="1051"/>
      <c r="T120" s="1051"/>
      <c r="U120" s="1051"/>
      <c r="V120" s="1051"/>
      <c r="W120" s="1051"/>
      <c r="X120" s="1051"/>
      <c r="Y120" s="1055"/>
      <c r="Z120" s="1051"/>
      <c r="AA120" s="1051"/>
      <c r="AB120" s="1051"/>
      <c r="AC120" s="1051"/>
      <c r="AD120" s="1051"/>
      <c r="AE120" s="1055"/>
      <c r="AF120" s="1051"/>
      <c r="AG120" s="1051"/>
      <c r="AH120" s="1051"/>
      <c r="AI120" s="1051"/>
      <c r="AJ120" s="1051"/>
      <c r="AK120" s="1055"/>
      <c r="AL120" s="1051"/>
      <c r="AM120" s="1051"/>
      <c r="AN120" s="1051"/>
      <c r="AO120" s="1051"/>
      <c r="AP120" s="1051"/>
      <c r="AQ120" s="1055"/>
      <c r="AR120" s="1051"/>
      <c r="AW120" s="1152"/>
    </row>
    <row r="121" spans="1:49" ht="15.5">
      <c r="M121" s="1114"/>
      <c r="N121" s="1147"/>
      <c r="P121" s="1113"/>
    </row>
    <row r="122" spans="1:49">
      <c r="M122" s="1087"/>
      <c r="N122" s="1085"/>
      <c r="O122" s="1085"/>
      <c r="P122" s="1088"/>
    </row>
    <row r="123" spans="1:49" ht="15.5">
      <c r="M123" s="1114"/>
      <c r="N123" s="1119"/>
      <c r="O123" s="1120"/>
      <c r="P123" s="1088"/>
    </row>
    <row r="124" spans="1:49" ht="15" customHeight="1">
      <c r="M124" s="1114"/>
      <c r="N124" s="1122"/>
      <c r="O124" s="1122"/>
      <c r="P124" s="1123"/>
      <c r="Q124" s="1156"/>
    </row>
    <row r="125" spans="1:49" ht="15.5">
      <c r="M125" s="1114"/>
      <c r="N125" s="1088"/>
      <c r="O125" s="1088"/>
      <c r="P125" s="1088"/>
      <c r="Q125" s="1156"/>
    </row>
    <row r="126" spans="1:49">
      <c r="M126" s="1126"/>
      <c r="N126" s="1125"/>
      <c r="O126" s="1125"/>
      <c r="P126" s="1125"/>
    </row>
    <row r="127" spans="1:49">
      <c r="M127" s="1149"/>
      <c r="N127" s="1128"/>
      <c r="O127" s="1129"/>
      <c r="P127" s="1129"/>
    </row>
    <row r="128" spans="1:49" ht="14.25" customHeight="1">
      <c r="M128" s="1150"/>
      <c r="N128" s="1052"/>
      <c r="O128" s="1129"/>
      <c r="P128" s="1129"/>
    </row>
    <row r="129" spans="1:49" ht="14.25" customHeight="1">
      <c r="M129" s="1151"/>
      <c r="N129" s="1133"/>
      <c r="O129" s="1133"/>
      <c r="P129" s="1133"/>
      <c r="AK129" s="1152"/>
      <c r="AL129" s="1153"/>
      <c r="AM129" s="1153"/>
      <c r="AN129" s="1153"/>
      <c r="AO129" s="1153"/>
      <c r="AP129" s="1153"/>
    </row>
    <row r="130" spans="1:49" ht="15" customHeight="1">
      <c r="M130" s="1151"/>
      <c r="N130" s="1133"/>
      <c r="O130" s="1133"/>
      <c r="P130" s="1133"/>
    </row>
    <row r="131" spans="1:49">
      <c r="M131" s="1087"/>
      <c r="N131" s="1083"/>
      <c r="O131" s="1086"/>
      <c r="P131" s="1085"/>
    </row>
    <row r="132" spans="1:49" ht="14.25" customHeight="1">
      <c r="M132" s="1087"/>
      <c r="N132" s="1083"/>
      <c r="O132" s="1093"/>
      <c r="P132" s="1085"/>
    </row>
    <row r="133" spans="1:49" ht="14.25" customHeight="1">
      <c r="M133" s="1098"/>
      <c r="N133" s="1097"/>
      <c r="O133" s="1097"/>
      <c r="P133" s="1097"/>
    </row>
    <row r="134" spans="1:49">
      <c r="M134" s="1098"/>
      <c r="N134" s="1097"/>
      <c r="O134" s="1097"/>
      <c r="P134" s="1097"/>
    </row>
    <row r="135" spans="1:49">
      <c r="M135" s="1098"/>
      <c r="N135" s="1097"/>
      <c r="O135" s="1097"/>
      <c r="P135" s="1097"/>
    </row>
    <row r="136" spans="1:49">
      <c r="M136" s="1098"/>
      <c r="N136" s="1097"/>
      <c r="O136" s="1097"/>
      <c r="P136" s="1097"/>
      <c r="AE136" s="1152"/>
      <c r="AF136" s="1153"/>
      <c r="AG136" s="1153"/>
      <c r="AH136" s="1153"/>
      <c r="AI136" s="1153"/>
      <c r="AJ136" s="1153"/>
      <c r="AQ136" s="1152"/>
      <c r="AR136" s="1153"/>
    </row>
    <row r="137" spans="1:49">
      <c r="M137" s="1098"/>
      <c r="N137" s="1097"/>
      <c r="O137" s="1097"/>
      <c r="P137" s="1097"/>
    </row>
    <row r="138" spans="1:49">
      <c r="M138" s="1098"/>
      <c r="N138" s="1097"/>
      <c r="O138" s="1097"/>
      <c r="P138" s="1097"/>
    </row>
    <row r="139" spans="1:49">
      <c r="M139" s="1098"/>
      <c r="N139" s="1097"/>
      <c r="O139" s="1097"/>
      <c r="P139" s="1097"/>
    </row>
    <row r="140" spans="1:49">
      <c r="M140" s="1098"/>
      <c r="N140" s="1097"/>
      <c r="O140" s="1097"/>
      <c r="P140" s="1097"/>
      <c r="Q140" s="1154"/>
      <c r="R140" s="1154"/>
      <c r="S140" s="1153"/>
      <c r="T140" s="1153"/>
      <c r="U140" s="1153"/>
      <c r="V140" s="1153"/>
      <c r="W140" s="1153"/>
      <c r="X140" s="1153"/>
      <c r="Y140" s="1152"/>
      <c r="Z140" s="1153"/>
      <c r="AA140" s="1153"/>
      <c r="AB140" s="1153"/>
      <c r="AC140" s="1153"/>
      <c r="AD140" s="1153"/>
    </row>
    <row r="141" spans="1:49" s="1153" customFormat="1" ht="15.5">
      <c r="A141" s="1051"/>
      <c r="B141" s="1050"/>
      <c r="C141" s="1050"/>
      <c r="D141" s="1050"/>
      <c r="E141" s="1050"/>
      <c r="F141" s="1050"/>
      <c r="G141" s="1055"/>
      <c r="H141" s="1050"/>
      <c r="I141" s="1050"/>
      <c r="J141" s="1050"/>
      <c r="K141" s="1050"/>
      <c r="L141" s="1050"/>
      <c r="M141" s="1114"/>
      <c r="N141" s="1113"/>
      <c r="O141" s="1113"/>
      <c r="P141" s="1113"/>
      <c r="Q141" s="1052"/>
      <c r="R141" s="1052"/>
      <c r="S141" s="1051"/>
      <c r="T141" s="1051"/>
      <c r="U141" s="1051"/>
      <c r="V141" s="1051"/>
      <c r="W141" s="1051"/>
      <c r="X141" s="1051"/>
      <c r="Y141" s="1055"/>
      <c r="Z141" s="1051"/>
      <c r="AA141" s="1051"/>
      <c r="AB141" s="1051"/>
      <c r="AC141" s="1051"/>
      <c r="AD141" s="1051"/>
      <c r="AE141" s="1055"/>
      <c r="AF141" s="1051"/>
      <c r="AG141" s="1051"/>
      <c r="AH141" s="1051"/>
      <c r="AI141" s="1051"/>
      <c r="AJ141" s="1051"/>
      <c r="AK141" s="1055"/>
      <c r="AL141" s="1051"/>
      <c r="AM141" s="1051"/>
      <c r="AN141" s="1051"/>
      <c r="AO141" s="1051"/>
      <c r="AP141" s="1051"/>
      <c r="AQ141" s="1055"/>
      <c r="AR141" s="1051"/>
      <c r="AW141" s="1152"/>
    </row>
    <row r="142" spans="1:49" ht="15.5">
      <c r="M142" s="1114"/>
      <c r="N142" s="1147"/>
      <c r="O142" s="1113"/>
      <c r="P142" s="1113"/>
    </row>
    <row r="143" spans="1:49">
      <c r="M143" s="1087"/>
      <c r="N143" s="1085"/>
      <c r="O143" s="1085"/>
      <c r="P143" s="1088"/>
    </row>
    <row r="144" spans="1:49" ht="15.5">
      <c r="M144" s="1114"/>
      <c r="N144" s="1119"/>
      <c r="O144" s="1120"/>
      <c r="P144" s="1088"/>
    </row>
    <row r="145" spans="13:16" ht="15" customHeight="1">
      <c r="M145" s="1114"/>
      <c r="N145" s="1122"/>
      <c r="O145" s="1122"/>
      <c r="P145" s="1123"/>
    </row>
  </sheetData>
  <mergeCells count="226">
    <mergeCell ref="GG16:GI16"/>
    <mergeCell ref="DS16:DU16"/>
    <mergeCell ref="FU16:FW16"/>
    <mergeCell ref="GA16:GC16"/>
    <mergeCell ref="AA16:AC16"/>
    <mergeCell ref="DY16:EA16"/>
    <mergeCell ref="DM16:DO16"/>
    <mergeCell ref="C16:E16"/>
    <mergeCell ref="EE16:EG16"/>
    <mergeCell ref="EK16:EM16"/>
    <mergeCell ref="AG16:AI16"/>
    <mergeCell ref="AM16:AO16"/>
    <mergeCell ref="AS16:AU16"/>
    <mergeCell ref="AY16:BA16"/>
    <mergeCell ref="BE16:BG16"/>
    <mergeCell ref="BK16:BM16"/>
    <mergeCell ref="BQ16:BS16"/>
    <mergeCell ref="CC16:CE16"/>
    <mergeCell ref="FO16:FQ16"/>
    <mergeCell ref="EW16:EY16"/>
    <mergeCell ref="EQ16:ES16"/>
    <mergeCell ref="FI16:FK16"/>
    <mergeCell ref="FC16:FE16"/>
    <mergeCell ref="GA15:GD15"/>
    <mergeCell ref="EK15:EN15"/>
    <mergeCell ref="DQ15:DR15"/>
    <mergeCell ref="DS15:DV15"/>
    <mergeCell ref="FS15:FT15"/>
    <mergeCell ref="FU15:FX15"/>
    <mergeCell ref="FY15:FZ15"/>
    <mergeCell ref="FI15:FL15"/>
    <mergeCell ref="EU14:EV14"/>
    <mergeCell ref="EW14:EZ14"/>
    <mergeCell ref="EU15:EV15"/>
    <mergeCell ref="EW15:EZ15"/>
    <mergeCell ref="GA14:GD14"/>
    <mergeCell ref="EC14:ED14"/>
    <mergeCell ref="EE14:EH14"/>
    <mergeCell ref="EI14:EJ14"/>
    <mergeCell ref="FU14:FX14"/>
    <mergeCell ref="EK14:EN14"/>
    <mergeCell ref="DQ14:DR14"/>
    <mergeCell ref="DS14:DV14"/>
    <mergeCell ref="FS14:FT14"/>
    <mergeCell ref="DW14:DX14"/>
    <mergeCell ref="DY14:EB14"/>
    <mergeCell ref="DK14:DL14"/>
    <mergeCell ref="DE14:DF14"/>
    <mergeCell ref="C14:F14"/>
    <mergeCell ref="EI15:EJ15"/>
    <mergeCell ref="A15:B15"/>
    <mergeCell ref="AA15:AD15"/>
    <mergeCell ref="DW15:DX15"/>
    <mergeCell ref="DY15:EB15"/>
    <mergeCell ref="DK15:DL15"/>
    <mergeCell ref="DM15:DP15"/>
    <mergeCell ref="DE15:DF15"/>
    <mergeCell ref="C15:F15"/>
    <mergeCell ref="EC15:ED15"/>
    <mergeCell ref="EE15:EH15"/>
    <mergeCell ref="AW14:AX14"/>
    <mergeCell ref="AY14:BB14"/>
    <mergeCell ref="BC14:BD14"/>
    <mergeCell ref="AK12:BB12"/>
    <mergeCell ref="BC12:BN12"/>
    <mergeCell ref="BO12:BT12"/>
    <mergeCell ref="BO14:BP14"/>
    <mergeCell ref="A9:R11"/>
    <mergeCell ref="S9:AJ11"/>
    <mergeCell ref="AK9:BB11"/>
    <mergeCell ref="A6:B6"/>
    <mergeCell ref="C6:H6"/>
    <mergeCell ref="L6:R6"/>
    <mergeCell ref="S6:T6"/>
    <mergeCell ref="U6:Z6"/>
    <mergeCell ref="BC6:BD6"/>
    <mergeCell ref="BE6:BJ6"/>
    <mergeCell ref="BN6:BT6"/>
    <mergeCell ref="C7:H7"/>
    <mergeCell ref="U7:Z7"/>
    <mergeCell ref="AM7:AR7"/>
    <mergeCell ref="BE7:BJ7"/>
    <mergeCell ref="AK6:AL6"/>
    <mergeCell ref="AM6:AR6"/>
    <mergeCell ref="AV6:BB6"/>
    <mergeCell ref="AD6:AJ6"/>
    <mergeCell ref="Y15:Z15"/>
    <mergeCell ref="AE14:AF14"/>
    <mergeCell ref="AE15:AF15"/>
    <mergeCell ref="U14:X14"/>
    <mergeCell ref="U15:X15"/>
    <mergeCell ref="U16:W16"/>
    <mergeCell ref="A12:R12"/>
    <mergeCell ref="S14:T14"/>
    <mergeCell ref="S15:T15"/>
    <mergeCell ref="G14:H14"/>
    <mergeCell ref="G15:H15"/>
    <mergeCell ref="M14:N14"/>
    <mergeCell ref="M15:N15"/>
    <mergeCell ref="I14:L14"/>
    <mergeCell ref="I15:L15"/>
    <mergeCell ref="I16:K16"/>
    <mergeCell ref="O14:R14"/>
    <mergeCell ref="O15:R15"/>
    <mergeCell ref="O16:Q16"/>
    <mergeCell ref="A14:B14"/>
    <mergeCell ref="AA14:AD14"/>
    <mergeCell ref="S12:AD12"/>
    <mergeCell ref="AE12:AJ12"/>
    <mergeCell ref="BC9:BT11"/>
    <mergeCell ref="BO15:BP15"/>
    <mergeCell ref="BQ15:BT15"/>
    <mergeCell ref="BQ14:BT14"/>
    <mergeCell ref="Y14:Z14"/>
    <mergeCell ref="BW6:CB6"/>
    <mergeCell ref="CF6:CL6"/>
    <mergeCell ref="BW7:CB7"/>
    <mergeCell ref="BU9:CL11"/>
    <mergeCell ref="BE14:BH14"/>
    <mergeCell ref="BI14:BJ14"/>
    <mergeCell ref="BK14:BN14"/>
    <mergeCell ref="BU14:BV14"/>
    <mergeCell ref="BW14:BZ14"/>
    <mergeCell ref="AG15:AJ15"/>
    <mergeCell ref="AK15:AL15"/>
    <mergeCell ref="AM15:AP15"/>
    <mergeCell ref="AQ15:AR15"/>
    <mergeCell ref="AS15:AV15"/>
    <mergeCell ref="AG14:AJ14"/>
    <mergeCell ref="AK14:AL14"/>
    <mergeCell ref="AM14:AP14"/>
    <mergeCell ref="AQ14:AR14"/>
    <mergeCell ref="AS14:AV14"/>
    <mergeCell ref="AW15:AX15"/>
    <mergeCell ref="AY15:BB15"/>
    <mergeCell ref="BC15:BD15"/>
    <mergeCell ref="BE15:BH15"/>
    <mergeCell ref="BI15:BJ15"/>
    <mergeCell ref="BK15:BN15"/>
    <mergeCell ref="BU15:BV15"/>
    <mergeCell ref="BW15:BZ15"/>
    <mergeCell ref="CA15:CB15"/>
    <mergeCell ref="CG15:CH15"/>
    <mergeCell ref="CI15:CL15"/>
    <mergeCell ref="CI16:CK16"/>
    <mergeCell ref="CM15:CN15"/>
    <mergeCell ref="CO15:CR15"/>
    <mergeCell ref="CO16:CQ16"/>
    <mergeCell ref="BW16:BY16"/>
    <mergeCell ref="CX6:DD6"/>
    <mergeCell ref="CO7:CT7"/>
    <mergeCell ref="CM9:DD11"/>
    <mergeCell ref="CM12:DD12"/>
    <mergeCell ref="CG14:CH14"/>
    <mergeCell ref="CI14:CL14"/>
    <mergeCell ref="CM14:CN14"/>
    <mergeCell ref="CO14:CR14"/>
    <mergeCell ref="CU15:CX15"/>
    <mergeCell ref="CU16:CW16"/>
    <mergeCell ref="CS15:CT15"/>
    <mergeCell ref="CC15:CF15"/>
    <mergeCell ref="CS14:CT14"/>
    <mergeCell ref="CU14:CX14"/>
    <mergeCell ref="CM6:CN6"/>
    <mergeCell ref="CO6:CT6"/>
    <mergeCell ref="BU12:CL12"/>
    <mergeCell ref="CA14:CB14"/>
    <mergeCell ref="CC14:CF14"/>
    <mergeCell ref="DY6:ED6"/>
    <mergeCell ref="BU6:BV6"/>
    <mergeCell ref="DM14:DP14"/>
    <mergeCell ref="EH6:EN6"/>
    <mergeCell ref="DY7:ED7"/>
    <mergeCell ref="DW9:EN11"/>
    <mergeCell ref="DW12:EN12"/>
    <mergeCell ref="DE6:DF6"/>
    <mergeCell ref="DG6:DL6"/>
    <mergeCell ref="DP6:DV6"/>
    <mergeCell ref="DG7:DL7"/>
    <mergeCell ref="DE9:DV11"/>
    <mergeCell ref="EO6:EP6"/>
    <mergeCell ref="EQ6:EV6"/>
    <mergeCell ref="EZ6:FF6"/>
    <mergeCell ref="EQ7:EV7"/>
    <mergeCell ref="EO9:FF11"/>
    <mergeCell ref="FM14:FN14"/>
    <mergeCell ref="FO14:FR14"/>
    <mergeCell ref="FM15:FN15"/>
    <mergeCell ref="FO15:FR15"/>
    <mergeCell ref="FG14:FH14"/>
    <mergeCell ref="FI14:FL14"/>
    <mergeCell ref="FG15:FH15"/>
    <mergeCell ref="EO12:ET12"/>
    <mergeCell ref="EU12:FF12"/>
    <mergeCell ref="FG12:FX12"/>
    <mergeCell ref="EO14:EP14"/>
    <mergeCell ref="EQ14:ET14"/>
    <mergeCell ref="EO15:EP15"/>
    <mergeCell ref="EQ15:ET15"/>
    <mergeCell ref="FA14:FB14"/>
    <mergeCell ref="FC14:FF14"/>
    <mergeCell ref="FA15:FB15"/>
    <mergeCell ref="FC15:FF15"/>
    <mergeCell ref="DG15:DJ15"/>
    <mergeCell ref="DG16:DI16"/>
    <mergeCell ref="CY14:CZ14"/>
    <mergeCell ref="DA14:DD14"/>
    <mergeCell ref="CY15:CZ15"/>
    <mergeCell ref="DA15:DD15"/>
    <mergeCell ref="DA16:DC16"/>
    <mergeCell ref="DE12:DV12"/>
    <mergeCell ref="DW6:DX6"/>
    <mergeCell ref="DG14:DJ14"/>
    <mergeCell ref="FY12:GD12"/>
    <mergeCell ref="GG14:GJ14"/>
    <mergeCell ref="FY6:FZ6"/>
    <mergeCell ref="GA6:GF6"/>
    <mergeCell ref="GJ6:GP6"/>
    <mergeCell ref="GA7:GF7"/>
    <mergeCell ref="FY9:GP11"/>
    <mergeCell ref="FG6:FH6"/>
    <mergeCell ref="FI6:FN6"/>
    <mergeCell ref="FR6:FX6"/>
    <mergeCell ref="FI7:FN7"/>
    <mergeCell ref="FG9:FX11"/>
    <mergeCell ref="FY14:FZ14"/>
  </mergeCells>
  <pageMargins left="0.5" right="0.5" top="0.5" bottom="0.5" header="0.5" footer="0.5"/>
  <pageSetup paperSize="3" scale="70" orientation="portrait" r:id="rId1"/>
  <headerFooter alignWithMargins="0">
    <oddHeader>&amp;C&amp;"-,Bold"&amp;20&amp;A</oddHeader>
    <oddFooter>&amp;L&amp;"Arial,Italic"&amp;8aq-f1-gi07s • 1/7/25&amp;C&amp;"Arial,Italic"&amp;8•  www.pca.state.mn.us  •  Available in alternative formats  •  651-296-6300  •  800-657-3864  •  Use your preferred relay service&amp;R&amp;"Arial,Italic"&amp;8Page &amp;P of &amp;N</oddFooter>
  </headerFooter>
  <rowBreaks count="1" manualBreakCount="1">
    <brk id="125" max="17" man="1"/>
  </rowBreaks>
  <colBreaks count="1" manualBreakCount="1">
    <brk id="18" max="49"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7049D-0959-407E-8297-DCA80A3551FE}">
  <sheetPr codeName="Sheet21"/>
  <dimension ref="A1:GJ131"/>
  <sheetViews>
    <sheetView zoomScaleNormal="100" workbookViewId="0">
      <pane xSplit="1" topLeftCell="B1" activePane="topRight" state="frozen"/>
      <selection activeCell="R33" sqref="Q33:R33"/>
      <selection pane="topRight" activeCell="R33" sqref="Q33:R33"/>
    </sheetView>
  </sheetViews>
  <sheetFormatPr defaultColWidth="9.1796875" defaultRowHeight="14.5"/>
  <cols>
    <col min="1" max="1" width="48" style="61" bestFit="1" customWidth="1"/>
    <col min="2" max="2" width="20.1796875" style="61" bestFit="1" customWidth="1"/>
    <col min="3" max="90" width="20.54296875" style="61" customWidth="1"/>
    <col min="91" max="16384" width="9.1796875" style="61"/>
  </cols>
  <sheetData>
    <row r="1" spans="1:86" s="130" customFormat="1" ht="19" thickBot="1">
      <c r="A1" s="60" t="s">
        <v>458</v>
      </c>
      <c r="B1" s="1646" t="s">
        <v>459</v>
      </c>
      <c r="C1" s="1647"/>
      <c r="D1" s="1647"/>
      <c r="E1" s="1647"/>
      <c r="F1" s="1647"/>
      <c r="G1" s="1647"/>
      <c r="H1" s="1647"/>
      <c r="I1" s="1647"/>
      <c r="J1" s="1647"/>
      <c r="K1" s="1647"/>
      <c r="L1" s="1647"/>
      <c r="M1" s="1647"/>
      <c r="N1" s="1647"/>
      <c r="O1" s="1647"/>
      <c r="P1" s="1647"/>
      <c r="Q1" s="1647"/>
      <c r="R1" s="1647"/>
      <c r="S1" s="1647"/>
      <c r="T1" s="1647"/>
      <c r="U1" s="1647"/>
      <c r="V1" s="1647"/>
      <c r="W1" s="1647"/>
      <c r="X1" s="1647"/>
      <c r="Y1" s="1647"/>
      <c r="Z1" s="1647"/>
      <c r="AA1" s="1647"/>
      <c r="AB1" s="1647"/>
      <c r="AC1" s="1647"/>
      <c r="AD1" s="1647"/>
      <c r="AE1" s="1647"/>
      <c r="AF1" s="1647"/>
      <c r="AG1" s="1647"/>
      <c r="AH1" s="1647"/>
      <c r="AI1" s="1647"/>
      <c r="AJ1" s="1647"/>
      <c r="AK1" s="1647"/>
      <c r="AL1" s="1648"/>
      <c r="AM1" s="1649" t="s">
        <v>460</v>
      </c>
      <c r="AN1" s="1650"/>
      <c r="AO1" s="1650"/>
      <c r="AP1" s="1651"/>
      <c r="AQ1" s="1652" t="s">
        <v>461</v>
      </c>
      <c r="AR1" s="1653"/>
      <c r="AS1" s="1653"/>
      <c r="AT1" s="1653"/>
      <c r="AU1" s="1653"/>
      <c r="AV1" s="1653"/>
      <c r="AW1" s="1653"/>
      <c r="AX1" s="1653"/>
      <c r="AY1" s="1653"/>
      <c r="AZ1" s="1653"/>
      <c r="BA1" s="1653"/>
      <c r="BB1" s="1653"/>
      <c r="BC1" s="1653"/>
      <c r="BD1" s="1653"/>
      <c r="BE1" s="1653"/>
      <c r="BF1" s="1646" t="s">
        <v>462</v>
      </c>
      <c r="BG1" s="1647"/>
      <c r="BH1" s="1647"/>
      <c r="BI1" s="1647"/>
      <c r="BJ1" s="1647"/>
      <c r="BK1" s="1647"/>
      <c r="BL1" s="1647"/>
      <c r="BM1" s="1647"/>
      <c r="BN1" s="1647"/>
      <c r="BO1" s="1648"/>
      <c r="BP1" s="1646" t="s">
        <v>463</v>
      </c>
      <c r="BQ1" s="1647"/>
      <c r="BR1" s="1647"/>
      <c r="BS1" s="1648"/>
      <c r="BT1" s="1644" t="s">
        <v>464</v>
      </c>
      <c r="BU1" s="1645"/>
      <c r="BV1" s="1645"/>
      <c r="BW1" s="1645"/>
      <c r="BX1" s="1645"/>
      <c r="BY1" s="1645"/>
      <c r="BZ1" s="1645"/>
      <c r="CA1" s="1645"/>
      <c r="CB1" s="1645"/>
      <c r="CC1" s="1645"/>
      <c r="CD1" s="1645"/>
      <c r="CE1" s="1645"/>
      <c r="CF1" s="1645"/>
      <c r="CG1" s="1645"/>
      <c r="CH1" s="1645"/>
    </row>
    <row r="2" spans="1:86" s="146" customFormat="1" ht="47.5" thickBot="1">
      <c r="A2" s="131"/>
      <c r="B2" s="132" t="s">
        <v>465</v>
      </c>
      <c r="C2" s="133" t="s">
        <v>466</v>
      </c>
      <c r="D2" s="133" t="s">
        <v>467</v>
      </c>
      <c r="E2" s="133" t="s">
        <v>468</v>
      </c>
      <c r="F2" s="133" t="s">
        <v>469</v>
      </c>
      <c r="G2" s="133" t="s">
        <v>470</v>
      </c>
      <c r="H2" s="133" t="s">
        <v>471</v>
      </c>
      <c r="I2" s="133" t="s">
        <v>472</v>
      </c>
      <c r="J2" s="133" t="s">
        <v>473</v>
      </c>
      <c r="K2" s="133" t="s">
        <v>474</v>
      </c>
      <c r="L2" s="133" t="s">
        <v>475</v>
      </c>
      <c r="M2" s="133" t="s">
        <v>476</v>
      </c>
      <c r="N2" s="133" t="s">
        <v>477</v>
      </c>
      <c r="O2" s="133" t="s">
        <v>478</v>
      </c>
      <c r="P2" s="133" t="s">
        <v>479</v>
      </c>
      <c r="Q2" s="133" t="s">
        <v>480</v>
      </c>
      <c r="R2" s="133" t="s">
        <v>481</v>
      </c>
      <c r="S2" s="134" t="s">
        <v>482</v>
      </c>
      <c r="T2" s="134" t="s">
        <v>483</v>
      </c>
      <c r="U2" s="134" t="s">
        <v>484</v>
      </c>
      <c r="V2" s="134" t="s">
        <v>485</v>
      </c>
      <c r="W2" s="134" t="s">
        <v>486</v>
      </c>
      <c r="X2" s="134" t="s">
        <v>487</v>
      </c>
      <c r="Y2" s="134" t="s">
        <v>488</v>
      </c>
      <c r="Z2" s="134" t="s">
        <v>489</v>
      </c>
      <c r="AA2" s="134" t="s">
        <v>490</v>
      </c>
      <c r="AB2" s="134" t="s">
        <v>491</v>
      </c>
      <c r="AC2" s="134" t="s">
        <v>492</v>
      </c>
      <c r="AD2" s="134" t="s">
        <v>493</v>
      </c>
      <c r="AE2" s="134" t="s">
        <v>494</v>
      </c>
      <c r="AF2" s="134" t="s">
        <v>495</v>
      </c>
      <c r="AG2" s="134" t="s">
        <v>496</v>
      </c>
      <c r="AH2" s="134" t="s">
        <v>497</v>
      </c>
      <c r="AI2" s="134" t="s">
        <v>498</v>
      </c>
      <c r="AJ2" s="134" t="s">
        <v>499</v>
      </c>
      <c r="AK2" s="135" t="s">
        <v>500</v>
      </c>
      <c r="AL2" s="136" t="s">
        <v>501</v>
      </c>
      <c r="AM2" s="137" t="s">
        <v>502</v>
      </c>
      <c r="AN2" s="137" t="s">
        <v>503</v>
      </c>
      <c r="AO2" s="137" t="s">
        <v>504</v>
      </c>
      <c r="AP2" s="138" t="s">
        <v>505</v>
      </c>
      <c r="AQ2" s="132" t="s">
        <v>506</v>
      </c>
      <c r="AR2" s="133" t="s">
        <v>507</v>
      </c>
      <c r="AS2" s="133" t="s">
        <v>508</v>
      </c>
      <c r="AT2" s="133" t="s">
        <v>509</v>
      </c>
      <c r="AU2" s="133" t="s">
        <v>510</v>
      </c>
      <c r="AV2" s="133" t="s">
        <v>511</v>
      </c>
      <c r="AW2" s="133" t="s">
        <v>512</v>
      </c>
      <c r="AX2" s="133" t="s">
        <v>513</v>
      </c>
      <c r="AY2" s="133" t="s">
        <v>514</v>
      </c>
      <c r="AZ2" s="133" t="s">
        <v>515</v>
      </c>
      <c r="BA2" s="133" t="s">
        <v>516</v>
      </c>
      <c r="BB2" s="133" t="s">
        <v>517</v>
      </c>
      <c r="BC2" s="133" t="s">
        <v>518</v>
      </c>
      <c r="BD2" s="133" t="s">
        <v>519</v>
      </c>
      <c r="BE2" s="139" t="s">
        <v>520</v>
      </c>
      <c r="BF2" s="140" t="s">
        <v>286</v>
      </c>
      <c r="BG2" s="141" t="s">
        <v>287</v>
      </c>
      <c r="BH2" s="141" t="s">
        <v>288</v>
      </c>
      <c r="BI2" s="141" t="s">
        <v>289</v>
      </c>
      <c r="BJ2" s="141" t="s">
        <v>69</v>
      </c>
      <c r="BK2" s="141" t="s">
        <v>290</v>
      </c>
      <c r="BL2" s="141" t="s">
        <v>291</v>
      </c>
      <c r="BM2" s="141" t="s">
        <v>292</v>
      </c>
      <c r="BN2" s="141" t="s">
        <v>293</v>
      </c>
      <c r="BO2" s="142" t="s">
        <v>294</v>
      </c>
      <c r="BP2" s="143" t="s">
        <v>521</v>
      </c>
      <c r="BQ2" s="133" t="s">
        <v>522</v>
      </c>
      <c r="BR2" s="133" t="s">
        <v>523</v>
      </c>
      <c r="BS2" s="139" t="s">
        <v>524</v>
      </c>
      <c r="BT2" s="144" t="s">
        <v>525</v>
      </c>
      <c r="BU2" s="144" t="s">
        <v>526</v>
      </c>
      <c r="BV2" s="144" t="s">
        <v>527</v>
      </c>
      <c r="BW2" s="144" t="s">
        <v>528</v>
      </c>
      <c r="BX2" s="144" t="s">
        <v>529</v>
      </c>
      <c r="BY2" s="144" t="s">
        <v>530</v>
      </c>
      <c r="BZ2" s="144" t="s">
        <v>531</v>
      </c>
      <c r="CA2" s="144" t="s">
        <v>532</v>
      </c>
      <c r="CB2" s="144" t="s">
        <v>533</v>
      </c>
      <c r="CC2" s="144" t="s">
        <v>534</v>
      </c>
      <c r="CD2" s="144" t="s">
        <v>535</v>
      </c>
      <c r="CE2" s="144" t="s">
        <v>536</v>
      </c>
      <c r="CF2" s="144" t="s">
        <v>537</v>
      </c>
      <c r="CG2" s="144" t="s">
        <v>538</v>
      </c>
      <c r="CH2" s="145" t="s">
        <v>539</v>
      </c>
    </row>
    <row r="3" spans="1:86">
      <c r="A3" s="147" t="s">
        <v>540</v>
      </c>
      <c r="B3" s="148" t="s">
        <v>258</v>
      </c>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50"/>
      <c r="AM3" s="151" t="s">
        <v>258</v>
      </c>
      <c r="AN3" s="151"/>
      <c r="AO3" s="151"/>
      <c r="AP3" s="150"/>
      <c r="AQ3" s="149" t="s">
        <v>541</v>
      </c>
      <c r="AR3" s="149"/>
      <c r="AS3" s="149"/>
      <c r="AT3" s="149"/>
      <c r="AU3" s="149"/>
      <c r="AV3" s="149"/>
      <c r="AW3" s="149"/>
      <c r="AX3" s="149"/>
      <c r="AY3" s="149"/>
      <c r="AZ3" s="149"/>
      <c r="BA3" s="149"/>
      <c r="BB3" s="149"/>
      <c r="BC3" s="149"/>
      <c r="BD3" s="149"/>
      <c r="BE3" s="150"/>
      <c r="BF3" s="149" t="s">
        <v>542</v>
      </c>
      <c r="BG3" s="149"/>
      <c r="BH3" s="149"/>
      <c r="BI3" s="149"/>
      <c r="BJ3" s="149"/>
      <c r="BK3" s="149"/>
      <c r="BL3" s="149"/>
      <c r="BM3" s="149"/>
      <c r="BN3" s="149"/>
      <c r="BO3" s="150"/>
      <c r="BP3" s="149" t="s">
        <v>543</v>
      </c>
      <c r="BQ3" s="149"/>
      <c r="BR3" s="149"/>
      <c r="BS3" s="149"/>
      <c r="BT3" s="148" t="s">
        <v>406</v>
      </c>
      <c r="BU3" s="149"/>
      <c r="BV3" s="149"/>
      <c r="BW3" s="149"/>
      <c r="BX3" s="149"/>
      <c r="BY3" s="149"/>
      <c r="BZ3" s="149"/>
      <c r="CA3" s="149"/>
      <c r="CB3" s="149"/>
      <c r="CC3" s="149"/>
      <c r="CD3" s="149"/>
      <c r="CE3" s="149"/>
      <c r="CF3" s="149"/>
      <c r="CG3" s="149"/>
      <c r="CH3" s="152"/>
    </row>
    <row r="4" spans="1:86" s="162" customFormat="1">
      <c r="A4" s="153" t="s">
        <v>19</v>
      </c>
      <c r="B4" s="154">
        <v>10</v>
      </c>
      <c r="C4" s="155">
        <v>10</v>
      </c>
      <c r="D4" s="155">
        <v>10</v>
      </c>
      <c r="E4" s="155">
        <v>10</v>
      </c>
      <c r="F4" s="155">
        <v>10</v>
      </c>
      <c r="G4" s="155">
        <v>10</v>
      </c>
      <c r="H4" s="155">
        <v>10</v>
      </c>
      <c r="I4" s="155">
        <v>10</v>
      </c>
      <c r="J4" s="155">
        <v>10</v>
      </c>
      <c r="K4" s="155">
        <v>10</v>
      </c>
      <c r="L4" s="155">
        <v>10</v>
      </c>
      <c r="M4" s="155">
        <v>10</v>
      </c>
      <c r="N4" s="155">
        <v>7</v>
      </c>
      <c r="O4" s="155">
        <v>7</v>
      </c>
      <c r="P4" s="155">
        <v>7</v>
      </c>
      <c r="Q4" s="155">
        <v>2</v>
      </c>
      <c r="R4" s="155">
        <v>2</v>
      </c>
      <c r="S4" s="151">
        <v>66</v>
      </c>
      <c r="T4" s="156">
        <v>17</v>
      </c>
      <c r="U4" s="156">
        <v>12</v>
      </c>
      <c r="V4" s="151">
        <v>66</v>
      </c>
      <c r="W4" s="157">
        <v>17</v>
      </c>
      <c r="X4" s="157">
        <v>12</v>
      </c>
      <c r="Y4" s="156">
        <v>16</v>
      </c>
      <c r="Z4" s="156">
        <v>9</v>
      </c>
      <c r="AA4" s="156">
        <v>16</v>
      </c>
      <c r="AB4" s="156">
        <v>9</v>
      </c>
      <c r="AC4" s="151">
        <v>15</v>
      </c>
      <c r="AD4" s="151">
        <v>11</v>
      </c>
      <c r="AE4" s="151">
        <v>15</v>
      </c>
      <c r="AF4" s="151">
        <v>11</v>
      </c>
      <c r="AG4" s="151">
        <v>15</v>
      </c>
      <c r="AH4" s="151">
        <v>15</v>
      </c>
      <c r="AI4" s="151">
        <v>17</v>
      </c>
      <c r="AJ4" s="151">
        <v>17</v>
      </c>
      <c r="AK4" s="151">
        <v>17</v>
      </c>
      <c r="AL4" s="158">
        <v>17</v>
      </c>
      <c r="AM4" s="151">
        <v>10</v>
      </c>
      <c r="AN4" s="151">
        <v>10</v>
      </c>
      <c r="AO4" s="151">
        <v>10</v>
      </c>
      <c r="AP4" s="158">
        <v>10</v>
      </c>
      <c r="AQ4" s="151">
        <v>8.3000000000000007</v>
      </c>
      <c r="AR4" s="151">
        <v>8.3000000000000007</v>
      </c>
      <c r="AS4" s="151">
        <v>8.3000000000000007</v>
      </c>
      <c r="AT4" s="151">
        <v>8.3000000000000007</v>
      </c>
      <c r="AU4" s="151">
        <v>8.3000000000000007</v>
      </c>
      <c r="AV4" s="151">
        <v>8.3000000000000007</v>
      </c>
      <c r="AW4" s="151">
        <v>8.3000000000000007</v>
      </c>
      <c r="AX4" s="151">
        <v>8.3000000000000007</v>
      </c>
      <c r="AY4" s="159">
        <v>2</v>
      </c>
      <c r="AZ4" s="159">
        <v>2</v>
      </c>
      <c r="BA4" s="151">
        <v>8.34</v>
      </c>
      <c r="BB4" s="151">
        <v>8.34</v>
      </c>
      <c r="BC4" s="151">
        <v>8.34</v>
      </c>
      <c r="BD4" s="159">
        <v>2</v>
      </c>
      <c r="BE4" s="158">
        <v>0.4</v>
      </c>
      <c r="BF4" s="151">
        <v>7.6</v>
      </c>
      <c r="BG4" s="151">
        <v>7.6</v>
      </c>
      <c r="BH4" s="151">
        <v>7.6</v>
      </c>
      <c r="BI4" s="151">
        <v>7.6</v>
      </c>
      <c r="BJ4" s="151">
        <v>7.6</v>
      </c>
      <c r="BK4" s="151">
        <v>7.6</v>
      </c>
      <c r="BL4" s="151">
        <v>7.6</v>
      </c>
      <c r="BM4" s="151">
        <v>7.6</v>
      </c>
      <c r="BN4" s="151">
        <v>7.6</v>
      </c>
      <c r="BO4" s="158">
        <v>7.6</v>
      </c>
      <c r="BP4" s="151">
        <v>0.8</v>
      </c>
      <c r="BQ4" s="151">
        <v>0.8</v>
      </c>
      <c r="BR4" s="151">
        <v>0.7</v>
      </c>
      <c r="BS4" s="151">
        <v>0.7</v>
      </c>
      <c r="BT4" s="160">
        <v>0.56000000000000005</v>
      </c>
      <c r="BU4" s="159">
        <v>0.4</v>
      </c>
      <c r="BV4" s="151">
        <v>0.33</v>
      </c>
      <c r="BW4" s="151">
        <v>0.54</v>
      </c>
      <c r="BX4" s="151">
        <v>0.35</v>
      </c>
      <c r="BY4" s="159">
        <v>0.3</v>
      </c>
      <c r="BZ4" s="151">
        <v>0.22</v>
      </c>
      <c r="CA4" s="151">
        <v>0.1</v>
      </c>
      <c r="CB4" s="151">
        <v>0.1</v>
      </c>
      <c r="CC4" s="151">
        <v>6.6000000000000003E-2</v>
      </c>
      <c r="CD4" s="151">
        <v>6.6000000000000003E-2</v>
      </c>
      <c r="CE4" s="151">
        <v>0.1</v>
      </c>
      <c r="CF4" s="151">
        <v>0.1</v>
      </c>
      <c r="CG4" s="151">
        <v>5.3999999999999999E-2</v>
      </c>
      <c r="CH4" s="161">
        <v>5.3999999999999999E-2</v>
      </c>
    </row>
    <row r="5" spans="1:86" s="162" customFormat="1">
      <c r="A5" s="153" t="s">
        <v>77</v>
      </c>
      <c r="B5" s="154">
        <v>2.2999999999999998</v>
      </c>
      <c r="C5" s="155">
        <v>2.2999999999999998</v>
      </c>
      <c r="D5" s="155">
        <v>2.2999999999999998</v>
      </c>
      <c r="E5" s="155">
        <v>2.2999999999999998</v>
      </c>
      <c r="F5" s="155">
        <v>2.2999999999999998</v>
      </c>
      <c r="G5" s="155">
        <v>2.2999999999999998</v>
      </c>
      <c r="H5" s="155">
        <v>2.2999999999999998</v>
      </c>
      <c r="I5" s="155">
        <v>2.2999999999999998</v>
      </c>
      <c r="J5" s="155">
        <v>2.2999999999999998</v>
      </c>
      <c r="K5" s="155">
        <v>2.2999999999999998</v>
      </c>
      <c r="L5" s="155">
        <v>2.2999999999999998</v>
      </c>
      <c r="M5" s="155">
        <v>2.2999999999999998</v>
      </c>
      <c r="N5" s="155">
        <v>2.6</v>
      </c>
      <c r="O5" s="155">
        <v>2.6</v>
      </c>
      <c r="P5" s="155">
        <v>2.6</v>
      </c>
      <c r="Q5" s="155">
        <v>0.26</v>
      </c>
      <c r="R5" s="155">
        <v>0.26</v>
      </c>
      <c r="S5" s="151">
        <v>13.2</v>
      </c>
      <c r="T5" s="151">
        <v>12</v>
      </c>
      <c r="U5" s="151">
        <v>7.8</v>
      </c>
      <c r="V5" s="151">
        <v>13.2</v>
      </c>
      <c r="W5" s="151">
        <v>12.4</v>
      </c>
      <c r="X5" s="151">
        <v>7.8</v>
      </c>
      <c r="Y5" s="163">
        <v>6</v>
      </c>
      <c r="Z5" s="163">
        <v>5</v>
      </c>
      <c r="AA5" s="163">
        <v>6</v>
      </c>
      <c r="AB5" s="163">
        <v>5</v>
      </c>
      <c r="AC5" s="151">
        <v>6.2</v>
      </c>
      <c r="AD5" s="163">
        <v>6.2</v>
      </c>
      <c r="AE5" s="151">
        <v>6.2</v>
      </c>
      <c r="AF5" s="163">
        <v>6.2</v>
      </c>
      <c r="AG5" s="151">
        <v>6.2</v>
      </c>
      <c r="AH5" s="151">
        <v>6.2</v>
      </c>
      <c r="AI5" s="151">
        <v>12.4</v>
      </c>
      <c r="AJ5" s="151">
        <v>12.4</v>
      </c>
      <c r="AK5" s="151">
        <v>12.4</v>
      </c>
      <c r="AL5" s="158">
        <v>12.4</v>
      </c>
      <c r="AM5" s="151">
        <v>2.2999999999999998</v>
      </c>
      <c r="AN5" s="151">
        <v>2.2999999999999998</v>
      </c>
      <c r="AO5" s="151">
        <v>2.2999999999999998</v>
      </c>
      <c r="AP5" s="158">
        <v>2.2999999999999998</v>
      </c>
      <c r="AQ5" s="151">
        <v>5.9</v>
      </c>
      <c r="AR5" s="151">
        <v>5.9</v>
      </c>
      <c r="AS5" s="151">
        <v>5.9</v>
      </c>
      <c r="AT5" s="151">
        <v>5.9</v>
      </c>
      <c r="AU5" s="151">
        <v>5.9</v>
      </c>
      <c r="AV5" s="151">
        <v>5.9</v>
      </c>
      <c r="AW5" s="151">
        <v>5.9</v>
      </c>
      <c r="AX5" s="151">
        <v>5.9</v>
      </c>
      <c r="AY5" s="159">
        <v>1</v>
      </c>
      <c r="AZ5" s="159">
        <v>1</v>
      </c>
      <c r="BA5" s="151">
        <v>5.17</v>
      </c>
      <c r="BB5" s="151">
        <v>5.17</v>
      </c>
      <c r="BC5" s="151">
        <v>5.17</v>
      </c>
      <c r="BD5" s="159">
        <v>1</v>
      </c>
      <c r="BE5" s="158">
        <v>0.4</v>
      </c>
      <c r="BF5" s="151">
        <v>7.6</v>
      </c>
      <c r="BG5" s="151">
        <v>7.6</v>
      </c>
      <c r="BH5" s="151">
        <v>7.6</v>
      </c>
      <c r="BI5" s="151">
        <v>7.6</v>
      </c>
      <c r="BJ5" s="151">
        <v>7.6</v>
      </c>
      <c r="BK5" s="151">
        <v>7.6</v>
      </c>
      <c r="BL5" s="151">
        <v>7.6</v>
      </c>
      <c r="BM5" s="151">
        <v>7.6</v>
      </c>
      <c r="BN5" s="151">
        <v>7.6</v>
      </c>
      <c r="BO5" s="158">
        <v>7.6</v>
      </c>
      <c r="BP5" s="151">
        <v>0.8</v>
      </c>
      <c r="BQ5" s="151">
        <v>0.8</v>
      </c>
      <c r="BR5" s="151">
        <v>0.7</v>
      </c>
      <c r="BS5" s="151">
        <v>0.7</v>
      </c>
      <c r="BT5" s="164">
        <v>0.5</v>
      </c>
      <c r="BU5" s="151">
        <v>0.36</v>
      </c>
      <c r="BV5" s="151">
        <v>0.28999999999999998</v>
      </c>
      <c r="BW5" s="151">
        <v>0.49</v>
      </c>
      <c r="BX5" s="151">
        <v>0.32</v>
      </c>
      <c r="BY5" s="151">
        <v>0.27</v>
      </c>
      <c r="BZ5" s="159">
        <v>0.2</v>
      </c>
      <c r="CA5" s="151">
        <v>7.3999999999999996E-2</v>
      </c>
      <c r="CB5" s="151">
        <v>7.3999999999999996E-2</v>
      </c>
      <c r="CC5" s="151">
        <v>6.5000000000000002E-2</v>
      </c>
      <c r="CD5" s="151">
        <v>6.5000000000000002E-2</v>
      </c>
      <c r="CE5" s="151">
        <v>7.3999999999999996E-2</v>
      </c>
      <c r="CF5" s="151">
        <v>7.3999999999999996E-2</v>
      </c>
      <c r="CG5" s="151">
        <v>0.04</v>
      </c>
      <c r="CH5" s="161">
        <v>0.04</v>
      </c>
    </row>
    <row r="6" spans="1:86" s="162" customFormat="1">
      <c r="A6" s="153" t="s">
        <v>78</v>
      </c>
      <c r="B6" s="154">
        <v>0.6</v>
      </c>
      <c r="C6" s="155">
        <v>0.6</v>
      </c>
      <c r="D6" s="155">
        <v>0.6</v>
      </c>
      <c r="E6" s="155">
        <v>2.2999999999999998</v>
      </c>
      <c r="F6" s="155">
        <v>2.2999999999999998</v>
      </c>
      <c r="G6" s="155">
        <v>2.2999999999999998</v>
      </c>
      <c r="H6" s="155">
        <v>2.2999999999999998</v>
      </c>
      <c r="I6" s="155">
        <v>0.6</v>
      </c>
      <c r="J6" s="155">
        <v>0.6</v>
      </c>
      <c r="K6" s="155">
        <v>0.6</v>
      </c>
      <c r="L6" s="155">
        <v>2.2999999999999998</v>
      </c>
      <c r="M6" s="155">
        <v>2.2999999999999998</v>
      </c>
      <c r="N6" s="155">
        <v>1.48</v>
      </c>
      <c r="O6" s="155">
        <v>2.6</v>
      </c>
      <c r="P6" s="155">
        <v>2.6</v>
      </c>
      <c r="Q6" s="155">
        <v>0.11</v>
      </c>
      <c r="R6" s="151">
        <v>0.26</v>
      </c>
      <c r="S6" s="151">
        <v>4.5999999999999996</v>
      </c>
      <c r="T6" s="151">
        <v>1.4</v>
      </c>
      <c r="U6" s="151">
        <v>3.2</v>
      </c>
      <c r="V6" s="151">
        <v>4.5999999999999996</v>
      </c>
      <c r="W6" s="151">
        <v>12.4</v>
      </c>
      <c r="X6" s="151">
        <v>7.8</v>
      </c>
      <c r="Y6" s="151">
        <v>2.2000000000000002</v>
      </c>
      <c r="Z6" s="151">
        <v>3.8</v>
      </c>
      <c r="AA6" s="151">
        <v>2.2000000000000002</v>
      </c>
      <c r="AB6" s="156">
        <v>5</v>
      </c>
      <c r="AC6" s="151">
        <v>3.8</v>
      </c>
      <c r="AD6" s="151">
        <v>6.2</v>
      </c>
      <c r="AE6" s="151">
        <v>6.2</v>
      </c>
      <c r="AF6" s="151">
        <v>6.2</v>
      </c>
      <c r="AG6" s="151">
        <v>6.2</v>
      </c>
      <c r="AH6" s="151">
        <v>6.2</v>
      </c>
      <c r="AI6" s="151">
        <v>12.4</v>
      </c>
      <c r="AJ6" s="151">
        <v>12.4</v>
      </c>
      <c r="AK6" s="151">
        <v>12.4</v>
      </c>
      <c r="AL6" s="158">
        <v>12.4</v>
      </c>
      <c r="AM6" s="151">
        <v>0.6</v>
      </c>
      <c r="AN6" s="151">
        <v>0.6</v>
      </c>
      <c r="AO6" s="151">
        <v>0.6</v>
      </c>
      <c r="AP6" s="158">
        <v>0.6</v>
      </c>
      <c r="AQ6" s="151">
        <v>4.3</v>
      </c>
      <c r="AR6" s="151">
        <v>4.3</v>
      </c>
      <c r="AS6" s="151">
        <v>4.3</v>
      </c>
      <c r="AT6" s="151">
        <v>4.3</v>
      </c>
      <c r="AU6" s="151">
        <v>4.3</v>
      </c>
      <c r="AV6" s="151">
        <v>4.3</v>
      </c>
      <c r="AW6" s="151">
        <v>4.3</v>
      </c>
      <c r="AX6" s="151">
        <v>4.3</v>
      </c>
      <c r="AY6" s="151">
        <v>0.25</v>
      </c>
      <c r="AZ6" s="151">
        <v>0.25</v>
      </c>
      <c r="BA6" s="151">
        <v>1.92</v>
      </c>
      <c r="BB6" s="151">
        <v>1.92</v>
      </c>
      <c r="BC6" s="151">
        <v>1.92</v>
      </c>
      <c r="BD6" s="151">
        <v>0.25</v>
      </c>
      <c r="BE6" s="158">
        <v>0.4</v>
      </c>
      <c r="BF6" s="151">
        <v>7.6</v>
      </c>
      <c r="BG6" s="151">
        <v>7.6</v>
      </c>
      <c r="BH6" s="151">
        <v>7.6</v>
      </c>
      <c r="BI6" s="151">
        <v>7.6</v>
      </c>
      <c r="BJ6" s="151">
        <v>7.6</v>
      </c>
      <c r="BK6" s="151">
        <v>7.6</v>
      </c>
      <c r="BL6" s="151">
        <v>7.6</v>
      </c>
      <c r="BM6" s="151">
        <v>7.6</v>
      </c>
      <c r="BN6" s="151">
        <v>7.6</v>
      </c>
      <c r="BO6" s="158">
        <v>7.6</v>
      </c>
      <c r="BP6" s="151">
        <v>0.8</v>
      </c>
      <c r="BQ6" s="151">
        <v>0.8</v>
      </c>
      <c r="BR6" s="151">
        <v>0.7</v>
      </c>
      <c r="BS6" s="151">
        <v>0.7</v>
      </c>
      <c r="BT6" s="160">
        <v>0.43</v>
      </c>
      <c r="BU6" s="151">
        <v>0.31</v>
      </c>
      <c r="BV6" s="151">
        <v>0.25</v>
      </c>
      <c r="BW6" s="151">
        <v>0.28999999999999998</v>
      </c>
      <c r="BX6" s="151">
        <v>0.19</v>
      </c>
      <c r="BY6" s="151">
        <v>0.16</v>
      </c>
      <c r="BZ6" s="151">
        <v>0.12</v>
      </c>
      <c r="CA6" s="151">
        <v>6.5000000000000002E-2</v>
      </c>
      <c r="CB6" s="151">
        <v>6.5000000000000002E-2</v>
      </c>
      <c r="CC6" s="151">
        <v>6.5000000000000002E-2</v>
      </c>
      <c r="CD6" s="151">
        <v>6.5000000000000002E-2</v>
      </c>
      <c r="CE6" s="151">
        <v>6.5000000000000002E-2</v>
      </c>
      <c r="CF6" s="151">
        <v>6.5000000000000002E-2</v>
      </c>
      <c r="CG6" s="151">
        <v>3.5000000000000003E-2</v>
      </c>
      <c r="CH6" s="161">
        <v>3.5000000000000003E-2</v>
      </c>
    </row>
    <row r="7" spans="1:86">
      <c r="A7" s="153" t="s">
        <v>79</v>
      </c>
      <c r="B7" s="160">
        <v>22</v>
      </c>
      <c r="C7" s="151">
        <v>11</v>
      </c>
      <c r="D7" s="151">
        <v>12</v>
      </c>
      <c r="E7" s="151">
        <v>12</v>
      </c>
      <c r="F7" s="151">
        <v>7.4</v>
      </c>
      <c r="G7" s="151">
        <v>31</v>
      </c>
      <c r="H7" s="151">
        <v>14</v>
      </c>
      <c r="I7" s="151">
        <v>15</v>
      </c>
      <c r="J7" s="151">
        <v>9.6999999999999993</v>
      </c>
      <c r="K7" s="151">
        <v>10</v>
      </c>
      <c r="L7" s="151">
        <v>8.4</v>
      </c>
      <c r="M7" s="151">
        <v>7.2</v>
      </c>
      <c r="N7" s="151">
        <v>31</v>
      </c>
      <c r="O7" s="151">
        <v>14</v>
      </c>
      <c r="P7" s="151">
        <v>24</v>
      </c>
      <c r="Q7" s="151">
        <v>33</v>
      </c>
      <c r="R7" s="151">
        <v>17</v>
      </c>
      <c r="S7" s="151">
        <v>11</v>
      </c>
      <c r="T7" s="151">
        <v>11</v>
      </c>
      <c r="U7" s="151">
        <v>11</v>
      </c>
      <c r="V7" s="151">
        <v>8.8000000000000007</v>
      </c>
      <c r="W7" s="151">
        <v>8.8000000000000007</v>
      </c>
      <c r="X7" s="151">
        <v>8.8000000000000007</v>
      </c>
      <c r="Y7" s="151">
        <v>7.5</v>
      </c>
      <c r="Z7" s="151">
        <v>7.5</v>
      </c>
      <c r="AA7" s="151">
        <v>7.5</v>
      </c>
      <c r="AB7" s="151">
        <v>7.5</v>
      </c>
      <c r="AC7" s="151">
        <v>9.5</v>
      </c>
      <c r="AD7" s="151">
        <v>9.5</v>
      </c>
      <c r="AE7" s="151">
        <v>9.5</v>
      </c>
      <c r="AF7" s="151">
        <v>9.5</v>
      </c>
      <c r="AG7" s="151">
        <v>9.1</v>
      </c>
      <c r="AH7" s="151">
        <v>9.1</v>
      </c>
      <c r="AI7" s="156">
        <v>5</v>
      </c>
      <c r="AJ7" s="156">
        <v>5</v>
      </c>
      <c r="AK7" s="151">
        <v>15.2</v>
      </c>
      <c r="AL7" s="158">
        <v>15.2</v>
      </c>
      <c r="AM7" s="156">
        <v>9</v>
      </c>
      <c r="AN7" s="151">
        <v>1.8</v>
      </c>
      <c r="AO7" s="151">
        <v>18</v>
      </c>
      <c r="AP7" s="158">
        <v>3</v>
      </c>
      <c r="AQ7" s="151">
        <v>47</v>
      </c>
      <c r="AR7" s="151">
        <v>40</v>
      </c>
      <c r="AS7" s="151">
        <v>32</v>
      </c>
      <c r="AT7" s="151">
        <v>26</v>
      </c>
      <c r="AU7" s="151">
        <v>47</v>
      </c>
      <c r="AV7" s="151">
        <v>32</v>
      </c>
      <c r="AW7" s="151">
        <v>47</v>
      </c>
      <c r="AX7" s="151">
        <v>32</v>
      </c>
      <c r="AY7" s="151">
        <v>24</v>
      </c>
      <c r="AZ7" s="151">
        <v>10</v>
      </c>
      <c r="BA7" s="151">
        <v>55</v>
      </c>
      <c r="BB7" s="151">
        <v>55</v>
      </c>
      <c r="BC7" s="151">
        <v>20</v>
      </c>
      <c r="BD7" s="151">
        <v>20</v>
      </c>
      <c r="BE7" s="158">
        <v>18</v>
      </c>
      <c r="BF7" s="151">
        <v>280</v>
      </c>
      <c r="BG7" s="151">
        <v>190</v>
      </c>
      <c r="BH7" s="151">
        <v>140</v>
      </c>
      <c r="BI7" s="151">
        <v>100</v>
      </c>
      <c r="BJ7" s="151">
        <v>100</v>
      </c>
      <c r="BK7" s="151">
        <v>50</v>
      </c>
      <c r="BL7" s="151">
        <v>32</v>
      </c>
      <c r="BM7" s="151">
        <v>170</v>
      </c>
      <c r="BN7" s="151">
        <v>76</v>
      </c>
      <c r="BO7" s="158">
        <v>94</v>
      </c>
      <c r="BP7" s="151">
        <v>15</v>
      </c>
      <c r="BQ7" s="151">
        <v>15</v>
      </c>
      <c r="BR7" s="151">
        <v>13</v>
      </c>
      <c r="BS7" s="151">
        <v>13</v>
      </c>
      <c r="BT7" s="160">
        <v>0.22</v>
      </c>
      <c r="BU7" s="151">
        <v>0.49</v>
      </c>
      <c r="BV7" s="151">
        <v>0.22</v>
      </c>
      <c r="BW7" s="151">
        <v>0.22</v>
      </c>
      <c r="BX7" s="151">
        <v>0.22</v>
      </c>
      <c r="BY7" s="151">
        <v>0.49</v>
      </c>
      <c r="BZ7" s="151">
        <v>0.22</v>
      </c>
      <c r="CA7" s="151">
        <v>0.22</v>
      </c>
      <c r="CB7" s="151">
        <v>0.49</v>
      </c>
      <c r="CC7" s="151">
        <v>0.22</v>
      </c>
      <c r="CD7" s="151">
        <v>0.49</v>
      </c>
      <c r="CE7" s="151">
        <v>0.22</v>
      </c>
      <c r="CF7" s="151">
        <v>0.49</v>
      </c>
      <c r="CG7" s="151">
        <v>0.22</v>
      </c>
      <c r="CH7" s="161">
        <v>0.49</v>
      </c>
    </row>
    <row r="8" spans="1:86">
      <c r="A8" s="153" t="s">
        <v>80</v>
      </c>
      <c r="B8" s="160">
        <v>0.5</v>
      </c>
      <c r="C8" s="151">
        <v>0.5</v>
      </c>
      <c r="D8" s="151">
        <v>0.5</v>
      </c>
      <c r="E8" s="151">
        <v>0.5</v>
      </c>
      <c r="F8" s="151">
        <v>0.5</v>
      </c>
      <c r="G8" s="151">
        <v>0.5</v>
      </c>
      <c r="H8" s="151">
        <v>0.5</v>
      </c>
      <c r="I8" s="151">
        <v>0.5</v>
      </c>
      <c r="J8" s="151">
        <v>0.5</v>
      </c>
      <c r="K8" s="151">
        <v>0.5</v>
      </c>
      <c r="L8" s="151">
        <v>0.5</v>
      </c>
      <c r="M8" s="151">
        <v>0.5</v>
      </c>
      <c r="N8" s="151">
        <v>0.5</v>
      </c>
      <c r="O8" s="151">
        <v>0.5</v>
      </c>
      <c r="P8" s="151">
        <v>0.5</v>
      </c>
      <c r="Q8" s="151">
        <v>0.5</v>
      </c>
      <c r="R8" s="151">
        <v>0.5</v>
      </c>
      <c r="S8" s="151">
        <v>5</v>
      </c>
      <c r="T8" s="151">
        <v>5</v>
      </c>
      <c r="U8" s="151">
        <v>5</v>
      </c>
      <c r="V8" s="151">
        <v>5</v>
      </c>
      <c r="W8" s="151">
        <v>5</v>
      </c>
      <c r="X8" s="151">
        <v>5</v>
      </c>
      <c r="Y8" s="151">
        <v>6</v>
      </c>
      <c r="Z8" s="151">
        <v>6</v>
      </c>
      <c r="AA8" s="151">
        <v>6</v>
      </c>
      <c r="AB8" s="151">
        <v>6</v>
      </c>
      <c r="AC8" s="151">
        <v>11</v>
      </c>
      <c r="AD8" s="151">
        <v>11</v>
      </c>
      <c r="AE8" s="151">
        <v>11</v>
      </c>
      <c r="AF8" s="151">
        <v>11</v>
      </c>
      <c r="AG8" s="151">
        <v>275</v>
      </c>
      <c r="AH8" s="151">
        <v>275</v>
      </c>
      <c r="AI8" s="151">
        <v>18</v>
      </c>
      <c r="AJ8" s="151">
        <v>18</v>
      </c>
      <c r="AK8" s="151">
        <v>18</v>
      </c>
      <c r="AL8" s="158">
        <v>18</v>
      </c>
      <c r="AM8" s="151">
        <v>0.6</v>
      </c>
      <c r="AN8" s="151">
        <v>0.6</v>
      </c>
      <c r="AO8" s="151">
        <v>0.6</v>
      </c>
      <c r="AP8" s="158">
        <v>0.6</v>
      </c>
      <c r="AQ8" s="151">
        <v>5</v>
      </c>
      <c r="AR8" s="151">
        <v>5</v>
      </c>
      <c r="AS8" s="151">
        <v>5</v>
      </c>
      <c r="AT8" s="151">
        <v>5</v>
      </c>
      <c r="AU8" s="151">
        <v>5</v>
      </c>
      <c r="AV8" s="151">
        <v>5</v>
      </c>
      <c r="AW8" s="151">
        <v>5</v>
      </c>
      <c r="AX8" s="151">
        <v>5</v>
      </c>
      <c r="AY8" s="151">
        <v>5</v>
      </c>
      <c r="AZ8" s="151">
        <v>5</v>
      </c>
      <c r="BA8" s="151">
        <v>5</v>
      </c>
      <c r="BB8" s="151">
        <v>5</v>
      </c>
      <c r="BC8" s="151">
        <v>5</v>
      </c>
      <c r="BD8" s="151">
        <v>5</v>
      </c>
      <c r="BE8" s="158">
        <v>5</v>
      </c>
      <c r="BF8" s="151">
        <v>84</v>
      </c>
      <c r="BG8" s="151">
        <v>84</v>
      </c>
      <c r="BH8" s="151">
        <v>84</v>
      </c>
      <c r="BI8" s="151">
        <v>84</v>
      </c>
      <c r="BJ8" s="151">
        <v>84</v>
      </c>
      <c r="BK8" s="151">
        <v>84</v>
      </c>
      <c r="BL8" s="151">
        <v>84</v>
      </c>
      <c r="BM8" s="151">
        <v>24</v>
      </c>
      <c r="BN8" s="151">
        <v>98</v>
      </c>
      <c r="BO8" s="158">
        <v>40</v>
      </c>
      <c r="BP8" s="151">
        <v>8.4</v>
      </c>
      <c r="BQ8" s="151">
        <v>8.4</v>
      </c>
      <c r="BR8" s="151">
        <v>7.5</v>
      </c>
      <c r="BS8" s="151">
        <v>7.5</v>
      </c>
      <c r="BT8" s="164">
        <v>0.6</v>
      </c>
      <c r="BU8" s="159">
        <v>0.6</v>
      </c>
      <c r="BV8" s="159">
        <v>0.6</v>
      </c>
      <c r="BW8" s="159">
        <v>0.6</v>
      </c>
      <c r="BX8" s="159">
        <v>0.6</v>
      </c>
      <c r="BY8" s="159">
        <v>0.6</v>
      </c>
      <c r="BZ8" s="159">
        <v>0.6</v>
      </c>
      <c r="CA8" s="151">
        <v>0.6</v>
      </c>
      <c r="CB8" s="151">
        <v>0.6</v>
      </c>
      <c r="CC8" s="151">
        <v>0.6</v>
      </c>
      <c r="CD8" s="151">
        <v>0.6</v>
      </c>
      <c r="CE8" s="151">
        <v>0.6</v>
      </c>
      <c r="CF8" s="151">
        <v>0.6</v>
      </c>
      <c r="CG8" s="151">
        <v>0.6</v>
      </c>
      <c r="CH8" s="161">
        <v>0.6</v>
      </c>
    </row>
    <row r="9" spans="1:86" s="162" customFormat="1">
      <c r="A9" s="153" t="s">
        <v>81</v>
      </c>
      <c r="B9" s="154">
        <v>38</v>
      </c>
      <c r="C9" s="155">
        <v>38</v>
      </c>
      <c r="D9" s="155">
        <v>38</v>
      </c>
      <c r="E9" s="155">
        <v>35</v>
      </c>
      <c r="F9" s="155">
        <v>35</v>
      </c>
      <c r="G9" s="155">
        <v>38</v>
      </c>
      <c r="H9" s="155">
        <v>35</v>
      </c>
      <c r="I9" s="155">
        <v>38</v>
      </c>
      <c r="J9" s="155">
        <v>38</v>
      </c>
      <c r="K9" s="155">
        <v>38</v>
      </c>
      <c r="L9" s="155">
        <v>35</v>
      </c>
      <c r="M9" s="155">
        <v>35</v>
      </c>
      <c r="N9" s="155">
        <v>38</v>
      </c>
      <c r="O9" s="155">
        <v>38</v>
      </c>
      <c r="P9" s="155">
        <v>35</v>
      </c>
      <c r="Q9" s="155">
        <v>38</v>
      </c>
      <c r="R9" s="155">
        <v>35</v>
      </c>
      <c r="S9" s="155">
        <v>38</v>
      </c>
      <c r="T9" s="155">
        <v>38</v>
      </c>
      <c r="U9" s="155">
        <v>38</v>
      </c>
      <c r="V9" s="155">
        <v>35</v>
      </c>
      <c r="W9" s="155">
        <v>35</v>
      </c>
      <c r="X9" s="155">
        <v>35</v>
      </c>
      <c r="Y9" s="155">
        <v>38</v>
      </c>
      <c r="Z9" s="155">
        <v>38</v>
      </c>
      <c r="AA9" s="155">
        <v>35</v>
      </c>
      <c r="AB9" s="155">
        <v>35</v>
      </c>
      <c r="AC9" s="155">
        <v>31</v>
      </c>
      <c r="AD9" s="155">
        <v>31</v>
      </c>
      <c r="AE9" s="155">
        <v>31</v>
      </c>
      <c r="AF9" s="155">
        <v>31</v>
      </c>
      <c r="AG9" s="155">
        <v>31</v>
      </c>
      <c r="AH9" s="155">
        <v>31</v>
      </c>
      <c r="AI9" s="151">
        <v>39.6</v>
      </c>
      <c r="AJ9" s="151">
        <v>39.6</v>
      </c>
      <c r="AK9" s="151">
        <v>39.6</v>
      </c>
      <c r="AL9" s="158">
        <v>39.6</v>
      </c>
      <c r="AM9" s="151">
        <v>39</v>
      </c>
      <c r="AN9" s="151">
        <v>2.9</v>
      </c>
      <c r="AO9" s="151">
        <v>39</v>
      </c>
      <c r="AP9" s="158">
        <v>39</v>
      </c>
      <c r="AQ9" s="151">
        <v>157</v>
      </c>
      <c r="AR9" s="151">
        <v>157</v>
      </c>
      <c r="AS9" s="151">
        <v>157</v>
      </c>
      <c r="AT9" s="151">
        <v>157</v>
      </c>
      <c r="AU9" s="151">
        <v>157</v>
      </c>
      <c r="AV9" s="151">
        <v>157</v>
      </c>
      <c r="AW9" s="151">
        <v>150</v>
      </c>
      <c r="AX9" s="151">
        <v>150</v>
      </c>
      <c r="AY9" s="151">
        <v>142</v>
      </c>
      <c r="AZ9" s="151">
        <v>142</v>
      </c>
      <c r="BA9" s="151">
        <v>157</v>
      </c>
      <c r="BB9" s="151">
        <v>157</v>
      </c>
      <c r="BC9" s="151">
        <v>150</v>
      </c>
      <c r="BD9" s="151">
        <v>142</v>
      </c>
      <c r="BE9" s="158">
        <v>142</v>
      </c>
      <c r="BF9" s="151">
        <v>0.6</v>
      </c>
      <c r="BG9" s="151">
        <v>0.6</v>
      </c>
      <c r="BH9" s="151">
        <v>0.6</v>
      </c>
      <c r="BI9" s="151">
        <v>0.6</v>
      </c>
      <c r="BJ9" s="151">
        <v>0.6</v>
      </c>
      <c r="BK9" s="151">
        <v>0.6</v>
      </c>
      <c r="BL9" s="151">
        <v>0.6</v>
      </c>
      <c r="BM9" s="151">
        <v>0.6</v>
      </c>
      <c r="BN9" s="151">
        <v>0.6</v>
      </c>
      <c r="BO9" s="158">
        <v>0.6</v>
      </c>
      <c r="BP9" s="155">
        <v>0.09</v>
      </c>
      <c r="BQ9" s="155">
        <v>0.09</v>
      </c>
      <c r="BR9" s="165">
        <v>0.1</v>
      </c>
      <c r="BS9" s="165">
        <v>0.1</v>
      </c>
      <c r="BT9" s="160">
        <v>2.5000000000000001E-2</v>
      </c>
      <c r="BU9" s="151">
        <v>2.5000000000000001E-2</v>
      </c>
      <c r="BV9" s="151">
        <v>2.5000000000000001E-2</v>
      </c>
      <c r="BW9" s="151">
        <v>2.5000000000000001E-2</v>
      </c>
      <c r="BX9" s="151">
        <v>2.5000000000000001E-2</v>
      </c>
      <c r="BY9" s="151">
        <v>0.25</v>
      </c>
      <c r="BZ9" s="151">
        <v>2.5000000000000001E-2</v>
      </c>
      <c r="CA9" s="151">
        <v>2.5000000000000001E-2</v>
      </c>
      <c r="CB9" s="151">
        <v>2.5000000000000001E-2</v>
      </c>
      <c r="CC9" s="151">
        <v>2.5000000000000001E-2</v>
      </c>
      <c r="CD9" s="151">
        <v>2.5000000000000001E-2</v>
      </c>
      <c r="CE9" s="151">
        <v>2.5000000000000001E-2</v>
      </c>
      <c r="CF9" s="151">
        <v>2.5000000000000001E-2</v>
      </c>
      <c r="CG9" s="151">
        <v>2.5000000000000001E-2</v>
      </c>
      <c r="CH9" s="161">
        <v>2.5000000000000001E-2</v>
      </c>
    </row>
    <row r="10" spans="1:86">
      <c r="A10" s="166" t="s">
        <v>82</v>
      </c>
      <c r="B10" s="160">
        <v>0.06</v>
      </c>
      <c r="C10" s="151">
        <v>0.06</v>
      </c>
      <c r="D10" s="151">
        <v>0.06</v>
      </c>
      <c r="E10" s="151">
        <v>0.06</v>
      </c>
      <c r="F10" s="151">
        <v>0.06</v>
      </c>
      <c r="G10" s="151">
        <v>0.06</v>
      </c>
      <c r="H10" s="151">
        <v>0.06</v>
      </c>
      <c r="I10" s="151">
        <v>0.06</v>
      </c>
      <c r="J10" s="151">
        <v>0.06</v>
      </c>
      <c r="K10" s="151">
        <v>0.06</v>
      </c>
      <c r="L10" s="151">
        <v>0.06</v>
      </c>
      <c r="M10" s="151">
        <v>0.06</v>
      </c>
      <c r="N10" s="151">
        <v>0.04</v>
      </c>
      <c r="O10" s="151">
        <v>0.04</v>
      </c>
      <c r="P10" s="151">
        <v>0.04</v>
      </c>
      <c r="Q10" s="151">
        <v>0.11</v>
      </c>
      <c r="R10" s="151">
        <v>0.11</v>
      </c>
      <c r="S10" s="151">
        <v>0.05</v>
      </c>
      <c r="T10" s="151">
        <v>0.05</v>
      </c>
      <c r="U10" s="151">
        <v>0.05</v>
      </c>
      <c r="V10" s="151">
        <v>0.05</v>
      </c>
      <c r="W10" s="151">
        <v>0.05</v>
      </c>
      <c r="X10" s="151">
        <v>0.05</v>
      </c>
      <c r="Y10" s="151">
        <v>0.05</v>
      </c>
      <c r="Z10" s="151">
        <v>0.05</v>
      </c>
      <c r="AA10" s="151">
        <v>0.05</v>
      </c>
      <c r="AB10" s="151">
        <v>0.05</v>
      </c>
      <c r="AC10" s="151">
        <v>1.3</v>
      </c>
      <c r="AD10" s="151">
        <v>1.3</v>
      </c>
      <c r="AE10" s="151">
        <v>1.3</v>
      </c>
      <c r="AF10" s="151">
        <v>1.3</v>
      </c>
      <c r="AG10" s="151">
        <v>10</v>
      </c>
      <c r="AH10" s="151">
        <v>10</v>
      </c>
      <c r="AI10" s="151">
        <v>0.05</v>
      </c>
      <c r="AJ10" s="151">
        <v>0.05</v>
      </c>
      <c r="AK10" s="151">
        <v>0.05</v>
      </c>
      <c r="AL10" s="158">
        <v>0.05</v>
      </c>
      <c r="AM10" s="151">
        <v>0.3</v>
      </c>
      <c r="AN10" s="151">
        <v>0.3</v>
      </c>
      <c r="AO10" s="151">
        <v>0.3</v>
      </c>
      <c r="AP10" s="158">
        <v>0.3</v>
      </c>
      <c r="AQ10" s="151">
        <v>0.76</v>
      </c>
      <c r="AR10" s="151">
        <v>0.76</v>
      </c>
      <c r="AS10" s="151">
        <v>0.76</v>
      </c>
      <c r="AT10" s="151">
        <v>0.76</v>
      </c>
      <c r="AU10" s="151">
        <v>0.76</v>
      </c>
      <c r="AV10" s="151">
        <v>0.76</v>
      </c>
      <c r="AW10" s="151">
        <v>0.76</v>
      </c>
      <c r="AX10" s="151">
        <v>0.76</v>
      </c>
      <c r="AY10" s="151">
        <v>0.2</v>
      </c>
      <c r="AZ10" s="151">
        <v>0.2</v>
      </c>
      <c r="BA10" s="151">
        <v>1.1299999999999999</v>
      </c>
      <c r="BB10" s="151">
        <v>1.1299999999999999</v>
      </c>
      <c r="BC10" s="151">
        <v>0.34</v>
      </c>
      <c r="BD10" s="151">
        <v>0.2</v>
      </c>
      <c r="BE10" s="158">
        <v>0.71299999999999997</v>
      </c>
      <c r="BF10" s="151">
        <v>5.5</v>
      </c>
      <c r="BG10" s="151">
        <v>5.5</v>
      </c>
      <c r="BH10" s="151">
        <v>5.5</v>
      </c>
      <c r="BI10" s="151">
        <v>5.5</v>
      </c>
      <c r="BJ10" s="151">
        <v>5.5</v>
      </c>
      <c r="BK10" s="151">
        <v>5.5</v>
      </c>
      <c r="BL10" s="151">
        <v>5.5</v>
      </c>
      <c r="BM10" s="151">
        <v>5.5</v>
      </c>
      <c r="BN10" s="151">
        <v>5.5</v>
      </c>
      <c r="BO10" s="158">
        <v>5.5</v>
      </c>
      <c r="BP10" s="151">
        <v>1.1000000000000001</v>
      </c>
      <c r="BQ10" s="151">
        <v>1.1000000000000001</v>
      </c>
      <c r="BR10" s="156">
        <v>1</v>
      </c>
      <c r="BS10" s="156">
        <v>1</v>
      </c>
      <c r="BT10" s="160">
        <v>1.7000000000000001E-2</v>
      </c>
      <c r="BU10" s="151">
        <v>1.7000000000000001E-2</v>
      </c>
      <c r="BV10" s="151">
        <v>1.7000000000000001E-2</v>
      </c>
      <c r="BW10" s="151">
        <v>1.7000000000000001E-2</v>
      </c>
      <c r="BX10" s="151">
        <v>1.7000000000000001E-2</v>
      </c>
      <c r="BY10" s="151">
        <v>1.7000000000000001E-2</v>
      </c>
      <c r="BZ10" s="151">
        <v>1.7000000000000001E-2</v>
      </c>
      <c r="CA10" s="151">
        <v>1.7000000000000001E-2</v>
      </c>
      <c r="CB10" s="151">
        <v>1.7000000000000001E-2</v>
      </c>
      <c r="CC10" s="151">
        <v>1.7000000000000001E-2</v>
      </c>
      <c r="CD10" s="151">
        <v>1.7000000000000001E-2</v>
      </c>
      <c r="CE10" s="151">
        <v>1.7000000000000001E-2</v>
      </c>
      <c r="CF10" s="151">
        <v>1.7000000000000001E-2</v>
      </c>
      <c r="CG10" s="151">
        <v>1.7000000000000001E-2</v>
      </c>
      <c r="CH10" s="161">
        <v>1.7000000000000001E-2</v>
      </c>
    </row>
    <row r="11" spans="1:86">
      <c r="A11" s="166" t="s">
        <v>83</v>
      </c>
      <c r="B11" s="167">
        <v>4.2000000000000002E-4</v>
      </c>
      <c r="C11" s="120">
        <v>4.2000000000000002E-4</v>
      </c>
      <c r="D11" s="120">
        <v>4.2000000000000002E-4</v>
      </c>
      <c r="E11" s="120">
        <v>4.2000000000000002E-4</v>
      </c>
      <c r="F11" s="120">
        <v>4.2000000000000002E-4</v>
      </c>
      <c r="G11" s="120">
        <v>4.2000000000000002E-4</v>
      </c>
      <c r="H11" s="120">
        <v>4.2000000000000002E-4</v>
      </c>
      <c r="I11" s="120">
        <v>4.2000000000000002E-4</v>
      </c>
      <c r="J11" s="120">
        <v>4.2000000000000002E-4</v>
      </c>
      <c r="K11" s="120">
        <v>4.2000000000000002E-4</v>
      </c>
      <c r="L11" s="120">
        <v>4.2000000000000002E-4</v>
      </c>
      <c r="M11" s="120">
        <v>4.2000000000000002E-4</v>
      </c>
      <c r="N11" s="120">
        <v>4.2000000000000002E-4</v>
      </c>
      <c r="O11" s="120">
        <v>4.2000000000000002E-4</v>
      </c>
      <c r="P11" s="120">
        <v>4.2000000000000002E-4</v>
      </c>
      <c r="Q11" s="120">
        <v>4.2000000000000002E-4</v>
      </c>
      <c r="R11" s="120">
        <v>4.2000000000000002E-4</v>
      </c>
      <c r="S11" s="120">
        <v>4.2000000000000002E-4</v>
      </c>
      <c r="T11" s="120">
        <v>4.2000000000000002E-4</v>
      </c>
      <c r="U11" s="120">
        <v>4.2000000000000002E-4</v>
      </c>
      <c r="V11" s="120">
        <v>4.2000000000000002E-4</v>
      </c>
      <c r="W11" s="120">
        <v>4.2000000000000002E-4</v>
      </c>
      <c r="X11" s="120">
        <v>4.2000000000000002E-4</v>
      </c>
      <c r="Y11" s="120">
        <v>4.2000000000000002E-4</v>
      </c>
      <c r="Z11" s="120">
        <v>4.2000000000000002E-4</v>
      </c>
      <c r="AA11" s="120">
        <v>4.2000000000000002E-4</v>
      </c>
      <c r="AB11" s="120">
        <v>4.2000000000000002E-4</v>
      </c>
      <c r="AC11" s="120">
        <v>4.2000000000000002E-4</v>
      </c>
      <c r="AD11" s="120">
        <v>4.2000000000000002E-4</v>
      </c>
      <c r="AE11" s="120">
        <v>4.2000000000000002E-4</v>
      </c>
      <c r="AF11" s="120">
        <v>4.2000000000000002E-4</v>
      </c>
      <c r="AG11" s="120">
        <v>4.2000000000000002E-4</v>
      </c>
      <c r="AH11" s="120">
        <v>4.2000000000000002E-4</v>
      </c>
      <c r="AI11" s="120">
        <v>4.2000000000000002E-4</v>
      </c>
      <c r="AJ11" s="120">
        <v>4.2000000000000002E-4</v>
      </c>
      <c r="AK11" s="120">
        <v>4.2000000000000002E-4</v>
      </c>
      <c r="AL11" s="168">
        <v>4.2000000000000002E-4</v>
      </c>
      <c r="AM11" s="151">
        <v>8.8999999999999999E-3</v>
      </c>
      <c r="AN11" s="151">
        <v>8.8999999999999999E-3</v>
      </c>
      <c r="AO11" s="151">
        <v>8.8999999999999999E-3</v>
      </c>
      <c r="AP11" s="158">
        <v>8.8999999999999999E-3</v>
      </c>
      <c r="AQ11" s="120">
        <v>1.5100000000000001E-3</v>
      </c>
      <c r="AR11" s="120">
        <v>1.5100000000000001E-3</v>
      </c>
      <c r="AS11" s="120">
        <v>1.5100000000000001E-3</v>
      </c>
      <c r="AT11" s="120">
        <v>1.5100000000000001E-3</v>
      </c>
      <c r="AU11" s="120">
        <v>8.9999999999999995E-9</v>
      </c>
      <c r="AV11" s="120">
        <v>8.9999999999999995E-9</v>
      </c>
      <c r="AW11" s="120">
        <v>8.9999999999999995E-9</v>
      </c>
      <c r="AX11" s="120">
        <v>8.9999999999999995E-9</v>
      </c>
      <c r="AY11" s="120">
        <v>8.9999999999999995E-9</v>
      </c>
      <c r="AZ11" s="120">
        <v>8.9999999999999995E-9</v>
      </c>
      <c r="BA11" s="120">
        <v>1.5100000000000001E-3</v>
      </c>
      <c r="BB11" s="120">
        <v>8.9999999999999995E-9</v>
      </c>
      <c r="BC11" s="120">
        <v>8.9999999999999995E-9</v>
      </c>
      <c r="BD11" s="120">
        <v>8.9999999999999995E-9</v>
      </c>
      <c r="BE11" s="168">
        <v>8.9999999999999995E-9</v>
      </c>
      <c r="BF11" s="151">
        <v>5.0000000000000001E-4</v>
      </c>
      <c r="BG11" s="151">
        <v>5.0000000000000001E-4</v>
      </c>
      <c r="BH11" s="151">
        <v>5.0000000000000001E-4</v>
      </c>
      <c r="BI11" s="151">
        <v>5.0000000000000001E-4</v>
      </c>
      <c r="BJ11" s="151">
        <v>5.0000000000000001E-4</v>
      </c>
      <c r="BK11" s="151">
        <v>5.0000000000000001E-4</v>
      </c>
      <c r="BL11" s="151">
        <v>5.0000000000000001E-4</v>
      </c>
      <c r="BM11" s="151">
        <v>5.0000000000000001E-4</v>
      </c>
      <c r="BN11" s="151">
        <v>5.0000000000000001E-4</v>
      </c>
      <c r="BO11" s="158">
        <v>5.0000000000000001E-4</v>
      </c>
      <c r="BP11" s="151">
        <v>5.0000000000000001E-3</v>
      </c>
      <c r="BQ11" s="151">
        <v>5.0000000000000001E-3</v>
      </c>
      <c r="BR11" s="151">
        <v>5.0000000000000001E-3</v>
      </c>
      <c r="BS11" s="151">
        <v>5.0000000000000001E-3</v>
      </c>
      <c r="BT11" s="167">
        <v>4.8000000000000001E-5</v>
      </c>
      <c r="BU11" s="120">
        <v>4.8000000000000001E-5</v>
      </c>
      <c r="BV11" s="120">
        <v>4.8000000000000001E-5</v>
      </c>
      <c r="BW11" s="120">
        <v>4.8000000000000001E-5</v>
      </c>
      <c r="BX11" s="120">
        <v>4.8000000000000001E-5</v>
      </c>
      <c r="BY11" s="120">
        <v>4.8000000000000001E-5</v>
      </c>
      <c r="BZ11" s="120">
        <v>4.8000000000000001E-5</v>
      </c>
      <c r="CA11" s="120">
        <v>4.8000000000000001E-5</v>
      </c>
      <c r="CB11" s="120">
        <v>4.8000000000000001E-5</v>
      </c>
      <c r="CC11" s="120">
        <v>4.8000000000000001E-5</v>
      </c>
      <c r="CD11" s="120">
        <v>4.8000000000000001E-5</v>
      </c>
      <c r="CE11" s="120">
        <v>4.8000000000000001E-5</v>
      </c>
      <c r="CF11" s="120">
        <v>4.8000000000000001E-5</v>
      </c>
      <c r="CG11" s="120">
        <v>4.8000000000000001E-5</v>
      </c>
      <c r="CH11" s="169">
        <v>4.8000000000000001E-5</v>
      </c>
    </row>
    <row r="12" spans="1:86">
      <c r="A12" s="147" t="s">
        <v>540</v>
      </c>
      <c r="B12" s="160" t="s">
        <v>544</v>
      </c>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8"/>
      <c r="AM12" s="151" t="s">
        <v>544</v>
      </c>
      <c r="AN12" s="151"/>
      <c r="AO12" s="151"/>
      <c r="AP12" s="158"/>
      <c r="AQ12" s="151" t="s">
        <v>544</v>
      </c>
      <c r="AR12" s="151"/>
      <c r="AS12" s="151"/>
      <c r="AT12" s="151"/>
      <c r="AU12" s="151"/>
      <c r="AV12" s="151"/>
      <c r="AW12" s="151"/>
      <c r="AX12" s="151"/>
      <c r="AY12" s="151"/>
      <c r="AZ12" s="151"/>
      <c r="BA12" s="151"/>
      <c r="BB12" s="151"/>
      <c r="BC12" s="151"/>
      <c r="BD12" s="151"/>
      <c r="BE12" s="158"/>
      <c r="BF12" s="151" t="s">
        <v>544</v>
      </c>
      <c r="BG12" s="151"/>
      <c r="BH12" s="151"/>
      <c r="BI12" s="151"/>
      <c r="BJ12" s="151"/>
      <c r="BK12" s="151"/>
      <c r="BL12" s="151"/>
      <c r="BM12" s="151"/>
      <c r="BN12" s="151"/>
      <c r="BO12" s="158"/>
      <c r="BP12" s="151" t="s">
        <v>544</v>
      </c>
      <c r="BQ12" s="151"/>
      <c r="BR12" s="156"/>
      <c r="BS12" s="156"/>
      <c r="BT12" s="160" t="s">
        <v>544</v>
      </c>
      <c r="BU12" s="151"/>
      <c r="BV12" s="151"/>
      <c r="BW12" s="151"/>
      <c r="BX12" s="151"/>
      <c r="BY12" s="151"/>
      <c r="BZ12" s="151"/>
      <c r="CA12" s="151"/>
      <c r="CB12" s="151"/>
      <c r="CC12" s="151"/>
      <c r="CD12" s="151"/>
      <c r="CE12" s="151"/>
      <c r="CF12" s="151"/>
      <c r="CG12" s="151"/>
      <c r="CH12" s="161"/>
    </row>
    <row r="13" spans="1:86">
      <c r="A13" s="166" t="s">
        <v>85</v>
      </c>
      <c r="B13" s="160">
        <v>93.28</v>
      </c>
      <c r="C13" s="151">
        <v>93.28</v>
      </c>
      <c r="D13" s="151">
        <v>93.28</v>
      </c>
      <c r="E13" s="151">
        <v>97.17</v>
      </c>
      <c r="F13" s="151">
        <v>97.17</v>
      </c>
      <c r="G13" s="151">
        <v>93.28</v>
      </c>
      <c r="H13" s="151">
        <v>97.17</v>
      </c>
      <c r="I13" s="151">
        <v>93.28</v>
      </c>
      <c r="J13" s="151">
        <v>93.28</v>
      </c>
      <c r="K13" s="151">
        <v>93.28</v>
      </c>
      <c r="L13" s="151">
        <v>97.17</v>
      </c>
      <c r="M13" s="151">
        <v>97.17</v>
      </c>
      <c r="N13" s="151">
        <v>93.28</v>
      </c>
      <c r="O13" s="151">
        <v>93.28</v>
      </c>
      <c r="P13" s="151">
        <v>97.17</v>
      </c>
      <c r="Q13" s="151">
        <v>93.28</v>
      </c>
      <c r="R13" s="151">
        <v>97.17</v>
      </c>
      <c r="S13" s="151">
        <v>93.28</v>
      </c>
      <c r="T13" s="151">
        <v>93.28</v>
      </c>
      <c r="U13" s="151">
        <v>93.28</v>
      </c>
      <c r="V13" s="151">
        <v>97.17</v>
      </c>
      <c r="W13" s="151">
        <v>97.17</v>
      </c>
      <c r="X13" s="151">
        <v>97.17</v>
      </c>
      <c r="Y13" s="151">
        <v>93.28</v>
      </c>
      <c r="Z13" s="151">
        <v>93.28</v>
      </c>
      <c r="AA13" s="151">
        <v>97.17</v>
      </c>
      <c r="AB13" s="151">
        <v>97.17</v>
      </c>
      <c r="AC13" s="151">
        <v>93.28</v>
      </c>
      <c r="AD13" s="151">
        <v>93.28</v>
      </c>
      <c r="AE13" s="151">
        <v>97.17</v>
      </c>
      <c r="AF13" s="151">
        <v>97.17</v>
      </c>
      <c r="AG13" s="151">
        <v>93.28</v>
      </c>
      <c r="AH13" s="151">
        <v>97.17</v>
      </c>
      <c r="AI13" s="151">
        <v>93.28</v>
      </c>
      <c r="AJ13" s="151">
        <v>97.17</v>
      </c>
      <c r="AK13" s="151">
        <v>93.28</v>
      </c>
      <c r="AL13" s="158">
        <v>97.17</v>
      </c>
      <c r="AM13" s="151">
        <v>103.69</v>
      </c>
      <c r="AN13" s="151">
        <v>103.69</v>
      </c>
      <c r="AO13" s="151">
        <v>103.69</v>
      </c>
      <c r="AP13" s="158">
        <v>103.69</v>
      </c>
      <c r="AQ13" s="159">
        <v>75.099999999999994</v>
      </c>
      <c r="AR13" s="159">
        <v>75.099999999999994</v>
      </c>
      <c r="AS13" s="159">
        <v>75.099999999999994</v>
      </c>
      <c r="AT13" s="159">
        <v>75.099999999999994</v>
      </c>
      <c r="AU13" s="159">
        <v>72.930000000000007</v>
      </c>
      <c r="AV13" s="159">
        <v>72.930000000000007</v>
      </c>
      <c r="AW13" s="159">
        <v>75.040000000000006</v>
      </c>
      <c r="AX13" s="159">
        <v>75.040000000000006</v>
      </c>
      <c r="AY13" s="159">
        <v>73.959999999999994</v>
      </c>
      <c r="AZ13" s="159">
        <v>73.959999999999994</v>
      </c>
      <c r="BA13" s="159">
        <v>75.099999999999994</v>
      </c>
      <c r="BB13" s="159">
        <v>72.930000000000007</v>
      </c>
      <c r="BC13" s="159">
        <v>75.040000000000006</v>
      </c>
      <c r="BD13" s="159">
        <v>73.959999999999994</v>
      </c>
      <c r="BE13" s="170">
        <v>73.959999999999994</v>
      </c>
      <c r="BF13" s="151">
        <v>53.06</v>
      </c>
      <c r="BG13" s="151">
        <v>53.06</v>
      </c>
      <c r="BH13" s="151">
        <v>53.06</v>
      </c>
      <c r="BI13" s="151">
        <v>53.06</v>
      </c>
      <c r="BJ13" s="151">
        <v>53.06</v>
      </c>
      <c r="BK13" s="151">
        <v>53.06</v>
      </c>
      <c r="BL13" s="151">
        <v>53.06</v>
      </c>
      <c r="BM13" s="151">
        <v>53.06</v>
      </c>
      <c r="BN13" s="151">
        <v>53.06</v>
      </c>
      <c r="BO13" s="158">
        <v>53.06</v>
      </c>
      <c r="BP13" s="151">
        <v>64.77</v>
      </c>
      <c r="BQ13" s="151">
        <v>64.77</v>
      </c>
      <c r="BR13" s="151">
        <v>62.87</v>
      </c>
      <c r="BS13" s="151">
        <v>62.87</v>
      </c>
      <c r="BT13" s="164">
        <v>93.8</v>
      </c>
      <c r="BU13" s="159">
        <v>93.8</v>
      </c>
      <c r="BV13" s="159">
        <v>93.8</v>
      </c>
      <c r="BW13" s="159">
        <v>93.8</v>
      </c>
      <c r="BX13" s="159">
        <v>93.8</v>
      </c>
      <c r="BY13" s="159">
        <v>93.8</v>
      </c>
      <c r="BZ13" s="159">
        <v>93.8</v>
      </c>
      <c r="CA13" s="159">
        <v>93.8</v>
      </c>
      <c r="CB13" s="159">
        <v>93.8</v>
      </c>
      <c r="CC13" s="159">
        <v>93.8</v>
      </c>
      <c r="CD13" s="159">
        <v>93.8</v>
      </c>
      <c r="CE13" s="159">
        <v>93.8</v>
      </c>
      <c r="CF13" s="159">
        <v>93.8</v>
      </c>
      <c r="CG13" s="159">
        <v>93.8</v>
      </c>
      <c r="CH13" s="171">
        <v>93.8</v>
      </c>
    </row>
    <row r="14" spans="1:86">
      <c r="A14" s="166" t="s">
        <v>86</v>
      </c>
      <c r="B14" s="160">
        <v>1.0999999999999999E-2</v>
      </c>
      <c r="C14" s="151">
        <v>1.0999999999999999E-2</v>
      </c>
      <c r="D14" s="151">
        <v>1.0999999999999999E-2</v>
      </c>
      <c r="E14" s="151">
        <v>1.0999999999999999E-2</v>
      </c>
      <c r="F14" s="151">
        <v>1.0999999999999999E-2</v>
      </c>
      <c r="G14" s="151">
        <v>1.0999999999999999E-2</v>
      </c>
      <c r="H14" s="151">
        <v>1.0999999999999999E-2</v>
      </c>
      <c r="I14" s="151">
        <v>1.0999999999999999E-2</v>
      </c>
      <c r="J14" s="151">
        <v>1.0999999999999999E-2</v>
      </c>
      <c r="K14" s="151">
        <v>1.0999999999999999E-2</v>
      </c>
      <c r="L14" s="151">
        <v>1.0999999999999999E-2</v>
      </c>
      <c r="M14" s="151">
        <v>1.0999999999999999E-2</v>
      </c>
      <c r="N14" s="151">
        <v>1.0999999999999999E-2</v>
      </c>
      <c r="O14" s="151">
        <v>1.0999999999999999E-2</v>
      </c>
      <c r="P14" s="151">
        <v>1.0999999999999999E-2</v>
      </c>
      <c r="Q14" s="151">
        <v>1.0999999999999999E-2</v>
      </c>
      <c r="R14" s="151">
        <v>1.0999999999999999E-2</v>
      </c>
      <c r="S14" s="151">
        <v>1.0999999999999999E-2</v>
      </c>
      <c r="T14" s="151">
        <v>1.0999999999999999E-2</v>
      </c>
      <c r="U14" s="151">
        <v>1.0999999999999999E-2</v>
      </c>
      <c r="V14" s="151">
        <v>1.0999999999999999E-2</v>
      </c>
      <c r="W14" s="151">
        <v>1.0999999999999999E-2</v>
      </c>
      <c r="X14" s="151">
        <v>1.0999999999999999E-2</v>
      </c>
      <c r="Y14" s="151">
        <v>1.0999999999999999E-2</v>
      </c>
      <c r="Z14" s="151">
        <v>1.0999999999999999E-2</v>
      </c>
      <c r="AA14" s="151">
        <v>1.0999999999999999E-2</v>
      </c>
      <c r="AB14" s="151">
        <v>1.0999999999999999E-2</v>
      </c>
      <c r="AC14" s="151">
        <v>1.0999999999999999E-2</v>
      </c>
      <c r="AD14" s="151">
        <v>1.0999999999999999E-2</v>
      </c>
      <c r="AE14" s="151">
        <v>1.0999999999999999E-2</v>
      </c>
      <c r="AF14" s="151">
        <v>1.0999999999999999E-2</v>
      </c>
      <c r="AG14" s="151">
        <v>1.0999999999999999E-2</v>
      </c>
      <c r="AH14" s="151">
        <v>1.0999999999999999E-2</v>
      </c>
      <c r="AI14" s="151">
        <v>1.0999999999999999E-2</v>
      </c>
      <c r="AJ14" s="151">
        <v>1.0999999999999999E-2</v>
      </c>
      <c r="AK14" s="151">
        <v>1.0999999999999999E-2</v>
      </c>
      <c r="AL14" s="158">
        <v>1.0999999999999999E-2</v>
      </c>
      <c r="AM14" s="151">
        <v>1.0999999999999999E-2</v>
      </c>
      <c r="AN14" s="151">
        <v>1.0999999999999999E-2</v>
      </c>
      <c r="AO14" s="151">
        <v>1.0999999999999999E-2</v>
      </c>
      <c r="AP14" s="158">
        <v>1.0999999999999999E-2</v>
      </c>
      <c r="AQ14" s="151">
        <v>3.0000000000000001E-3</v>
      </c>
      <c r="AR14" s="151">
        <v>3.0000000000000001E-3</v>
      </c>
      <c r="AS14" s="151">
        <v>3.0000000000000001E-3</v>
      </c>
      <c r="AT14" s="151">
        <v>3.0000000000000001E-3</v>
      </c>
      <c r="AU14" s="151">
        <v>3.0000000000000001E-3</v>
      </c>
      <c r="AV14" s="151">
        <v>3.0000000000000001E-3</v>
      </c>
      <c r="AW14" s="151">
        <v>3.0000000000000001E-3</v>
      </c>
      <c r="AX14" s="151">
        <v>3.0000000000000001E-3</v>
      </c>
      <c r="AY14" s="151">
        <v>3.0000000000000001E-3</v>
      </c>
      <c r="AZ14" s="151">
        <v>3.0000000000000001E-3</v>
      </c>
      <c r="BA14" s="151">
        <v>3.0000000000000001E-3</v>
      </c>
      <c r="BB14" s="151">
        <v>3.0000000000000001E-3</v>
      </c>
      <c r="BC14" s="151">
        <v>3.0000000000000001E-3</v>
      </c>
      <c r="BD14" s="151">
        <v>3.0000000000000001E-3</v>
      </c>
      <c r="BE14" s="158">
        <v>3.0000000000000001E-3</v>
      </c>
      <c r="BF14" s="151">
        <v>1E-3</v>
      </c>
      <c r="BG14" s="151">
        <v>1E-3</v>
      </c>
      <c r="BH14" s="151">
        <v>1E-3</v>
      </c>
      <c r="BI14" s="151">
        <v>1E-3</v>
      </c>
      <c r="BJ14" s="151">
        <v>1E-3</v>
      </c>
      <c r="BK14" s="151">
        <v>1E-3</v>
      </c>
      <c r="BL14" s="151">
        <v>1E-3</v>
      </c>
      <c r="BM14" s="151">
        <v>1E-3</v>
      </c>
      <c r="BN14" s="151">
        <v>1E-3</v>
      </c>
      <c r="BO14" s="158">
        <v>1E-3</v>
      </c>
      <c r="BP14" s="151">
        <v>3.0000000000000001E-3</v>
      </c>
      <c r="BQ14" s="151">
        <v>3.0000000000000001E-3</v>
      </c>
      <c r="BR14" s="151">
        <v>3.0000000000000001E-3</v>
      </c>
      <c r="BS14" s="151">
        <v>3.0000000000000001E-3</v>
      </c>
      <c r="BT14" s="160">
        <v>7.1999999999999998E-3</v>
      </c>
      <c r="BU14" s="151">
        <v>7.1999999999999998E-3</v>
      </c>
      <c r="BV14" s="151">
        <v>7.1999999999999998E-3</v>
      </c>
      <c r="BW14" s="151">
        <v>7.1999999999999998E-3</v>
      </c>
      <c r="BX14" s="151">
        <v>7.1999999999999998E-3</v>
      </c>
      <c r="BY14" s="151">
        <v>7.1999999999999998E-3</v>
      </c>
      <c r="BZ14" s="151">
        <v>7.1999999999999998E-3</v>
      </c>
      <c r="CA14" s="151">
        <v>7.1999999999999998E-3</v>
      </c>
      <c r="CB14" s="151">
        <v>7.1999999999999998E-3</v>
      </c>
      <c r="CC14" s="151">
        <v>7.1999999999999998E-3</v>
      </c>
      <c r="CD14" s="151">
        <v>7.1999999999999998E-3</v>
      </c>
      <c r="CE14" s="151">
        <v>7.1999999999999998E-3</v>
      </c>
      <c r="CF14" s="151">
        <v>7.1999999999999998E-3</v>
      </c>
      <c r="CG14" s="151">
        <v>7.1999999999999998E-3</v>
      </c>
      <c r="CH14" s="161">
        <v>7.1999999999999998E-3</v>
      </c>
    </row>
    <row r="15" spans="1:86">
      <c r="A15" s="166" t="s">
        <v>87</v>
      </c>
      <c r="B15" s="151">
        <v>1.6000000000000001E-3</v>
      </c>
      <c r="C15" s="151">
        <v>1.6000000000000001E-3</v>
      </c>
      <c r="D15" s="151">
        <v>1.6000000000000001E-3</v>
      </c>
      <c r="E15" s="151">
        <v>1.6000000000000001E-3</v>
      </c>
      <c r="F15" s="151">
        <v>1.6000000000000001E-3</v>
      </c>
      <c r="G15" s="151">
        <v>1.6000000000000001E-3</v>
      </c>
      <c r="H15" s="151">
        <v>1.6000000000000001E-3</v>
      </c>
      <c r="I15" s="151">
        <v>1.6000000000000001E-3</v>
      </c>
      <c r="J15" s="151">
        <v>1.6000000000000001E-3</v>
      </c>
      <c r="K15" s="151">
        <v>1.6000000000000001E-3</v>
      </c>
      <c r="L15" s="151">
        <v>1.6000000000000001E-3</v>
      </c>
      <c r="M15" s="151">
        <v>1.6000000000000001E-3</v>
      </c>
      <c r="N15" s="151">
        <v>1.6000000000000001E-3</v>
      </c>
      <c r="O15" s="151">
        <v>1.6000000000000001E-3</v>
      </c>
      <c r="P15" s="151">
        <v>1.6000000000000001E-3</v>
      </c>
      <c r="Q15" s="151">
        <v>1.6000000000000001E-3</v>
      </c>
      <c r="R15" s="151">
        <v>1.6000000000000001E-3</v>
      </c>
      <c r="S15" s="151">
        <v>1.6000000000000001E-3</v>
      </c>
      <c r="T15" s="151">
        <v>1.6000000000000001E-3</v>
      </c>
      <c r="U15" s="151">
        <v>1.6000000000000001E-3</v>
      </c>
      <c r="V15" s="151">
        <v>1.6000000000000001E-3</v>
      </c>
      <c r="W15" s="151">
        <v>1.6000000000000001E-3</v>
      </c>
      <c r="X15" s="151">
        <v>1.6000000000000001E-3</v>
      </c>
      <c r="Y15" s="151">
        <v>1.6000000000000001E-3</v>
      </c>
      <c r="Z15" s="151">
        <v>1.6000000000000001E-3</v>
      </c>
      <c r="AA15" s="151">
        <v>1.6000000000000001E-3</v>
      </c>
      <c r="AB15" s="151">
        <v>1.6000000000000001E-3</v>
      </c>
      <c r="AC15" s="151">
        <v>1.6000000000000001E-3</v>
      </c>
      <c r="AD15" s="151">
        <v>1.6000000000000001E-3</v>
      </c>
      <c r="AE15" s="151">
        <v>1.6000000000000001E-3</v>
      </c>
      <c r="AF15" s="151">
        <v>1.6000000000000001E-3</v>
      </c>
      <c r="AG15" s="151">
        <v>1.6000000000000001E-3</v>
      </c>
      <c r="AH15" s="151">
        <v>1.6000000000000001E-3</v>
      </c>
      <c r="AI15" s="151">
        <v>1.6000000000000001E-3</v>
      </c>
      <c r="AJ15" s="151">
        <v>1.6000000000000001E-3</v>
      </c>
      <c r="AK15" s="151">
        <v>1.6000000000000001E-3</v>
      </c>
      <c r="AL15" s="158">
        <v>1.6000000000000001E-3</v>
      </c>
      <c r="AM15" s="151">
        <v>1.6000000000000001E-3</v>
      </c>
      <c r="AN15" s="151">
        <v>1.6000000000000001E-3</v>
      </c>
      <c r="AO15" s="151">
        <v>1.6000000000000001E-3</v>
      </c>
      <c r="AP15" s="158">
        <v>1.6000000000000001E-3</v>
      </c>
      <c r="AQ15" s="151">
        <v>5.9999999999999995E-4</v>
      </c>
      <c r="AR15" s="151">
        <v>5.9999999999999995E-4</v>
      </c>
      <c r="AS15" s="151">
        <v>5.9999999999999995E-4</v>
      </c>
      <c r="AT15" s="151">
        <v>5.9999999999999995E-4</v>
      </c>
      <c r="AU15" s="151">
        <v>5.9999999999999995E-4</v>
      </c>
      <c r="AV15" s="151">
        <v>5.9999999999999995E-4</v>
      </c>
      <c r="AW15" s="151">
        <v>5.9999999999999995E-4</v>
      </c>
      <c r="AX15" s="151">
        <v>5.9999999999999995E-4</v>
      </c>
      <c r="AY15" s="151">
        <v>5.9999999999999995E-4</v>
      </c>
      <c r="AZ15" s="151">
        <v>5.9999999999999995E-4</v>
      </c>
      <c r="BA15" s="151">
        <v>5.9999999999999995E-4</v>
      </c>
      <c r="BB15" s="151">
        <v>5.9999999999999995E-4</v>
      </c>
      <c r="BC15" s="151">
        <v>5.9999999999999995E-4</v>
      </c>
      <c r="BD15" s="151">
        <v>5.9999999999999995E-4</v>
      </c>
      <c r="BE15" s="158">
        <v>5.9999999999999995E-4</v>
      </c>
      <c r="BF15" s="151">
        <v>1E-4</v>
      </c>
      <c r="BG15" s="151">
        <v>1E-4</v>
      </c>
      <c r="BH15" s="151">
        <v>1E-4</v>
      </c>
      <c r="BI15" s="151">
        <v>1E-4</v>
      </c>
      <c r="BJ15" s="151">
        <v>1E-4</v>
      </c>
      <c r="BK15" s="151">
        <v>1E-4</v>
      </c>
      <c r="BL15" s="151">
        <v>1E-4</v>
      </c>
      <c r="BM15" s="151">
        <v>1E-4</v>
      </c>
      <c r="BN15" s="151">
        <v>1E-4</v>
      </c>
      <c r="BO15" s="158">
        <v>1E-4</v>
      </c>
      <c r="BP15" s="151">
        <v>5.9999999999999995E-4</v>
      </c>
      <c r="BQ15" s="151">
        <v>5.9999999999999995E-4</v>
      </c>
      <c r="BR15" s="151">
        <v>5.9999999999999995E-4</v>
      </c>
      <c r="BS15" s="151">
        <v>5.9999999999999995E-4</v>
      </c>
      <c r="BT15" s="160">
        <v>3.5999999999999999E-3</v>
      </c>
      <c r="BU15" s="151">
        <v>3.5999999999999999E-3</v>
      </c>
      <c r="BV15" s="151">
        <v>3.5999999999999999E-3</v>
      </c>
      <c r="BW15" s="151">
        <v>3.5999999999999999E-3</v>
      </c>
      <c r="BX15" s="151">
        <v>3.5999999999999999E-3</v>
      </c>
      <c r="BY15" s="151">
        <v>3.5999999999999999E-3</v>
      </c>
      <c r="BZ15" s="151">
        <v>3.5999999999999999E-3</v>
      </c>
      <c r="CA15" s="151">
        <v>3.5999999999999999E-3</v>
      </c>
      <c r="CB15" s="151">
        <v>3.5999999999999999E-3</v>
      </c>
      <c r="CC15" s="151">
        <v>3.5999999999999999E-3</v>
      </c>
      <c r="CD15" s="151">
        <v>3.5999999999999999E-3</v>
      </c>
      <c r="CE15" s="151">
        <v>3.5999999999999999E-3</v>
      </c>
      <c r="CF15" s="151">
        <v>3.5999999999999999E-3</v>
      </c>
      <c r="CG15" s="151">
        <v>3.5999999999999999E-3</v>
      </c>
      <c r="CH15" s="161">
        <v>3.5999999999999999E-3</v>
      </c>
    </row>
    <row r="16" spans="1:86">
      <c r="A16" s="166" t="s">
        <v>88</v>
      </c>
      <c r="B16" s="160">
        <f>B13+B14*25+B15*298</f>
        <v>94.031800000000004</v>
      </c>
      <c r="C16" s="151">
        <f t="shared" ref="C16:BN16" si="0">C13+C14*25+C15*298</f>
        <v>94.031800000000004</v>
      </c>
      <c r="D16" s="151">
        <f t="shared" si="0"/>
        <v>94.031800000000004</v>
      </c>
      <c r="E16" s="151">
        <f t="shared" si="0"/>
        <v>97.921800000000005</v>
      </c>
      <c r="F16" s="151">
        <f t="shared" si="0"/>
        <v>97.921800000000005</v>
      </c>
      <c r="G16" s="151">
        <f t="shared" si="0"/>
        <v>94.031800000000004</v>
      </c>
      <c r="H16" s="151">
        <f t="shared" si="0"/>
        <v>97.921800000000005</v>
      </c>
      <c r="I16" s="151">
        <f t="shared" si="0"/>
        <v>94.031800000000004</v>
      </c>
      <c r="J16" s="151">
        <f t="shared" si="0"/>
        <v>94.031800000000004</v>
      </c>
      <c r="K16" s="151">
        <f t="shared" si="0"/>
        <v>94.031800000000004</v>
      </c>
      <c r="L16" s="151">
        <f t="shared" si="0"/>
        <v>97.921800000000005</v>
      </c>
      <c r="M16" s="151">
        <f t="shared" si="0"/>
        <v>97.921800000000005</v>
      </c>
      <c r="N16" s="151">
        <f t="shared" si="0"/>
        <v>94.031800000000004</v>
      </c>
      <c r="O16" s="151">
        <f t="shared" si="0"/>
        <v>94.031800000000004</v>
      </c>
      <c r="P16" s="151">
        <f t="shared" si="0"/>
        <v>97.921800000000005</v>
      </c>
      <c r="Q16" s="151">
        <f t="shared" si="0"/>
        <v>94.031800000000004</v>
      </c>
      <c r="R16" s="151">
        <f t="shared" si="0"/>
        <v>97.921800000000005</v>
      </c>
      <c r="S16" s="151">
        <f t="shared" si="0"/>
        <v>94.031800000000004</v>
      </c>
      <c r="T16" s="151">
        <f t="shared" si="0"/>
        <v>94.031800000000004</v>
      </c>
      <c r="U16" s="151">
        <f t="shared" si="0"/>
        <v>94.031800000000004</v>
      </c>
      <c r="V16" s="151">
        <f t="shared" si="0"/>
        <v>97.921800000000005</v>
      </c>
      <c r="W16" s="151">
        <f t="shared" si="0"/>
        <v>97.921800000000005</v>
      </c>
      <c r="X16" s="151">
        <f t="shared" si="0"/>
        <v>97.921800000000005</v>
      </c>
      <c r="Y16" s="151">
        <f>Y13+Y14*25+Y15*298</f>
        <v>94.031800000000004</v>
      </c>
      <c r="Z16" s="151">
        <f>Z13+Z14*25+Z15*298</f>
        <v>94.031800000000004</v>
      </c>
      <c r="AA16" s="151">
        <f t="shared" si="0"/>
        <v>97.921800000000005</v>
      </c>
      <c r="AB16" s="151">
        <f t="shared" si="0"/>
        <v>97.921800000000005</v>
      </c>
      <c r="AC16" s="151">
        <f>AC13+AC14*25+AC15*298</f>
        <v>94.031800000000004</v>
      </c>
      <c r="AD16" s="151">
        <f>AD13+AD14*25+AD15*298</f>
        <v>94.031800000000004</v>
      </c>
      <c r="AE16" s="151">
        <f>AE13+AE14*25+AE15*298</f>
        <v>97.921800000000005</v>
      </c>
      <c r="AF16" s="151">
        <f>AF13+AF14*25+AF15*298</f>
        <v>97.921800000000005</v>
      </c>
      <c r="AG16" s="151">
        <f t="shared" ref="AG16" si="1">AG13+AG14*25+AG15*298</f>
        <v>94.031800000000004</v>
      </c>
      <c r="AH16" s="151">
        <f t="shared" si="0"/>
        <v>97.921800000000005</v>
      </c>
      <c r="AI16" s="151">
        <f t="shared" si="0"/>
        <v>94.031800000000004</v>
      </c>
      <c r="AJ16" s="151">
        <f t="shared" si="0"/>
        <v>97.921800000000005</v>
      </c>
      <c r="AK16" s="151">
        <f t="shared" si="0"/>
        <v>94.031800000000004</v>
      </c>
      <c r="AL16" s="158">
        <f t="shared" si="0"/>
        <v>97.921800000000005</v>
      </c>
      <c r="AM16" s="151">
        <f t="shared" si="0"/>
        <v>104.4418</v>
      </c>
      <c r="AN16" s="151">
        <f t="shared" si="0"/>
        <v>104.4418</v>
      </c>
      <c r="AO16" s="151">
        <f t="shared" si="0"/>
        <v>104.4418</v>
      </c>
      <c r="AP16" s="158">
        <f t="shared" si="0"/>
        <v>104.4418</v>
      </c>
      <c r="AQ16" s="151">
        <f t="shared" si="0"/>
        <v>75.353799999999993</v>
      </c>
      <c r="AR16" s="151">
        <f t="shared" si="0"/>
        <v>75.353799999999993</v>
      </c>
      <c r="AS16" s="151">
        <f t="shared" si="0"/>
        <v>75.353799999999993</v>
      </c>
      <c r="AT16" s="151">
        <f t="shared" si="0"/>
        <v>75.353799999999993</v>
      </c>
      <c r="AU16" s="151">
        <f t="shared" si="0"/>
        <v>73.183800000000005</v>
      </c>
      <c r="AV16" s="151">
        <f t="shared" si="0"/>
        <v>73.183800000000005</v>
      </c>
      <c r="AW16" s="151">
        <f t="shared" si="0"/>
        <v>75.293800000000005</v>
      </c>
      <c r="AX16" s="151">
        <f t="shared" si="0"/>
        <v>75.293800000000005</v>
      </c>
      <c r="AY16" s="151">
        <f t="shared" si="0"/>
        <v>74.213799999999992</v>
      </c>
      <c r="AZ16" s="151">
        <f t="shared" si="0"/>
        <v>74.213799999999992</v>
      </c>
      <c r="BA16" s="151">
        <f t="shared" si="0"/>
        <v>75.353799999999993</v>
      </c>
      <c r="BB16" s="151">
        <f t="shared" si="0"/>
        <v>73.183800000000005</v>
      </c>
      <c r="BC16" s="151">
        <f t="shared" si="0"/>
        <v>75.293800000000005</v>
      </c>
      <c r="BD16" s="151">
        <f t="shared" si="0"/>
        <v>74.213799999999992</v>
      </c>
      <c r="BE16" s="158">
        <f t="shared" si="0"/>
        <v>74.213799999999992</v>
      </c>
      <c r="BF16" s="151">
        <f t="shared" si="0"/>
        <v>53.114800000000002</v>
      </c>
      <c r="BG16" s="151">
        <f t="shared" si="0"/>
        <v>53.114800000000002</v>
      </c>
      <c r="BH16" s="151">
        <f t="shared" si="0"/>
        <v>53.114800000000002</v>
      </c>
      <c r="BI16" s="151">
        <f t="shared" si="0"/>
        <v>53.114800000000002</v>
      </c>
      <c r="BJ16" s="151">
        <f t="shared" si="0"/>
        <v>53.114800000000002</v>
      </c>
      <c r="BK16" s="151">
        <f t="shared" si="0"/>
        <v>53.114800000000002</v>
      </c>
      <c r="BL16" s="151">
        <f t="shared" si="0"/>
        <v>53.114800000000002</v>
      </c>
      <c r="BM16" s="151">
        <f t="shared" si="0"/>
        <v>53.114800000000002</v>
      </c>
      <c r="BN16" s="151">
        <f t="shared" si="0"/>
        <v>53.114800000000002</v>
      </c>
      <c r="BO16" s="158">
        <f t="shared" ref="BO16" si="2">BO13+BO14*25+BO15*298</f>
        <v>53.114800000000002</v>
      </c>
      <c r="BP16" s="151">
        <f>BP13+BP14*25+BP15*298</f>
        <v>65.023799999999994</v>
      </c>
      <c r="BQ16" s="151">
        <f t="shared" ref="BQ16:CH16" si="3">BQ13+BQ14*25+BQ15*298</f>
        <v>65.023799999999994</v>
      </c>
      <c r="BR16" s="151">
        <f t="shared" si="3"/>
        <v>63.123800000000003</v>
      </c>
      <c r="BS16" s="151">
        <f t="shared" si="3"/>
        <v>63.123800000000003</v>
      </c>
      <c r="BT16" s="160">
        <f>BT13+BT14*25+BT15*298</f>
        <v>95.052800000000005</v>
      </c>
      <c r="BU16" s="151">
        <f t="shared" si="3"/>
        <v>95.052800000000005</v>
      </c>
      <c r="BV16" s="151">
        <f t="shared" si="3"/>
        <v>95.052800000000005</v>
      </c>
      <c r="BW16" s="151">
        <f t="shared" si="3"/>
        <v>95.052800000000005</v>
      </c>
      <c r="BX16" s="151">
        <f t="shared" si="3"/>
        <v>95.052800000000005</v>
      </c>
      <c r="BY16" s="151">
        <f t="shared" si="3"/>
        <v>95.052800000000005</v>
      </c>
      <c r="BZ16" s="151">
        <f t="shared" si="3"/>
        <v>95.052800000000005</v>
      </c>
      <c r="CA16" s="151">
        <f t="shared" si="3"/>
        <v>95.052800000000005</v>
      </c>
      <c r="CB16" s="151">
        <f t="shared" si="3"/>
        <v>95.052800000000005</v>
      </c>
      <c r="CC16" s="151">
        <f t="shared" si="3"/>
        <v>95.052800000000005</v>
      </c>
      <c r="CD16" s="151">
        <f t="shared" si="3"/>
        <v>95.052800000000005</v>
      </c>
      <c r="CE16" s="151">
        <f t="shared" si="3"/>
        <v>95.052800000000005</v>
      </c>
      <c r="CF16" s="151">
        <f t="shared" si="3"/>
        <v>95.052800000000005</v>
      </c>
      <c r="CG16" s="151">
        <f t="shared" si="3"/>
        <v>95.052800000000005</v>
      </c>
      <c r="CH16" s="161">
        <f t="shared" si="3"/>
        <v>95.052800000000005</v>
      </c>
    </row>
    <row r="17" spans="1:86" s="173" customFormat="1">
      <c r="A17" s="172" t="s">
        <v>540</v>
      </c>
      <c r="B17" s="160" t="s">
        <v>258</v>
      </c>
      <c r="C17" s="151"/>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8"/>
      <c r="AM17" s="151" t="s">
        <v>258</v>
      </c>
      <c r="AN17" s="151"/>
      <c r="AO17" s="151"/>
      <c r="AP17" s="158"/>
      <c r="AQ17" s="151" t="s">
        <v>541</v>
      </c>
      <c r="AR17" s="151"/>
      <c r="AS17" s="151"/>
      <c r="AT17" s="151"/>
      <c r="AU17" s="151"/>
      <c r="AV17" s="151"/>
      <c r="AW17" s="151"/>
      <c r="AX17" s="151"/>
      <c r="AY17" s="151"/>
      <c r="AZ17" s="151"/>
      <c r="BA17" s="151"/>
      <c r="BB17" s="151"/>
      <c r="BC17" s="151"/>
      <c r="BD17" s="151"/>
      <c r="BE17" s="158"/>
      <c r="BF17" s="151" t="s">
        <v>542</v>
      </c>
      <c r="BG17" s="151"/>
      <c r="BH17" s="151"/>
      <c r="BI17" s="151"/>
      <c r="BJ17" s="151"/>
      <c r="BK17" s="151"/>
      <c r="BL17" s="151"/>
      <c r="BM17" s="151"/>
      <c r="BN17" s="151"/>
      <c r="BO17" s="158"/>
      <c r="BP17" s="151" t="s">
        <v>543</v>
      </c>
      <c r="BQ17" s="151"/>
      <c r="BR17" s="151"/>
      <c r="BS17" s="151"/>
      <c r="BT17" s="160" t="s">
        <v>406</v>
      </c>
      <c r="BU17" s="151"/>
      <c r="BV17" s="151"/>
      <c r="BW17" s="151"/>
      <c r="BX17" s="151"/>
      <c r="BY17" s="151"/>
      <c r="BZ17" s="151"/>
      <c r="CA17" s="151"/>
      <c r="CB17" s="151"/>
      <c r="CC17" s="151"/>
      <c r="CD17" s="151"/>
      <c r="CE17" s="151"/>
      <c r="CF17" s="151"/>
      <c r="CG17" s="151"/>
      <c r="CH17" s="161"/>
    </row>
    <row r="18" spans="1:86">
      <c r="A18" s="166" t="s">
        <v>84</v>
      </c>
      <c r="B18" s="120">
        <f>SUM(B20:B77)</f>
        <v>2081.5840963799997</v>
      </c>
      <c r="C18" s="120">
        <f t="shared" ref="C18:BN18" si="4">SUM(C20:C77)</f>
        <v>2081.5840963799997</v>
      </c>
      <c r="D18" s="120">
        <f t="shared" si="4"/>
        <v>2081.5840963799997</v>
      </c>
      <c r="E18" s="120">
        <f t="shared" si="4"/>
        <v>2081.5840963799997</v>
      </c>
      <c r="F18" s="120">
        <f t="shared" si="4"/>
        <v>2081.5840963799997</v>
      </c>
      <c r="G18" s="120">
        <f t="shared" si="4"/>
        <v>1.5841171379999999</v>
      </c>
      <c r="H18" s="120">
        <f t="shared" si="4"/>
        <v>1.5841171379999999</v>
      </c>
      <c r="I18" s="120">
        <f t="shared" si="4"/>
        <v>2401.5840963799997</v>
      </c>
      <c r="J18" s="120">
        <f t="shared" si="4"/>
        <v>2401.5840963799997</v>
      </c>
      <c r="K18" s="120">
        <f t="shared" si="4"/>
        <v>2401.5840963799997</v>
      </c>
      <c r="L18" s="120">
        <f t="shared" si="4"/>
        <v>2401.5840963799997</v>
      </c>
      <c r="M18" s="120">
        <f t="shared" si="4"/>
        <v>2401.5840963799997</v>
      </c>
      <c r="N18" s="120">
        <f t="shared" si="4"/>
        <v>1.5841171379999999</v>
      </c>
      <c r="O18" s="120">
        <f t="shared" si="4"/>
        <v>1.5841171379999999</v>
      </c>
      <c r="P18" s="120">
        <f t="shared" si="4"/>
        <v>1.5841171379999999</v>
      </c>
      <c r="Q18" s="120">
        <f t="shared" si="4"/>
        <v>1.5841171379999999</v>
      </c>
      <c r="R18" s="120">
        <f t="shared" si="4"/>
        <v>1.5841171379999999</v>
      </c>
      <c r="S18" s="120">
        <f t="shared" si="4"/>
        <v>1.5841171379999999</v>
      </c>
      <c r="T18" s="120">
        <f t="shared" si="4"/>
        <v>1.5841171379999999</v>
      </c>
      <c r="U18" s="120">
        <f t="shared" si="4"/>
        <v>1.5841171379999999</v>
      </c>
      <c r="V18" s="120">
        <f t="shared" si="4"/>
        <v>1.5841171379999999</v>
      </c>
      <c r="W18" s="120">
        <f t="shared" si="4"/>
        <v>1.5841171379999999</v>
      </c>
      <c r="X18" s="120">
        <f t="shared" si="4"/>
        <v>1.5841171379999999</v>
      </c>
      <c r="Y18" s="120">
        <f t="shared" si="4"/>
        <v>1.5841171379999999</v>
      </c>
      <c r="Z18" s="120">
        <f t="shared" si="4"/>
        <v>1.5841171379999999</v>
      </c>
      <c r="AA18" s="120">
        <f t="shared" si="4"/>
        <v>1.5841171379999999</v>
      </c>
      <c r="AB18" s="120">
        <f t="shared" si="4"/>
        <v>1.5841171379999999</v>
      </c>
      <c r="AC18" s="120">
        <f t="shared" si="4"/>
        <v>1.5841171379999999</v>
      </c>
      <c r="AD18" s="120">
        <f t="shared" si="4"/>
        <v>1.5841171379999999</v>
      </c>
      <c r="AE18" s="120">
        <f t="shared" si="4"/>
        <v>1.5841171379999999</v>
      </c>
      <c r="AF18" s="120">
        <f t="shared" si="4"/>
        <v>1.5841171379999999</v>
      </c>
      <c r="AG18" s="120">
        <f t="shared" si="4"/>
        <v>1.5841171379999999</v>
      </c>
      <c r="AH18" s="120">
        <f t="shared" si="4"/>
        <v>1.5841171379999999</v>
      </c>
      <c r="AI18" s="120">
        <f t="shared" si="4"/>
        <v>1.5841171379999999</v>
      </c>
      <c r="AJ18" s="120">
        <f t="shared" si="4"/>
        <v>1.5841171379999999</v>
      </c>
      <c r="AK18" s="120">
        <f t="shared" si="4"/>
        <v>1.5841171379999999</v>
      </c>
      <c r="AL18" s="168">
        <f t="shared" si="4"/>
        <v>1.5841171379999999</v>
      </c>
      <c r="AM18" s="120">
        <f t="shared" si="4"/>
        <v>1.5949507380000001</v>
      </c>
      <c r="AN18" s="120">
        <f t="shared" si="4"/>
        <v>1.6159127379999998</v>
      </c>
      <c r="AO18" s="120">
        <f t="shared" si="4"/>
        <v>1.6159127379999998</v>
      </c>
      <c r="AP18" s="168">
        <f t="shared" si="4"/>
        <v>1.5852073019999999</v>
      </c>
      <c r="AQ18" s="120">
        <f t="shared" si="4"/>
        <v>0.49973940000000006</v>
      </c>
      <c r="AR18" s="120">
        <f t="shared" si="4"/>
        <v>0.49973940000000006</v>
      </c>
      <c r="AS18" s="120">
        <f t="shared" si="4"/>
        <v>0.49973940000000006</v>
      </c>
      <c r="AT18" s="120">
        <f t="shared" si="4"/>
        <v>0.49973940000000006</v>
      </c>
      <c r="AU18" s="120">
        <f t="shared" si="4"/>
        <v>4.101322109999999E-2</v>
      </c>
      <c r="AV18" s="120">
        <f t="shared" si="4"/>
        <v>4.101322109999999E-2</v>
      </c>
      <c r="AW18" s="120">
        <f t="shared" si="4"/>
        <v>4.101322109999999E-2</v>
      </c>
      <c r="AX18" s="120">
        <f t="shared" si="4"/>
        <v>4.101322109999999E-2</v>
      </c>
      <c r="AY18" s="120">
        <f t="shared" si="4"/>
        <v>4.3122644999999987E-2</v>
      </c>
      <c r="AZ18" s="120">
        <f t="shared" si="4"/>
        <v>4.3122644999999987E-2</v>
      </c>
      <c r="BA18" s="120">
        <f t="shared" si="4"/>
        <v>0.1527394</v>
      </c>
      <c r="BB18" s="120">
        <f t="shared" si="4"/>
        <v>4.101322109999999E-2</v>
      </c>
      <c r="BC18" s="120">
        <f t="shared" si="4"/>
        <v>4.101322109999999E-2</v>
      </c>
      <c r="BD18" s="120">
        <f t="shared" si="4"/>
        <v>4.3122644999999987E-2</v>
      </c>
      <c r="BE18" s="168">
        <f t="shared" si="4"/>
        <v>4.101322109999999E-2</v>
      </c>
      <c r="BF18" s="120">
        <f t="shared" si="4"/>
        <v>1.8879582000000001</v>
      </c>
      <c r="BG18" s="120">
        <f t="shared" si="4"/>
        <v>1.8879582000000001</v>
      </c>
      <c r="BH18" s="120">
        <f t="shared" si="4"/>
        <v>1.8879582000000001</v>
      </c>
      <c r="BI18" s="120">
        <f t="shared" si="4"/>
        <v>1.8879582000000001</v>
      </c>
      <c r="BJ18" s="120">
        <f t="shared" si="4"/>
        <v>1.8879582000000001</v>
      </c>
      <c r="BK18" s="120">
        <f t="shared" si="4"/>
        <v>1.8879582000000001</v>
      </c>
      <c r="BL18" s="120">
        <f t="shared" si="4"/>
        <v>1.8879582000000001</v>
      </c>
      <c r="BM18" s="120">
        <f t="shared" si="4"/>
        <v>1.8879582000000001</v>
      </c>
      <c r="BN18" s="120">
        <f t="shared" si="4"/>
        <v>1.8879582000000001</v>
      </c>
      <c r="BO18" s="168">
        <f t="shared" ref="BO18:CH18" si="5">SUM(BO20:BO77)</f>
        <v>1.8879582000000001</v>
      </c>
      <c r="BP18" s="120">
        <f t="shared" si="5"/>
        <v>1.8879582000000001</v>
      </c>
      <c r="BQ18" s="120">
        <f t="shared" si="5"/>
        <v>1.8879582000000001</v>
      </c>
      <c r="BR18" s="120">
        <f t="shared" si="5"/>
        <v>1.8879582000000001</v>
      </c>
      <c r="BS18" s="168">
        <f t="shared" si="5"/>
        <v>1.8879582000000001</v>
      </c>
      <c r="BT18" s="120">
        <f t="shared" si="5"/>
        <v>3.8634843892599982E-2</v>
      </c>
      <c r="BU18" s="120">
        <f t="shared" si="5"/>
        <v>3.8634843892599982E-2</v>
      </c>
      <c r="BV18" s="120">
        <f t="shared" si="5"/>
        <v>3.8634843892599982E-2</v>
      </c>
      <c r="BW18" s="120">
        <f t="shared" si="5"/>
        <v>3.8634843892599982E-2</v>
      </c>
      <c r="BX18" s="120">
        <f t="shared" si="5"/>
        <v>3.8634843892599982E-2</v>
      </c>
      <c r="BY18" s="120">
        <f t="shared" si="5"/>
        <v>3.8634843892599982E-2</v>
      </c>
      <c r="BZ18" s="120">
        <f t="shared" si="5"/>
        <v>3.8634843892599982E-2</v>
      </c>
      <c r="CA18" s="120">
        <f t="shared" si="5"/>
        <v>3.8634843892599982E-2</v>
      </c>
      <c r="CB18" s="120">
        <f t="shared" si="5"/>
        <v>3.8634843892599982E-2</v>
      </c>
      <c r="CC18" s="120">
        <f t="shared" si="5"/>
        <v>3.8634843892599982E-2</v>
      </c>
      <c r="CD18" s="120">
        <f t="shared" si="5"/>
        <v>3.8634843892599982E-2</v>
      </c>
      <c r="CE18" s="120">
        <f t="shared" si="5"/>
        <v>3.8634843892599982E-2</v>
      </c>
      <c r="CF18" s="120">
        <f t="shared" si="5"/>
        <v>3.8634843892599982E-2</v>
      </c>
      <c r="CG18" s="120">
        <f t="shared" si="5"/>
        <v>3.8634843892599982E-2</v>
      </c>
      <c r="CH18" s="169">
        <f t="shared" si="5"/>
        <v>3.8634843892599982E-2</v>
      </c>
    </row>
    <row r="19" spans="1:86">
      <c r="A19" s="174" t="s">
        <v>545</v>
      </c>
      <c r="B19" s="151"/>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68"/>
      <c r="AM19" s="120"/>
      <c r="AN19" s="120"/>
      <c r="AO19" s="120"/>
      <c r="AP19" s="168"/>
      <c r="AQ19" s="120"/>
      <c r="AR19" s="120"/>
      <c r="AS19" s="120"/>
      <c r="AT19" s="120"/>
      <c r="AU19" s="120"/>
      <c r="AV19" s="120"/>
      <c r="AW19" s="120"/>
      <c r="AX19" s="120"/>
      <c r="AY19" s="120"/>
      <c r="AZ19" s="120"/>
      <c r="BA19" s="120"/>
      <c r="BB19" s="120"/>
      <c r="BC19" s="120"/>
      <c r="BD19" s="120"/>
      <c r="BE19" s="168"/>
      <c r="BF19" s="151"/>
      <c r="BG19" s="151"/>
      <c r="BH19" s="151"/>
      <c r="BI19" s="151"/>
      <c r="BJ19" s="151"/>
      <c r="BK19" s="151"/>
      <c r="BL19" s="151"/>
      <c r="BM19" s="151"/>
      <c r="BN19" s="151"/>
      <c r="BO19" s="158"/>
      <c r="BP19" s="151" t="s">
        <v>405</v>
      </c>
      <c r="BQ19" s="151"/>
      <c r="BR19" s="151"/>
      <c r="BS19" s="158"/>
      <c r="BT19" s="167"/>
      <c r="BU19" s="120"/>
      <c r="BV19" s="120"/>
      <c r="BW19" s="120"/>
      <c r="BX19" s="120"/>
      <c r="BY19" s="120"/>
      <c r="BZ19" s="120"/>
      <c r="CA19" s="151"/>
      <c r="CB19" s="151"/>
      <c r="CC19" s="151"/>
      <c r="CD19" s="151"/>
      <c r="CE19" s="151"/>
      <c r="CF19" s="151"/>
      <c r="CG19" s="151"/>
      <c r="CH19" s="161"/>
    </row>
    <row r="20" spans="1:86">
      <c r="A20" s="166" t="s">
        <v>546</v>
      </c>
      <c r="B20" s="120">
        <v>2.0000000000000002E-5</v>
      </c>
      <c r="C20" s="120">
        <v>2.0000000000000002E-5</v>
      </c>
      <c r="D20" s="120">
        <v>2.0000000000000002E-5</v>
      </c>
      <c r="E20" s="120">
        <v>2.0000000000000002E-5</v>
      </c>
      <c r="F20" s="120">
        <v>2.0000000000000002E-5</v>
      </c>
      <c r="G20" s="120">
        <v>2.0000000000000002E-5</v>
      </c>
      <c r="H20" s="120">
        <v>2.0000000000000002E-5</v>
      </c>
      <c r="I20" s="120">
        <v>2.0000000000000002E-5</v>
      </c>
      <c r="J20" s="120">
        <v>2.0000000000000002E-5</v>
      </c>
      <c r="K20" s="120">
        <v>2.0000000000000002E-5</v>
      </c>
      <c r="L20" s="120">
        <v>2.0000000000000002E-5</v>
      </c>
      <c r="M20" s="120">
        <v>2.0000000000000002E-5</v>
      </c>
      <c r="N20" s="120">
        <v>2.0000000000000002E-5</v>
      </c>
      <c r="O20" s="120">
        <v>2.0000000000000002E-5</v>
      </c>
      <c r="P20" s="120">
        <v>2.0000000000000002E-5</v>
      </c>
      <c r="Q20" s="120">
        <v>2.0000000000000002E-5</v>
      </c>
      <c r="R20" s="120">
        <v>2.0000000000000002E-5</v>
      </c>
      <c r="S20" s="120">
        <v>2.0000000000000002E-5</v>
      </c>
      <c r="T20" s="120">
        <v>2.0000000000000002E-5</v>
      </c>
      <c r="U20" s="120">
        <v>2.0000000000000002E-5</v>
      </c>
      <c r="V20" s="120">
        <v>2.0000000000000002E-5</v>
      </c>
      <c r="W20" s="120">
        <v>2.0000000000000002E-5</v>
      </c>
      <c r="X20" s="120">
        <v>2.0000000000000002E-5</v>
      </c>
      <c r="Y20" s="120">
        <v>2.0000000000000002E-5</v>
      </c>
      <c r="Z20" s="120">
        <v>2.0000000000000002E-5</v>
      </c>
      <c r="AA20" s="120">
        <v>2.0000000000000002E-5</v>
      </c>
      <c r="AB20" s="120">
        <v>2.0000000000000002E-5</v>
      </c>
      <c r="AC20" s="120">
        <v>2.0000000000000002E-5</v>
      </c>
      <c r="AD20" s="120">
        <v>2.0000000000000002E-5</v>
      </c>
      <c r="AE20" s="120">
        <v>2.0000000000000002E-5</v>
      </c>
      <c r="AF20" s="120">
        <v>2.0000000000000002E-5</v>
      </c>
      <c r="AG20" s="120">
        <v>2.0000000000000002E-5</v>
      </c>
      <c r="AH20" s="120">
        <v>2.0000000000000002E-5</v>
      </c>
      <c r="AI20" s="120">
        <v>2.0000000000000002E-5</v>
      </c>
      <c r="AJ20" s="120">
        <v>2.0000000000000002E-5</v>
      </c>
      <c r="AK20" s="120">
        <v>2.0000000000000002E-5</v>
      </c>
      <c r="AL20" s="168">
        <v>2.0000000000000002E-5</v>
      </c>
      <c r="AM20" s="120">
        <v>2.0000000000000002E-5</v>
      </c>
      <c r="AN20" s="120">
        <v>2.0000000000000002E-5</v>
      </c>
      <c r="AO20" s="120">
        <v>2.0000000000000002E-5</v>
      </c>
      <c r="AP20" s="168">
        <v>2.0000000000000002E-5</v>
      </c>
      <c r="AQ20" s="120">
        <v>2.3599999999999999E-4</v>
      </c>
      <c r="AR20" s="120">
        <v>2.3599999999999999E-4</v>
      </c>
      <c r="AS20" s="120">
        <v>2.3599999999999999E-4</v>
      </c>
      <c r="AT20" s="120">
        <v>2.3599999999999999E-4</v>
      </c>
      <c r="AU20" s="120">
        <v>2.3599999999999999E-4</v>
      </c>
      <c r="AV20" s="120">
        <v>2.3599999999999999E-4</v>
      </c>
      <c r="AW20" s="120">
        <v>2.3599999999999999E-4</v>
      </c>
      <c r="AX20" s="120">
        <v>2.3599999999999999E-4</v>
      </c>
      <c r="AY20" s="120">
        <v>2.3599999999999999E-4</v>
      </c>
      <c r="AZ20" s="120">
        <v>2.3599999999999999E-4</v>
      </c>
      <c r="BA20" s="120">
        <v>2.3599999999999999E-4</v>
      </c>
      <c r="BB20" s="120">
        <v>2.3599999999999999E-4</v>
      </c>
      <c r="BC20" s="120">
        <v>2.3599999999999999E-4</v>
      </c>
      <c r="BD20" s="120">
        <v>2.3599999999999999E-4</v>
      </c>
      <c r="BE20" s="168">
        <v>2.3599999999999999E-4</v>
      </c>
      <c r="BF20" s="151"/>
      <c r="BG20" s="151"/>
      <c r="BH20" s="151"/>
      <c r="BI20" s="151"/>
      <c r="BJ20" s="151"/>
      <c r="BK20" s="151"/>
      <c r="BL20" s="151"/>
      <c r="BM20" s="151"/>
      <c r="BN20" s="151"/>
      <c r="BO20" s="158"/>
      <c r="BP20" s="151"/>
      <c r="BQ20" s="151"/>
      <c r="BR20" s="151"/>
      <c r="BS20" s="151"/>
      <c r="BT20" s="167">
        <v>3.1000000000000001E-5</v>
      </c>
      <c r="BU20" s="120">
        <v>3.1000000000000001E-5</v>
      </c>
      <c r="BV20" s="120">
        <v>3.1000000000000001E-5</v>
      </c>
      <c r="BW20" s="120">
        <v>3.1000000000000001E-5</v>
      </c>
      <c r="BX20" s="120">
        <v>3.1000000000000001E-5</v>
      </c>
      <c r="BY20" s="120">
        <v>3.1000000000000001E-5</v>
      </c>
      <c r="BZ20" s="120">
        <v>3.1000000000000001E-5</v>
      </c>
      <c r="CA20" s="120">
        <v>3.1000000000000001E-5</v>
      </c>
      <c r="CB20" s="120">
        <v>3.1000000000000001E-5</v>
      </c>
      <c r="CC20" s="120">
        <v>3.1000000000000001E-5</v>
      </c>
      <c r="CD20" s="120">
        <v>3.1000000000000001E-5</v>
      </c>
      <c r="CE20" s="120">
        <v>3.1000000000000001E-5</v>
      </c>
      <c r="CF20" s="120">
        <v>3.1000000000000001E-5</v>
      </c>
      <c r="CG20" s="120">
        <v>3.1000000000000001E-5</v>
      </c>
      <c r="CH20" s="169">
        <v>3.1000000000000001E-5</v>
      </c>
    </row>
    <row r="21" spans="1:86">
      <c r="A21" s="166" t="s">
        <v>547</v>
      </c>
      <c r="B21" s="120">
        <v>1.1999999999999999E-6</v>
      </c>
      <c r="C21" s="120">
        <v>1.1999999999999999E-6</v>
      </c>
      <c r="D21" s="120">
        <v>1.1999999999999999E-6</v>
      </c>
      <c r="E21" s="120">
        <v>1.1999999999999999E-6</v>
      </c>
      <c r="F21" s="120">
        <v>1.1999999999999999E-6</v>
      </c>
      <c r="G21" s="120">
        <v>1.1999999999999999E-6</v>
      </c>
      <c r="H21" s="120">
        <v>1.1999999999999999E-6</v>
      </c>
      <c r="I21" s="120">
        <v>1.1999999999999999E-6</v>
      </c>
      <c r="J21" s="120">
        <v>1.1999999999999999E-6</v>
      </c>
      <c r="K21" s="120">
        <v>1.1999999999999999E-6</v>
      </c>
      <c r="L21" s="120">
        <v>1.1999999999999999E-6</v>
      </c>
      <c r="M21" s="120">
        <v>1.1999999999999999E-6</v>
      </c>
      <c r="N21" s="120">
        <v>1.1999999999999999E-6</v>
      </c>
      <c r="O21" s="120">
        <v>1.1999999999999999E-6</v>
      </c>
      <c r="P21" s="120">
        <v>1.1999999999999999E-6</v>
      </c>
      <c r="Q21" s="120">
        <v>1.1999999999999999E-6</v>
      </c>
      <c r="R21" s="120">
        <v>1.1999999999999999E-6</v>
      </c>
      <c r="S21" s="120">
        <v>1.1999999999999999E-6</v>
      </c>
      <c r="T21" s="120">
        <v>1.1999999999999999E-6</v>
      </c>
      <c r="U21" s="120">
        <v>1.1999999999999999E-6</v>
      </c>
      <c r="V21" s="120">
        <v>1.1999999999999999E-6</v>
      </c>
      <c r="W21" s="120">
        <v>1.1999999999999999E-6</v>
      </c>
      <c r="X21" s="120">
        <v>1.1999999999999999E-6</v>
      </c>
      <c r="Y21" s="120">
        <v>1.1999999999999999E-6</v>
      </c>
      <c r="Z21" s="120">
        <v>1.1999999999999999E-6</v>
      </c>
      <c r="AA21" s="120">
        <v>1.1999999999999999E-6</v>
      </c>
      <c r="AB21" s="120">
        <v>1.1999999999999999E-6</v>
      </c>
      <c r="AC21" s="120">
        <v>1.1999999999999999E-6</v>
      </c>
      <c r="AD21" s="120">
        <v>1.1999999999999999E-6</v>
      </c>
      <c r="AE21" s="120">
        <v>1.1999999999999999E-6</v>
      </c>
      <c r="AF21" s="120">
        <v>1.1999999999999999E-6</v>
      </c>
      <c r="AG21" s="120">
        <v>1.1999999999999999E-6</v>
      </c>
      <c r="AH21" s="120">
        <v>1.1999999999999999E-6</v>
      </c>
      <c r="AI21" s="120">
        <v>1.1999999999999999E-6</v>
      </c>
      <c r="AJ21" s="120">
        <v>1.1999999999999999E-6</v>
      </c>
      <c r="AK21" s="120">
        <v>1.1999999999999999E-6</v>
      </c>
      <c r="AL21" s="168">
        <v>1.1999999999999999E-6</v>
      </c>
      <c r="AM21" s="120">
        <v>1.1999999999999999E-6</v>
      </c>
      <c r="AN21" s="120">
        <v>1.1999999999999999E-6</v>
      </c>
      <c r="AO21" s="120">
        <v>1.1999999999999999E-6</v>
      </c>
      <c r="AP21" s="168">
        <v>1.1999999999999999E-6</v>
      </c>
      <c r="AQ21" s="120"/>
      <c r="AR21" s="120"/>
      <c r="AS21" s="120"/>
      <c r="AT21" s="120"/>
      <c r="AU21" s="120"/>
      <c r="AV21" s="120"/>
      <c r="AW21" s="120"/>
      <c r="AX21" s="120"/>
      <c r="AY21" s="120"/>
      <c r="AZ21" s="120"/>
      <c r="BA21" s="120"/>
      <c r="BB21" s="120"/>
      <c r="BC21" s="120"/>
      <c r="BD21" s="120"/>
      <c r="BE21" s="168"/>
      <c r="BF21" s="151"/>
      <c r="BG21" s="151"/>
      <c r="BH21" s="151"/>
      <c r="BI21" s="151"/>
      <c r="BJ21" s="151"/>
      <c r="BK21" s="151"/>
      <c r="BL21" s="151"/>
      <c r="BM21" s="151"/>
      <c r="BN21" s="151"/>
      <c r="BO21" s="158"/>
      <c r="BP21" s="151"/>
      <c r="BQ21" s="151"/>
      <c r="BR21" s="151"/>
      <c r="BS21" s="151"/>
      <c r="BT21" s="167">
        <v>5.5000000000000002E-5</v>
      </c>
      <c r="BU21" s="120">
        <v>5.5000000000000002E-5</v>
      </c>
      <c r="BV21" s="120">
        <v>5.5000000000000002E-5</v>
      </c>
      <c r="BW21" s="120">
        <v>5.5000000000000002E-5</v>
      </c>
      <c r="BX21" s="120">
        <v>5.5000000000000002E-5</v>
      </c>
      <c r="BY21" s="120">
        <v>5.5000000000000002E-5</v>
      </c>
      <c r="BZ21" s="120">
        <v>5.5000000000000002E-5</v>
      </c>
      <c r="CA21" s="120">
        <v>5.5000000000000002E-5</v>
      </c>
      <c r="CB21" s="120">
        <v>5.5000000000000002E-5</v>
      </c>
      <c r="CC21" s="120">
        <v>5.5000000000000002E-5</v>
      </c>
      <c r="CD21" s="120">
        <v>5.5000000000000002E-5</v>
      </c>
      <c r="CE21" s="120">
        <v>5.5000000000000002E-5</v>
      </c>
      <c r="CF21" s="120">
        <v>5.5000000000000002E-5</v>
      </c>
      <c r="CG21" s="120">
        <v>5.5000000000000002E-5</v>
      </c>
      <c r="CH21" s="169">
        <v>5.5000000000000002E-5</v>
      </c>
    </row>
    <row r="22" spans="1:86">
      <c r="A22" s="166" t="s">
        <v>548</v>
      </c>
      <c r="B22" s="120">
        <v>4.0000000000000003E-5</v>
      </c>
      <c r="C22" s="120">
        <v>4.0000000000000003E-5</v>
      </c>
      <c r="D22" s="120">
        <v>4.0000000000000003E-5</v>
      </c>
      <c r="E22" s="120">
        <v>4.0000000000000003E-5</v>
      </c>
      <c r="F22" s="120">
        <v>4.0000000000000003E-5</v>
      </c>
      <c r="G22" s="120">
        <v>4.0000000000000003E-5</v>
      </c>
      <c r="H22" s="120">
        <v>4.0000000000000003E-5</v>
      </c>
      <c r="I22" s="120">
        <v>4.0000000000000003E-5</v>
      </c>
      <c r="J22" s="120">
        <v>4.0000000000000003E-5</v>
      </c>
      <c r="K22" s="120">
        <v>4.0000000000000003E-5</v>
      </c>
      <c r="L22" s="120">
        <v>4.0000000000000003E-5</v>
      </c>
      <c r="M22" s="120">
        <v>4.0000000000000003E-5</v>
      </c>
      <c r="N22" s="120">
        <v>4.0000000000000003E-5</v>
      </c>
      <c r="O22" s="120">
        <v>4.0000000000000003E-5</v>
      </c>
      <c r="P22" s="120">
        <v>4.0000000000000003E-5</v>
      </c>
      <c r="Q22" s="120">
        <v>4.0000000000000003E-5</v>
      </c>
      <c r="R22" s="120">
        <v>4.0000000000000003E-5</v>
      </c>
      <c r="S22" s="120">
        <v>4.0000000000000003E-5</v>
      </c>
      <c r="T22" s="120">
        <v>4.0000000000000003E-5</v>
      </c>
      <c r="U22" s="120">
        <v>4.0000000000000003E-5</v>
      </c>
      <c r="V22" s="120">
        <v>4.0000000000000003E-5</v>
      </c>
      <c r="W22" s="120">
        <v>4.0000000000000003E-5</v>
      </c>
      <c r="X22" s="120">
        <v>4.0000000000000003E-5</v>
      </c>
      <c r="Y22" s="120">
        <v>4.0000000000000003E-5</v>
      </c>
      <c r="Z22" s="120">
        <v>4.0000000000000003E-5</v>
      </c>
      <c r="AA22" s="120">
        <v>4.0000000000000003E-5</v>
      </c>
      <c r="AB22" s="120">
        <v>4.0000000000000003E-5</v>
      </c>
      <c r="AC22" s="120">
        <v>4.0000000000000003E-5</v>
      </c>
      <c r="AD22" s="120">
        <v>4.0000000000000003E-5</v>
      </c>
      <c r="AE22" s="120">
        <v>4.0000000000000003E-5</v>
      </c>
      <c r="AF22" s="120">
        <v>4.0000000000000003E-5</v>
      </c>
      <c r="AG22" s="120">
        <v>4.0000000000000003E-5</v>
      </c>
      <c r="AH22" s="120">
        <v>4.0000000000000003E-5</v>
      </c>
      <c r="AI22" s="120">
        <v>4.0000000000000003E-5</v>
      </c>
      <c r="AJ22" s="120">
        <v>4.0000000000000003E-5</v>
      </c>
      <c r="AK22" s="120">
        <v>4.0000000000000003E-5</v>
      </c>
      <c r="AL22" s="168">
        <v>4.0000000000000003E-5</v>
      </c>
      <c r="AM22" s="120">
        <v>4.0000000000000003E-5</v>
      </c>
      <c r="AN22" s="120">
        <v>4.0000000000000003E-5</v>
      </c>
      <c r="AO22" s="120">
        <v>4.0000000000000003E-5</v>
      </c>
      <c r="AP22" s="168">
        <v>4.0000000000000003E-5</v>
      </c>
      <c r="AQ22" s="120"/>
      <c r="AR22" s="120"/>
      <c r="AS22" s="120"/>
      <c r="AT22" s="120"/>
      <c r="AU22" s="120"/>
      <c r="AV22" s="120"/>
      <c r="AW22" s="120"/>
      <c r="AX22" s="120"/>
      <c r="AY22" s="120"/>
      <c r="AZ22" s="120"/>
      <c r="BA22" s="120"/>
      <c r="BB22" s="120"/>
      <c r="BC22" s="120"/>
      <c r="BD22" s="120"/>
      <c r="BE22" s="168"/>
      <c r="BF22" s="151"/>
      <c r="BG22" s="151"/>
      <c r="BH22" s="151"/>
      <c r="BI22" s="151"/>
      <c r="BJ22" s="151"/>
      <c r="BK22" s="151"/>
      <c r="BL22" s="151"/>
      <c r="BM22" s="151"/>
      <c r="BN22" s="151"/>
      <c r="BO22" s="158"/>
      <c r="BP22" s="151"/>
      <c r="BQ22" s="151"/>
      <c r="BR22" s="151"/>
      <c r="BS22" s="151"/>
      <c r="BT22" s="167">
        <v>2.9E-5</v>
      </c>
      <c r="BU22" s="120">
        <v>2.9E-5</v>
      </c>
      <c r="BV22" s="120">
        <v>2.9E-5</v>
      </c>
      <c r="BW22" s="120">
        <v>2.9E-5</v>
      </c>
      <c r="BX22" s="120">
        <v>2.9E-5</v>
      </c>
      <c r="BY22" s="120">
        <v>2.9E-5</v>
      </c>
      <c r="BZ22" s="120">
        <v>2.9E-5</v>
      </c>
      <c r="CA22" s="120">
        <v>2.9E-5</v>
      </c>
      <c r="CB22" s="120">
        <v>2.9E-5</v>
      </c>
      <c r="CC22" s="120">
        <v>2.9E-5</v>
      </c>
      <c r="CD22" s="120">
        <v>2.9E-5</v>
      </c>
      <c r="CE22" s="120">
        <v>2.9E-5</v>
      </c>
      <c r="CF22" s="120">
        <v>2.9E-5</v>
      </c>
      <c r="CG22" s="120">
        <v>2.9E-5</v>
      </c>
      <c r="CH22" s="169">
        <v>2.9E-5</v>
      </c>
    </row>
    <row r="23" spans="1:86">
      <c r="A23" s="166" t="s">
        <v>89</v>
      </c>
      <c r="B23" s="120"/>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68"/>
      <c r="AM23" s="120"/>
      <c r="AN23" s="120"/>
      <c r="AO23" s="120"/>
      <c r="AP23" s="168"/>
      <c r="AQ23" s="120"/>
      <c r="AR23" s="120"/>
      <c r="AS23" s="120"/>
      <c r="AT23" s="120"/>
      <c r="AU23" s="120"/>
      <c r="AV23" s="120"/>
      <c r="AW23" s="120"/>
      <c r="AX23" s="120"/>
      <c r="AY23" s="120"/>
      <c r="AZ23" s="120"/>
      <c r="BA23" s="120"/>
      <c r="BB23" s="120"/>
      <c r="BC23" s="120"/>
      <c r="BD23" s="120"/>
      <c r="BE23" s="168"/>
      <c r="BF23" s="120">
        <v>1.1999999999999999E-3</v>
      </c>
      <c r="BG23" s="120">
        <v>1.1999999999999999E-3</v>
      </c>
      <c r="BH23" s="120">
        <v>1.1999999999999999E-3</v>
      </c>
      <c r="BI23" s="120">
        <v>1.1999999999999999E-3</v>
      </c>
      <c r="BJ23" s="120">
        <v>1.1999999999999999E-3</v>
      </c>
      <c r="BK23" s="120">
        <v>1.1999999999999999E-3</v>
      </c>
      <c r="BL23" s="120">
        <v>1.1999999999999999E-3</v>
      </c>
      <c r="BM23" s="120">
        <v>1.1999999999999999E-3</v>
      </c>
      <c r="BN23" s="120">
        <v>1.1999999999999999E-3</v>
      </c>
      <c r="BO23" s="168">
        <v>1.1999999999999999E-3</v>
      </c>
      <c r="BP23" s="120">
        <v>1.1999999999999999E-3</v>
      </c>
      <c r="BQ23" s="120">
        <v>1.1999999999999999E-3</v>
      </c>
      <c r="BR23" s="120">
        <v>1.1999999999999999E-3</v>
      </c>
      <c r="BS23" s="120">
        <v>1.1999999999999999E-3</v>
      </c>
      <c r="BT23" s="167"/>
      <c r="BU23" s="120"/>
      <c r="BV23" s="120"/>
      <c r="BW23" s="120"/>
      <c r="BX23" s="120"/>
      <c r="BY23" s="120"/>
      <c r="BZ23" s="120"/>
      <c r="CA23" s="120"/>
      <c r="CB23" s="120"/>
      <c r="CC23" s="120"/>
      <c r="CD23" s="120"/>
      <c r="CE23" s="120"/>
      <c r="CF23" s="120"/>
      <c r="CG23" s="120"/>
      <c r="CH23" s="169"/>
    </row>
    <row r="24" spans="1:86">
      <c r="A24" s="166" t="s">
        <v>549</v>
      </c>
      <c r="B24" s="120"/>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68"/>
      <c r="AM24" s="120"/>
      <c r="AN24" s="120"/>
      <c r="AO24" s="120"/>
      <c r="AP24" s="168"/>
      <c r="AQ24" s="120"/>
      <c r="AR24" s="120"/>
      <c r="AS24" s="120"/>
      <c r="AT24" s="120"/>
      <c r="AU24" s="120"/>
      <c r="AV24" s="120"/>
      <c r="AW24" s="120"/>
      <c r="AX24" s="120"/>
      <c r="AY24" s="120"/>
      <c r="AZ24" s="120"/>
      <c r="BA24" s="120"/>
      <c r="BB24" s="120"/>
      <c r="BC24" s="120"/>
      <c r="BD24" s="120"/>
      <c r="BE24" s="168"/>
      <c r="BF24" s="151"/>
      <c r="BG24" s="151"/>
      <c r="BH24" s="151"/>
      <c r="BI24" s="151"/>
      <c r="BJ24" s="151"/>
      <c r="BK24" s="151"/>
      <c r="BL24" s="151"/>
      <c r="BM24" s="151"/>
      <c r="BN24" s="151"/>
      <c r="BO24" s="158"/>
      <c r="BP24" s="151"/>
      <c r="BQ24" s="151"/>
      <c r="BR24" s="151"/>
      <c r="BS24" s="151"/>
      <c r="BT24" s="167">
        <v>3.3000000000000003E-5</v>
      </c>
      <c r="BU24" s="120">
        <v>3.3000000000000003E-5</v>
      </c>
      <c r="BV24" s="120">
        <v>3.3000000000000003E-5</v>
      </c>
      <c r="BW24" s="120">
        <v>3.3000000000000003E-5</v>
      </c>
      <c r="BX24" s="120">
        <v>3.3000000000000003E-5</v>
      </c>
      <c r="BY24" s="120">
        <v>3.3000000000000003E-5</v>
      </c>
      <c r="BZ24" s="120">
        <v>3.3000000000000003E-5</v>
      </c>
      <c r="CA24" s="120">
        <v>3.3000000000000003E-5</v>
      </c>
      <c r="CB24" s="120">
        <v>3.3000000000000003E-5</v>
      </c>
      <c r="CC24" s="120">
        <v>3.3000000000000003E-5</v>
      </c>
      <c r="CD24" s="120">
        <v>3.3000000000000003E-5</v>
      </c>
      <c r="CE24" s="120">
        <v>3.3000000000000003E-5</v>
      </c>
      <c r="CF24" s="120">
        <v>3.3000000000000003E-5</v>
      </c>
      <c r="CG24" s="120">
        <v>3.3000000000000003E-5</v>
      </c>
      <c r="CH24" s="169">
        <v>3.3000000000000003E-5</v>
      </c>
    </row>
    <row r="25" spans="1:86">
      <c r="A25" s="166" t="s">
        <v>550</v>
      </c>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68"/>
      <c r="AM25" s="120"/>
      <c r="AN25" s="120"/>
      <c r="AO25" s="120"/>
      <c r="AP25" s="168"/>
      <c r="AQ25" s="120"/>
      <c r="AR25" s="120"/>
      <c r="AS25" s="120"/>
      <c r="AT25" s="120"/>
      <c r="AU25" s="120"/>
      <c r="AV25" s="120"/>
      <c r="AW25" s="120"/>
      <c r="AX25" s="120"/>
      <c r="AY25" s="120"/>
      <c r="AZ25" s="120"/>
      <c r="BA25" s="120"/>
      <c r="BB25" s="120"/>
      <c r="BC25" s="120"/>
      <c r="BD25" s="120"/>
      <c r="BE25" s="168"/>
      <c r="BF25" s="151"/>
      <c r="BG25" s="151"/>
      <c r="BH25" s="151"/>
      <c r="BI25" s="151"/>
      <c r="BJ25" s="151"/>
      <c r="BK25" s="151"/>
      <c r="BL25" s="151"/>
      <c r="BM25" s="151"/>
      <c r="BN25" s="151"/>
      <c r="BO25" s="158"/>
      <c r="BP25" s="151"/>
      <c r="BQ25" s="151"/>
      <c r="BR25" s="151"/>
      <c r="BS25" s="151"/>
      <c r="BT25" s="167">
        <v>2.1999999999999998E-8</v>
      </c>
      <c r="BU25" s="120">
        <v>2.1999999999999998E-8</v>
      </c>
      <c r="BV25" s="120">
        <v>2.1999999999999998E-8</v>
      </c>
      <c r="BW25" s="120">
        <v>2.1999999999999998E-8</v>
      </c>
      <c r="BX25" s="120">
        <v>2.1999999999999998E-8</v>
      </c>
      <c r="BY25" s="120">
        <v>2.1999999999999998E-8</v>
      </c>
      <c r="BZ25" s="120">
        <v>2.1999999999999998E-8</v>
      </c>
      <c r="CA25" s="120">
        <v>2.1999999999999998E-8</v>
      </c>
      <c r="CB25" s="120">
        <v>2.1999999999999998E-8</v>
      </c>
      <c r="CC25" s="120">
        <v>2.1999999999999998E-8</v>
      </c>
      <c r="CD25" s="120">
        <v>2.1999999999999998E-8</v>
      </c>
      <c r="CE25" s="120">
        <v>2.1999999999999998E-8</v>
      </c>
      <c r="CF25" s="120">
        <v>2.1999999999999998E-8</v>
      </c>
      <c r="CG25" s="120">
        <v>2.1999999999999998E-8</v>
      </c>
      <c r="CH25" s="169">
        <v>2.1999999999999998E-8</v>
      </c>
    </row>
    <row r="26" spans="1:86">
      <c r="A26" s="166" t="s">
        <v>551</v>
      </c>
      <c r="B26" s="120"/>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68"/>
      <c r="AM26" s="120"/>
      <c r="AN26" s="120"/>
      <c r="AO26" s="120"/>
      <c r="AP26" s="168"/>
      <c r="AQ26" s="120"/>
      <c r="AR26" s="120"/>
      <c r="AS26" s="120"/>
      <c r="AT26" s="120"/>
      <c r="AU26" s="120"/>
      <c r="AV26" s="120"/>
      <c r="AW26" s="120"/>
      <c r="AX26" s="120"/>
      <c r="AY26" s="120"/>
      <c r="AZ26" s="120"/>
      <c r="BA26" s="120"/>
      <c r="BB26" s="120"/>
      <c r="BC26" s="120"/>
      <c r="BD26" s="120"/>
      <c r="BE26" s="168"/>
      <c r="BF26" s="151"/>
      <c r="BG26" s="151"/>
      <c r="BH26" s="151"/>
      <c r="BI26" s="151"/>
      <c r="BJ26" s="151"/>
      <c r="BK26" s="151"/>
      <c r="BL26" s="151"/>
      <c r="BM26" s="151"/>
      <c r="BN26" s="151"/>
      <c r="BO26" s="158"/>
      <c r="BP26" s="151"/>
      <c r="BQ26" s="151"/>
      <c r="BR26" s="151"/>
      <c r="BS26" s="151"/>
      <c r="BT26" s="167">
        <v>1.8E-7</v>
      </c>
      <c r="BU26" s="120">
        <v>1.8E-7</v>
      </c>
      <c r="BV26" s="120">
        <v>1.8E-7</v>
      </c>
      <c r="BW26" s="120">
        <v>1.8E-7</v>
      </c>
      <c r="BX26" s="120">
        <v>1.8E-7</v>
      </c>
      <c r="BY26" s="120">
        <v>1.8E-7</v>
      </c>
      <c r="BZ26" s="120">
        <v>1.8E-7</v>
      </c>
      <c r="CA26" s="120">
        <v>1.8E-7</v>
      </c>
      <c r="CB26" s="120">
        <v>1.8E-7</v>
      </c>
      <c r="CC26" s="120">
        <v>1.8E-7</v>
      </c>
      <c r="CD26" s="120">
        <v>1.8E-7</v>
      </c>
      <c r="CE26" s="120">
        <v>1.8E-7</v>
      </c>
      <c r="CF26" s="120">
        <v>1.8E-7</v>
      </c>
      <c r="CG26" s="120">
        <v>1.8E-7</v>
      </c>
      <c r="CH26" s="169">
        <v>1.8E-7</v>
      </c>
    </row>
    <row r="27" spans="1:86">
      <c r="A27" s="166" t="s">
        <v>552</v>
      </c>
      <c r="B27" s="120">
        <v>2.8000000000000002E-7</v>
      </c>
      <c r="C27" s="120">
        <v>2.8000000000000002E-7</v>
      </c>
      <c r="D27" s="120">
        <v>2.8000000000000002E-7</v>
      </c>
      <c r="E27" s="120">
        <v>2.8000000000000002E-7</v>
      </c>
      <c r="F27" s="120">
        <v>2.8000000000000002E-7</v>
      </c>
      <c r="G27" s="120">
        <v>2.8000000000000002E-7</v>
      </c>
      <c r="H27" s="120">
        <v>2.8000000000000002E-7</v>
      </c>
      <c r="I27" s="120">
        <v>2.8000000000000002E-7</v>
      </c>
      <c r="J27" s="120">
        <v>2.8000000000000002E-7</v>
      </c>
      <c r="K27" s="120">
        <v>2.8000000000000002E-7</v>
      </c>
      <c r="L27" s="120">
        <v>2.8000000000000002E-7</v>
      </c>
      <c r="M27" s="120">
        <v>2.8000000000000002E-7</v>
      </c>
      <c r="N27" s="120">
        <v>2.8000000000000002E-7</v>
      </c>
      <c r="O27" s="120">
        <v>2.8000000000000002E-7</v>
      </c>
      <c r="P27" s="120">
        <v>2.8000000000000002E-7</v>
      </c>
      <c r="Q27" s="120">
        <v>2.8000000000000002E-7</v>
      </c>
      <c r="R27" s="120">
        <v>2.8000000000000002E-7</v>
      </c>
      <c r="S27" s="120">
        <v>2.8000000000000002E-7</v>
      </c>
      <c r="T27" s="120">
        <v>2.8000000000000002E-7</v>
      </c>
      <c r="U27" s="120">
        <v>2.8000000000000002E-7</v>
      </c>
      <c r="V27" s="120">
        <v>2.8000000000000002E-7</v>
      </c>
      <c r="W27" s="120">
        <v>2.8000000000000002E-7</v>
      </c>
      <c r="X27" s="120">
        <v>2.8000000000000002E-7</v>
      </c>
      <c r="Y27" s="120">
        <v>2.8000000000000002E-7</v>
      </c>
      <c r="Z27" s="120">
        <v>2.8000000000000002E-7</v>
      </c>
      <c r="AA27" s="120">
        <v>2.8000000000000002E-7</v>
      </c>
      <c r="AB27" s="120">
        <v>2.8000000000000002E-7</v>
      </c>
      <c r="AC27" s="120">
        <v>2.8000000000000002E-7</v>
      </c>
      <c r="AD27" s="120">
        <v>2.8000000000000002E-7</v>
      </c>
      <c r="AE27" s="120">
        <v>2.8000000000000002E-7</v>
      </c>
      <c r="AF27" s="120">
        <v>2.8000000000000002E-7</v>
      </c>
      <c r="AG27" s="120">
        <v>2.8000000000000002E-7</v>
      </c>
      <c r="AH27" s="120">
        <v>2.8000000000000002E-7</v>
      </c>
      <c r="AI27" s="120">
        <v>2.8000000000000002E-7</v>
      </c>
      <c r="AJ27" s="120">
        <v>2.8000000000000002E-7</v>
      </c>
      <c r="AK27" s="120">
        <v>2.8000000000000002E-7</v>
      </c>
      <c r="AL27" s="168">
        <v>2.8000000000000002E-7</v>
      </c>
      <c r="AM27" s="120">
        <v>2.8000000000000002E-7</v>
      </c>
      <c r="AN27" s="120">
        <v>2.8000000000000002E-7</v>
      </c>
      <c r="AO27" s="120">
        <v>2.8000000000000002E-7</v>
      </c>
      <c r="AP27" s="168">
        <v>2.8000000000000002E-7</v>
      </c>
      <c r="AQ27" s="120"/>
      <c r="AR27" s="120"/>
      <c r="AS27" s="120"/>
      <c r="AT27" s="120"/>
      <c r="AU27" s="120"/>
      <c r="AV27" s="120"/>
      <c r="AW27" s="120"/>
      <c r="AX27" s="120"/>
      <c r="AY27" s="120"/>
      <c r="AZ27" s="120"/>
      <c r="BA27" s="120"/>
      <c r="BB27" s="120"/>
      <c r="BC27" s="120"/>
      <c r="BD27" s="120"/>
      <c r="BE27" s="168"/>
      <c r="BF27" s="151"/>
      <c r="BG27" s="151"/>
      <c r="BH27" s="151"/>
      <c r="BI27" s="151"/>
      <c r="BJ27" s="151"/>
      <c r="BK27" s="151"/>
      <c r="BL27" s="151"/>
      <c r="BM27" s="151"/>
      <c r="BN27" s="151"/>
      <c r="BO27" s="158"/>
      <c r="BP27" s="151"/>
      <c r="BQ27" s="151"/>
      <c r="BR27" s="151"/>
      <c r="BS27" s="151"/>
      <c r="BT27" s="167"/>
      <c r="BU27" s="120"/>
      <c r="BV27" s="120"/>
      <c r="BW27" s="120"/>
      <c r="BX27" s="120"/>
      <c r="BY27" s="120"/>
      <c r="BZ27" s="120"/>
      <c r="CA27" s="120"/>
      <c r="CB27" s="120"/>
      <c r="CC27" s="120"/>
      <c r="CD27" s="120"/>
      <c r="CE27" s="120"/>
      <c r="CF27" s="120"/>
      <c r="CG27" s="120"/>
      <c r="CH27" s="169"/>
    </row>
    <row r="28" spans="1:86">
      <c r="A28" s="166" t="s">
        <v>553</v>
      </c>
      <c r="B28" s="120">
        <v>6.9999999999999999E-6</v>
      </c>
      <c r="C28" s="120">
        <v>6.9999999999999999E-6</v>
      </c>
      <c r="D28" s="120">
        <v>6.9999999999999999E-6</v>
      </c>
      <c r="E28" s="120">
        <v>6.9999999999999999E-6</v>
      </c>
      <c r="F28" s="120">
        <v>6.9999999999999999E-6</v>
      </c>
      <c r="G28" s="120">
        <v>6.9999999999999999E-6</v>
      </c>
      <c r="H28" s="120">
        <v>6.9999999999999999E-6</v>
      </c>
      <c r="I28" s="120">
        <v>6.9999999999999999E-6</v>
      </c>
      <c r="J28" s="120">
        <v>6.9999999999999999E-6</v>
      </c>
      <c r="K28" s="120">
        <v>6.9999999999999999E-6</v>
      </c>
      <c r="L28" s="120">
        <v>6.9999999999999999E-6</v>
      </c>
      <c r="M28" s="120">
        <v>6.9999999999999999E-6</v>
      </c>
      <c r="N28" s="120">
        <v>6.9999999999999999E-6</v>
      </c>
      <c r="O28" s="120">
        <v>6.9999999999999999E-6</v>
      </c>
      <c r="P28" s="120">
        <v>6.9999999999999999E-6</v>
      </c>
      <c r="Q28" s="120">
        <v>6.9999999999999999E-6</v>
      </c>
      <c r="R28" s="120">
        <v>6.9999999999999999E-6</v>
      </c>
      <c r="S28" s="120">
        <v>6.9999999999999999E-6</v>
      </c>
      <c r="T28" s="120">
        <v>6.9999999999999999E-6</v>
      </c>
      <c r="U28" s="120">
        <v>6.9999999999999999E-6</v>
      </c>
      <c r="V28" s="120">
        <v>6.9999999999999999E-6</v>
      </c>
      <c r="W28" s="120">
        <v>6.9999999999999999E-6</v>
      </c>
      <c r="X28" s="120">
        <v>6.9999999999999999E-6</v>
      </c>
      <c r="Y28" s="120">
        <v>6.9999999999999999E-6</v>
      </c>
      <c r="Z28" s="120">
        <v>6.9999999999999999E-6</v>
      </c>
      <c r="AA28" s="120">
        <v>6.9999999999999999E-6</v>
      </c>
      <c r="AB28" s="120">
        <v>6.9999999999999999E-6</v>
      </c>
      <c r="AC28" s="120">
        <v>6.9999999999999999E-6</v>
      </c>
      <c r="AD28" s="120">
        <v>6.9999999999999999E-6</v>
      </c>
      <c r="AE28" s="120">
        <v>6.9999999999999999E-6</v>
      </c>
      <c r="AF28" s="120">
        <v>6.9999999999999999E-6</v>
      </c>
      <c r="AG28" s="120">
        <v>6.9999999999999999E-6</v>
      </c>
      <c r="AH28" s="120">
        <v>6.9999999999999999E-6</v>
      </c>
      <c r="AI28" s="120">
        <v>6.9999999999999999E-6</v>
      </c>
      <c r="AJ28" s="120">
        <v>6.9999999999999999E-6</v>
      </c>
      <c r="AK28" s="120">
        <v>6.9999999999999999E-6</v>
      </c>
      <c r="AL28" s="168">
        <v>6.9999999999999999E-6</v>
      </c>
      <c r="AM28" s="120">
        <v>6.9999999999999999E-6</v>
      </c>
      <c r="AN28" s="120">
        <v>6.9999999999999999E-6</v>
      </c>
      <c r="AO28" s="120">
        <v>6.9999999999999999E-6</v>
      </c>
      <c r="AP28" s="168">
        <v>6.9999999999999999E-6</v>
      </c>
      <c r="AQ28" s="120"/>
      <c r="AR28" s="120"/>
      <c r="AS28" s="120"/>
      <c r="AT28" s="120"/>
      <c r="AU28" s="120"/>
      <c r="AV28" s="120"/>
      <c r="AW28" s="120"/>
      <c r="AX28" s="120"/>
      <c r="AY28" s="120"/>
      <c r="AZ28" s="120"/>
      <c r="BA28" s="120"/>
      <c r="BB28" s="120"/>
      <c r="BC28" s="120"/>
      <c r="BD28" s="120"/>
      <c r="BE28" s="168"/>
      <c r="BF28" s="151"/>
      <c r="BG28" s="151"/>
      <c r="BH28" s="151"/>
      <c r="BI28" s="151"/>
      <c r="BJ28" s="151"/>
      <c r="BK28" s="151"/>
      <c r="BL28" s="151"/>
      <c r="BM28" s="151"/>
      <c r="BN28" s="151"/>
      <c r="BO28" s="158"/>
      <c r="BP28" s="151"/>
      <c r="BQ28" s="151"/>
      <c r="BR28" s="151"/>
      <c r="BS28" s="151"/>
      <c r="BT28" s="167"/>
      <c r="BU28" s="120"/>
      <c r="BV28" s="120"/>
      <c r="BW28" s="120"/>
      <c r="BX28" s="120"/>
      <c r="BY28" s="120"/>
      <c r="BZ28" s="120"/>
      <c r="CA28" s="120"/>
      <c r="CB28" s="120"/>
      <c r="CC28" s="120"/>
      <c r="CD28" s="120"/>
      <c r="CE28" s="120"/>
      <c r="CF28" s="120"/>
      <c r="CG28" s="120"/>
      <c r="CH28" s="169"/>
    </row>
    <row r="29" spans="1:86">
      <c r="A29" s="166" t="s">
        <v>554</v>
      </c>
      <c r="B29" s="120">
        <v>5.6999999999999998E-4</v>
      </c>
      <c r="C29" s="120">
        <v>5.6999999999999998E-4</v>
      </c>
      <c r="D29" s="120">
        <v>5.6999999999999998E-4</v>
      </c>
      <c r="E29" s="120">
        <v>5.6999999999999998E-4</v>
      </c>
      <c r="F29" s="120">
        <v>5.6999999999999998E-4</v>
      </c>
      <c r="G29" s="120">
        <v>5.6999999999999998E-4</v>
      </c>
      <c r="H29" s="120">
        <v>5.6999999999999998E-4</v>
      </c>
      <c r="I29" s="120">
        <v>5.6999999999999998E-4</v>
      </c>
      <c r="J29" s="120">
        <v>5.6999999999999998E-4</v>
      </c>
      <c r="K29" s="120">
        <v>5.6999999999999998E-4</v>
      </c>
      <c r="L29" s="120">
        <v>5.6999999999999998E-4</v>
      </c>
      <c r="M29" s="120">
        <v>5.6999999999999998E-4</v>
      </c>
      <c r="N29" s="120">
        <v>5.6999999999999998E-4</v>
      </c>
      <c r="O29" s="120">
        <v>5.6999999999999998E-4</v>
      </c>
      <c r="P29" s="120">
        <v>5.6999999999999998E-4</v>
      </c>
      <c r="Q29" s="120">
        <v>5.6999999999999998E-4</v>
      </c>
      <c r="R29" s="120">
        <v>5.6999999999999998E-4</v>
      </c>
      <c r="S29" s="120">
        <v>5.6999999999999998E-4</v>
      </c>
      <c r="T29" s="120">
        <v>5.6999999999999998E-4</v>
      </c>
      <c r="U29" s="120">
        <v>5.6999999999999998E-4</v>
      </c>
      <c r="V29" s="120">
        <v>5.6999999999999998E-4</v>
      </c>
      <c r="W29" s="120">
        <v>5.6999999999999998E-4</v>
      </c>
      <c r="X29" s="120">
        <v>5.6999999999999998E-4</v>
      </c>
      <c r="Y29" s="120">
        <v>5.6999999999999998E-4</v>
      </c>
      <c r="Z29" s="120">
        <v>5.6999999999999998E-4</v>
      </c>
      <c r="AA29" s="120">
        <v>5.6999999999999998E-4</v>
      </c>
      <c r="AB29" s="120">
        <v>5.6999999999999998E-4</v>
      </c>
      <c r="AC29" s="120">
        <v>5.6999999999999998E-4</v>
      </c>
      <c r="AD29" s="120">
        <v>5.6999999999999998E-4</v>
      </c>
      <c r="AE29" s="120">
        <v>5.6999999999999998E-4</v>
      </c>
      <c r="AF29" s="120">
        <v>5.6999999999999998E-4</v>
      </c>
      <c r="AG29" s="120">
        <v>5.6999999999999998E-4</v>
      </c>
      <c r="AH29" s="120">
        <v>5.6999999999999998E-4</v>
      </c>
      <c r="AI29" s="120">
        <v>5.6999999999999998E-4</v>
      </c>
      <c r="AJ29" s="120">
        <v>5.6999999999999998E-4</v>
      </c>
      <c r="AK29" s="120">
        <v>5.6999999999999998E-4</v>
      </c>
      <c r="AL29" s="168">
        <v>5.6999999999999998E-4</v>
      </c>
      <c r="AM29" s="120">
        <v>5.6999999999999998E-4</v>
      </c>
      <c r="AN29" s="120">
        <v>5.6999999999999998E-4</v>
      </c>
      <c r="AO29" s="120">
        <v>5.6999999999999998E-4</v>
      </c>
      <c r="AP29" s="168">
        <v>5.6999999999999998E-4</v>
      </c>
      <c r="AQ29" s="120"/>
      <c r="AR29" s="120"/>
      <c r="AS29" s="120"/>
      <c r="AT29" s="120"/>
      <c r="AU29" s="120"/>
      <c r="AV29" s="120"/>
      <c r="AW29" s="120"/>
      <c r="AX29" s="120"/>
      <c r="AY29" s="120"/>
      <c r="AZ29" s="120"/>
      <c r="BA29" s="120"/>
      <c r="BB29" s="120"/>
      <c r="BC29" s="120"/>
      <c r="BD29" s="120"/>
      <c r="BE29" s="168"/>
      <c r="BF29" s="151"/>
      <c r="BG29" s="151"/>
      <c r="BH29" s="151"/>
      <c r="BI29" s="151"/>
      <c r="BJ29" s="151"/>
      <c r="BK29" s="151"/>
      <c r="BL29" s="151"/>
      <c r="BM29" s="151"/>
      <c r="BN29" s="151"/>
      <c r="BO29" s="158"/>
      <c r="BP29" s="151"/>
      <c r="BQ29" s="151"/>
      <c r="BR29" s="151"/>
      <c r="BS29" s="151"/>
      <c r="BT29" s="167">
        <v>8.3000000000000001E-4</v>
      </c>
      <c r="BU29" s="120">
        <v>8.3000000000000001E-4</v>
      </c>
      <c r="BV29" s="120">
        <v>8.3000000000000001E-4</v>
      </c>
      <c r="BW29" s="120">
        <v>8.3000000000000001E-4</v>
      </c>
      <c r="BX29" s="120">
        <v>8.3000000000000001E-4</v>
      </c>
      <c r="BY29" s="120">
        <v>8.3000000000000001E-4</v>
      </c>
      <c r="BZ29" s="120">
        <v>8.3000000000000001E-4</v>
      </c>
      <c r="CA29" s="120">
        <v>8.3000000000000001E-4</v>
      </c>
      <c r="CB29" s="120">
        <v>8.3000000000000001E-4</v>
      </c>
      <c r="CC29" s="120">
        <v>8.3000000000000001E-4</v>
      </c>
      <c r="CD29" s="120">
        <v>8.3000000000000001E-4</v>
      </c>
      <c r="CE29" s="120">
        <v>8.3000000000000001E-4</v>
      </c>
      <c r="CF29" s="120">
        <v>8.3000000000000001E-4</v>
      </c>
      <c r="CG29" s="120">
        <v>8.3000000000000001E-4</v>
      </c>
      <c r="CH29" s="169">
        <v>8.3000000000000001E-4</v>
      </c>
    </row>
    <row r="30" spans="1:86">
      <c r="A30" s="166" t="s">
        <v>555</v>
      </c>
      <c r="B30" s="120">
        <v>1.5E-5</v>
      </c>
      <c r="C30" s="120">
        <v>1.5E-5</v>
      </c>
      <c r="D30" s="120">
        <v>1.5E-5</v>
      </c>
      <c r="E30" s="120">
        <v>1.5E-5</v>
      </c>
      <c r="F30" s="120">
        <v>1.5E-5</v>
      </c>
      <c r="G30" s="120">
        <v>1.5E-5</v>
      </c>
      <c r="H30" s="120">
        <v>1.5E-5</v>
      </c>
      <c r="I30" s="120">
        <v>1.5E-5</v>
      </c>
      <c r="J30" s="120">
        <v>1.5E-5</v>
      </c>
      <c r="K30" s="120">
        <v>1.5E-5</v>
      </c>
      <c r="L30" s="120">
        <v>1.5E-5</v>
      </c>
      <c r="M30" s="120">
        <v>1.5E-5</v>
      </c>
      <c r="N30" s="120">
        <v>1.5E-5</v>
      </c>
      <c r="O30" s="120">
        <v>1.5E-5</v>
      </c>
      <c r="P30" s="120">
        <v>1.5E-5</v>
      </c>
      <c r="Q30" s="120">
        <v>1.5E-5</v>
      </c>
      <c r="R30" s="120">
        <v>1.5E-5</v>
      </c>
      <c r="S30" s="120">
        <v>1.5E-5</v>
      </c>
      <c r="T30" s="120">
        <v>1.5E-5</v>
      </c>
      <c r="U30" s="120">
        <v>1.5E-5</v>
      </c>
      <c r="V30" s="120">
        <v>1.5E-5</v>
      </c>
      <c r="W30" s="120">
        <v>1.5E-5</v>
      </c>
      <c r="X30" s="120">
        <v>1.5E-5</v>
      </c>
      <c r="Y30" s="120">
        <v>1.5E-5</v>
      </c>
      <c r="Z30" s="120">
        <v>1.5E-5</v>
      </c>
      <c r="AA30" s="120">
        <v>1.5E-5</v>
      </c>
      <c r="AB30" s="120">
        <v>1.5E-5</v>
      </c>
      <c r="AC30" s="120">
        <v>1.5E-5</v>
      </c>
      <c r="AD30" s="120">
        <v>1.5E-5</v>
      </c>
      <c r="AE30" s="120">
        <v>1.5E-5</v>
      </c>
      <c r="AF30" s="120">
        <v>1.5E-5</v>
      </c>
      <c r="AG30" s="120">
        <v>1.5E-5</v>
      </c>
      <c r="AH30" s="120">
        <v>1.5E-5</v>
      </c>
      <c r="AI30" s="120">
        <v>1.5E-5</v>
      </c>
      <c r="AJ30" s="120">
        <v>1.5E-5</v>
      </c>
      <c r="AK30" s="120">
        <v>1.5E-5</v>
      </c>
      <c r="AL30" s="168">
        <v>1.5E-5</v>
      </c>
      <c r="AM30" s="120">
        <v>1.5E-5</v>
      </c>
      <c r="AN30" s="120">
        <v>1.5E-5</v>
      </c>
      <c r="AO30" s="120">
        <v>1.5E-5</v>
      </c>
      <c r="AP30" s="168">
        <v>1.5E-5</v>
      </c>
      <c r="AQ30" s="120"/>
      <c r="AR30" s="120"/>
      <c r="AS30" s="120"/>
      <c r="AT30" s="120"/>
      <c r="AU30" s="120"/>
      <c r="AV30" s="120"/>
      <c r="AW30" s="120"/>
      <c r="AX30" s="120"/>
      <c r="AY30" s="120"/>
      <c r="AZ30" s="120"/>
      <c r="BA30" s="120"/>
      <c r="BB30" s="120"/>
      <c r="BC30" s="120"/>
      <c r="BD30" s="120"/>
      <c r="BE30" s="168"/>
      <c r="BF30" s="151"/>
      <c r="BG30" s="151"/>
      <c r="BH30" s="151"/>
      <c r="BI30" s="151"/>
      <c r="BJ30" s="151"/>
      <c r="BK30" s="151"/>
      <c r="BL30" s="151"/>
      <c r="BM30" s="151"/>
      <c r="BN30" s="151"/>
      <c r="BO30" s="158"/>
      <c r="BP30" s="151"/>
      <c r="BQ30" s="151"/>
      <c r="BR30" s="151"/>
      <c r="BS30" s="151"/>
      <c r="BT30" s="167">
        <v>3.2000000000000001E-9</v>
      </c>
      <c r="BU30" s="120">
        <v>3.2000000000000001E-9</v>
      </c>
      <c r="BV30" s="120">
        <v>3.2000000000000001E-9</v>
      </c>
      <c r="BW30" s="120">
        <v>3.2000000000000001E-9</v>
      </c>
      <c r="BX30" s="120">
        <v>3.2000000000000001E-9</v>
      </c>
      <c r="BY30" s="120">
        <v>3.2000000000000001E-9</v>
      </c>
      <c r="BZ30" s="120">
        <v>3.2000000000000001E-9</v>
      </c>
      <c r="CA30" s="120">
        <v>3.2000000000000001E-9</v>
      </c>
      <c r="CB30" s="120">
        <v>3.2000000000000001E-9</v>
      </c>
      <c r="CC30" s="120">
        <v>3.2000000000000001E-9</v>
      </c>
      <c r="CD30" s="120">
        <v>3.2000000000000001E-9</v>
      </c>
      <c r="CE30" s="120">
        <v>3.2000000000000001E-9</v>
      </c>
      <c r="CF30" s="120">
        <v>3.2000000000000001E-9</v>
      </c>
      <c r="CG30" s="120">
        <v>3.2000000000000001E-9</v>
      </c>
      <c r="CH30" s="169">
        <v>3.2000000000000001E-9</v>
      </c>
    </row>
    <row r="31" spans="1:86">
      <c r="A31" s="166" t="s">
        <v>556</v>
      </c>
      <c r="B31" s="120">
        <v>2.9E-4</v>
      </c>
      <c r="C31" s="120">
        <v>2.9E-4</v>
      </c>
      <c r="D31" s="120">
        <v>2.9E-4</v>
      </c>
      <c r="E31" s="120">
        <v>2.9E-4</v>
      </c>
      <c r="F31" s="120">
        <v>2.9E-4</v>
      </c>
      <c r="G31" s="120">
        <v>2.9E-4</v>
      </c>
      <c r="H31" s="120">
        <v>2.9E-4</v>
      </c>
      <c r="I31" s="120">
        <v>2.9E-4</v>
      </c>
      <c r="J31" s="120">
        <v>2.9E-4</v>
      </c>
      <c r="K31" s="120">
        <v>2.9E-4</v>
      </c>
      <c r="L31" s="120">
        <v>2.9E-4</v>
      </c>
      <c r="M31" s="120">
        <v>2.9E-4</v>
      </c>
      <c r="N31" s="120">
        <v>2.9E-4</v>
      </c>
      <c r="O31" s="120">
        <v>2.9E-4</v>
      </c>
      <c r="P31" s="120">
        <v>2.9E-4</v>
      </c>
      <c r="Q31" s="120">
        <v>2.9E-4</v>
      </c>
      <c r="R31" s="120">
        <v>2.9E-4</v>
      </c>
      <c r="S31" s="120">
        <v>2.9E-4</v>
      </c>
      <c r="T31" s="120">
        <v>2.9E-4</v>
      </c>
      <c r="U31" s="120">
        <v>2.9E-4</v>
      </c>
      <c r="V31" s="120">
        <v>2.9E-4</v>
      </c>
      <c r="W31" s="120">
        <v>2.9E-4</v>
      </c>
      <c r="X31" s="120">
        <v>2.9E-4</v>
      </c>
      <c r="Y31" s="120">
        <v>2.9E-4</v>
      </c>
      <c r="Z31" s="120">
        <v>2.9E-4</v>
      </c>
      <c r="AA31" s="120">
        <v>2.9E-4</v>
      </c>
      <c r="AB31" s="120">
        <v>2.9E-4</v>
      </c>
      <c r="AC31" s="120">
        <v>2.9E-4</v>
      </c>
      <c r="AD31" s="120">
        <v>2.9E-4</v>
      </c>
      <c r="AE31" s="120">
        <v>2.9E-4</v>
      </c>
      <c r="AF31" s="120">
        <v>2.9E-4</v>
      </c>
      <c r="AG31" s="120">
        <v>2.9E-4</v>
      </c>
      <c r="AH31" s="120">
        <v>2.9E-4</v>
      </c>
      <c r="AI31" s="120">
        <v>2.9E-4</v>
      </c>
      <c r="AJ31" s="120">
        <v>2.9E-4</v>
      </c>
      <c r="AK31" s="120">
        <v>2.9E-4</v>
      </c>
      <c r="AL31" s="168">
        <v>2.9E-4</v>
      </c>
      <c r="AM31" s="120">
        <v>2.9E-4</v>
      </c>
      <c r="AN31" s="120">
        <v>2.9E-4</v>
      </c>
      <c r="AO31" s="120">
        <v>2.9E-4</v>
      </c>
      <c r="AP31" s="168">
        <v>2.9E-4</v>
      </c>
      <c r="AQ31" s="120"/>
      <c r="AR31" s="120"/>
      <c r="AS31" s="120"/>
      <c r="AT31" s="120"/>
      <c r="AU31" s="120"/>
      <c r="AV31" s="120"/>
      <c r="AW31" s="120"/>
      <c r="AX31" s="120"/>
      <c r="AY31" s="120"/>
      <c r="AZ31" s="120"/>
      <c r="BA31" s="120"/>
      <c r="BB31" s="120"/>
      <c r="BC31" s="120"/>
      <c r="BD31" s="120"/>
      <c r="BE31" s="168"/>
      <c r="BF31" s="151"/>
      <c r="BG31" s="151"/>
      <c r="BH31" s="151"/>
      <c r="BI31" s="151"/>
      <c r="BJ31" s="151"/>
      <c r="BK31" s="151"/>
      <c r="BL31" s="151"/>
      <c r="BM31" s="151"/>
      <c r="BN31" s="151"/>
      <c r="BO31" s="158"/>
      <c r="BP31" s="151"/>
      <c r="BQ31" s="151"/>
      <c r="BR31" s="151"/>
      <c r="BS31" s="151"/>
      <c r="BT31" s="167">
        <v>4.0000000000000001E-3</v>
      </c>
      <c r="BU31" s="120">
        <v>4.0000000000000001E-3</v>
      </c>
      <c r="BV31" s="120">
        <v>4.0000000000000001E-3</v>
      </c>
      <c r="BW31" s="120">
        <v>4.0000000000000001E-3</v>
      </c>
      <c r="BX31" s="120">
        <v>4.0000000000000001E-3</v>
      </c>
      <c r="BY31" s="120">
        <v>4.0000000000000001E-3</v>
      </c>
      <c r="BZ31" s="120">
        <v>4.0000000000000001E-3</v>
      </c>
      <c r="CA31" s="120">
        <v>4.0000000000000001E-3</v>
      </c>
      <c r="CB31" s="120">
        <v>4.0000000000000001E-3</v>
      </c>
      <c r="CC31" s="120">
        <v>4.0000000000000001E-3</v>
      </c>
      <c r="CD31" s="120">
        <v>4.0000000000000001E-3</v>
      </c>
      <c r="CE31" s="120">
        <v>4.0000000000000001E-3</v>
      </c>
      <c r="CF31" s="120">
        <v>4.0000000000000001E-3</v>
      </c>
      <c r="CG31" s="120">
        <v>4.0000000000000001E-3</v>
      </c>
      <c r="CH31" s="169">
        <v>4.0000000000000001E-3</v>
      </c>
    </row>
    <row r="32" spans="1:86">
      <c r="A32" s="166" t="s">
        <v>557</v>
      </c>
      <c r="B32" s="120">
        <f t="shared" ref="B32:AP32" si="6">0.000018/(1-99.2%)</f>
        <v>2.2499999999999981E-3</v>
      </c>
      <c r="C32" s="120">
        <f t="shared" si="6"/>
        <v>2.2499999999999981E-3</v>
      </c>
      <c r="D32" s="120">
        <f t="shared" si="6"/>
        <v>2.2499999999999981E-3</v>
      </c>
      <c r="E32" s="120">
        <f t="shared" si="6"/>
        <v>2.2499999999999981E-3</v>
      </c>
      <c r="F32" s="120">
        <f t="shared" si="6"/>
        <v>2.2499999999999981E-3</v>
      </c>
      <c r="G32" s="120">
        <f t="shared" si="6"/>
        <v>2.2499999999999981E-3</v>
      </c>
      <c r="H32" s="120">
        <f t="shared" si="6"/>
        <v>2.2499999999999981E-3</v>
      </c>
      <c r="I32" s="120">
        <f t="shared" si="6"/>
        <v>2.2499999999999981E-3</v>
      </c>
      <c r="J32" s="120">
        <f t="shared" si="6"/>
        <v>2.2499999999999981E-3</v>
      </c>
      <c r="K32" s="120">
        <f t="shared" si="6"/>
        <v>2.2499999999999981E-3</v>
      </c>
      <c r="L32" s="120">
        <f t="shared" si="6"/>
        <v>2.2499999999999981E-3</v>
      </c>
      <c r="M32" s="120">
        <f t="shared" si="6"/>
        <v>2.2499999999999981E-3</v>
      </c>
      <c r="N32" s="120">
        <f t="shared" si="6"/>
        <v>2.2499999999999981E-3</v>
      </c>
      <c r="O32" s="120">
        <f t="shared" si="6"/>
        <v>2.2499999999999981E-3</v>
      </c>
      <c r="P32" s="120">
        <f t="shared" si="6"/>
        <v>2.2499999999999981E-3</v>
      </c>
      <c r="Q32" s="120">
        <f t="shared" si="6"/>
        <v>2.2499999999999981E-3</v>
      </c>
      <c r="R32" s="120">
        <f t="shared" si="6"/>
        <v>2.2499999999999981E-3</v>
      </c>
      <c r="S32" s="120">
        <f t="shared" si="6"/>
        <v>2.2499999999999981E-3</v>
      </c>
      <c r="T32" s="120">
        <f t="shared" si="6"/>
        <v>2.2499999999999981E-3</v>
      </c>
      <c r="U32" s="120">
        <f t="shared" si="6"/>
        <v>2.2499999999999981E-3</v>
      </c>
      <c r="V32" s="120">
        <f t="shared" si="6"/>
        <v>2.2499999999999981E-3</v>
      </c>
      <c r="W32" s="120">
        <f t="shared" si="6"/>
        <v>2.2499999999999981E-3</v>
      </c>
      <c r="X32" s="120">
        <f t="shared" si="6"/>
        <v>2.2499999999999981E-3</v>
      </c>
      <c r="Y32" s="120">
        <f t="shared" si="6"/>
        <v>2.2499999999999981E-3</v>
      </c>
      <c r="Z32" s="120">
        <f t="shared" si="6"/>
        <v>2.2499999999999981E-3</v>
      </c>
      <c r="AA32" s="120">
        <f t="shared" si="6"/>
        <v>2.2499999999999981E-3</v>
      </c>
      <c r="AB32" s="120">
        <f t="shared" si="6"/>
        <v>2.2499999999999981E-3</v>
      </c>
      <c r="AC32" s="120">
        <f t="shared" si="6"/>
        <v>2.2499999999999981E-3</v>
      </c>
      <c r="AD32" s="120">
        <f t="shared" si="6"/>
        <v>2.2499999999999981E-3</v>
      </c>
      <c r="AE32" s="120">
        <f t="shared" si="6"/>
        <v>2.2499999999999981E-3</v>
      </c>
      <c r="AF32" s="120">
        <f t="shared" si="6"/>
        <v>2.2499999999999981E-3</v>
      </c>
      <c r="AG32" s="120">
        <f t="shared" si="6"/>
        <v>2.2499999999999981E-3</v>
      </c>
      <c r="AH32" s="120">
        <f t="shared" si="6"/>
        <v>2.2499999999999981E-3</v>
      </c>
      <c r="AI32" s="120">
        <f t="shared" si="6"/>
        <v>2.2499999999999981E-3</v>
      </c>
      <c r="AJ32" s="120">
        <f t="shared" si="6"/>
        <v>2.2499999999999981E-3</v>
      </c>
      <c r="AK32" s="120">
        <f t="shared" si="6"/>
        <v>2.2499999999999981E-3</v>
      </c>
      <c r="AL32" s="168">
        <f t="shared" si="6"/>
        <v>2.2499999999999981E-3</v>
      </c>
      <c r="AM32" s="120">
        <f t="shared" si="6"/>
        <v>2.2499999999999981E-3</v>
      </c>
      <c r="AN32" s="120">
        <f t="shared" si="6"/>
        <v>2.2499999999999981E-3</v>
      </c>
      <c r="AO32" s="120">
        <f t="shared" si="6"/>
        <v>2.2499999999999981E-3</v>
      </c>
      <c r="AP32" s="168">
        <f t="shared" si="6"/>
        <v>2.2499999999999981E-3</v>
      </c>
      <c r="AQ32" s="120">
        <v>5.2500000000000003E-3</v>
      </c>
      <c r="AR32" s="120">
        <v>5.2500000000000003E-3</v>
      </c>
      <c r="AS32" s="120">
        <v>5.2500000000000003E-3</v>
      </c>
      <c r="AT32" s="120">
        <v>5.2500000000000003E-3</v>
      </c>
      <c r="AU32" s="120"/>
      <c r="AV32" s="120"/>
      <c r="AW32" s="120"/>
      <c r="AX32" s="120"/>
      <c r="AY32" s="120"/>
      <c r="AZ32" s="120"/>
      <c r="BA32" s="120">
        <v>5.2500000000000003E-3</v>
      </c>
      <c r="BB32" s="120"/>
      <c r="BC32" s="120"/>
      <c r="BD32" s="120"/>
      <c r="BE32" s="168"/>
      <c r="BF32" s="151"/>
      <c r="BG32" s="151"/>
      <c r="BH32" s="151"/>
      <c r="BI32" s="151"/>
      <c r="BJ32" s="151"/>
      <c r="BK32" s="151"/>
      <c r="BL32" s="151"/>
      <c r="BM32" s="151"/>
      <c r="BN32" s="151"/>
      <c r="BO32" s="158"/>
      <c r="BP32" s="151"/>
      <c r="BQ32" s="151"/>
      <c r="BR32" s="151"/>
      <c r="BS32" s="151"/>
      <c r="BT32" s="167">
        <v>7.9000000000000006E-6</v>
      </c>
      <c r="BU32" s="120">
        <v>7.9000000000000006E-6</v>
      </c>
      <c r="BV32" s="120">
        <v>7.9000000000000006E-6</v>
      </c>
      <c r="BW32" s="120">
        <v>7.9000000000000006E-6</v>
      </c>
      <c r="BX32" s="120">
        <v>7.9000000000000006E-6</v>
      </c>
      <c r="BY32" s="120">
        <v>7.9000000000000006E-6</v>
      </c>
      <c r="BZ32" s="120">
        <v>7.9000000000000006E-6</v>
      </c>
      <c r="CA32" s="120">
        <v>7.9000000000000006E-6</v>
      </c>
      <c r="CB32" s="120">
        <v>7.9000000000000006E-6</v>
      </c>
      <c r="CC32" s="120">
        <v>7.9000000000000006E-6</v>
      </c>
      <c r="CD32" s="120">
        <v>7.9000000000000006E-6</v>
      </c>
      <c r="CE32" s="120">
        <v>7.9000000000000006E-6</v>
      </c>
      <c r="CF32" s="120">
        <v>7.9000000000000006E-6</v>
      </c>
      <c r="CG32" s="120">
        <v>7.9000000000000006E-6</v>
      </c>
      <c r="CH32" s="169">
        <v>7.9000000000000006E-6</v>
      </c>
    </row>
    <row r="33" spans="1:86">
      <c r="A33" s="166" t="s">
        <v>90</v>
      </c>
      <c r="B33" s="120">
        <f t="shared" ref="B33:AL33" si="7">0.00041/(1-99.2%)</f>
        <v>5.1249999999999955E-2</v>
      </c>
      <c r="C33" s="120">
        <f t="shared" si="7"/>
        <v>5.1249999999999955E-2</v>
      </c>
      <c r="D33" s="120">
        <f t="shared" si="7"/>
        <v>5.1249999999999955E-2</v>
      </c>
      <c r="E33" s="120">
        <f t="shared" si="7"/>
        <v>5.1249999999999955E-2</v>
      </c>
      <c r="F33" s="120">
        <f t="shared" si="7"/>
        <v>5.1249999999999955E-2</v>
      </c>
      <c r="G33" s="120">
        <f t="shared" si="7"/>
        <v>5.1249999999999955E-2</v>
      </c>
      <c r="H33" s="120">
        <f t="shared" si="7"/>
        <v>5.1249999999999955E-2</v>
      </c>
      <c r="I33" s="120">
        <f t="shared" si="7"/>
        <v>5.1249999999999955E-2</v>
      </c>
      <c r="J33" s="120">
        <f t="shared" si="7"/>
        <v>5.1249999999999955E-2</v>
      </c>
      <c r="K33" s="120">
        <f t="shared" si="7"/>
        <v>5.1249999999999955E-2</v>
      </c>
      <c r="L33" s="120">
        <f t="shared" si="7"/>
        <v>5.1249999999999955E-2</v>
      </c>
      <c r="M33" s="120">
        <f t="shared" si="7"/>
        <v>5.1249999999999955E-2</v>
      </c>
      <c r="N33" s="120">
        <f t="shared" si="7"/>
        <v>5.1249999999999955E-2</v>
      </c>
      <c r="O33" s="120">
        <f t="shared" si="7"/>
        <v>5.1249999999999955E-2</v>
      </c>
      <c r="P33" s="120">
        <f t="shared" si="7"/>
        <v>5.1249999999999955E-2</v>
      </c>
      <c r="Q33" s="120">
        <f t="shared" si="7"/>
        <v>5.1249999999999955E-2</v>
      </c>
      <c r="R33" s="120">
        <f t="shared" si="7"/>
        <v>5.1249999999999955E-2</v>
      </c>
      <c r="S33" s="120">
        <f t="shared" si="7"/>
        <v>5.1249999999999955E-2</v>
      </c>
      <c r="T33" s="120">
        <f t="shared" si="7"/>
        <v>5.1249999999999955E-2</v>
      </c>
      <c r="U33" s="120">
        <f t="shared" si="7"/>
        <v>5.1249999999999955E-2</v>
      </c>
      <c r="V33" s="120">
        <f t="shared" si="7"/>
        <v>5.1249999999999955E-2</v>
      </c>
      <c r="W33" s="120">
        <f t="shared" si="7"/>
        <v>5.1249999999999955E-2</v>
      </c>
      <c r="X33" s="120">
        <f t="shared" si="7"/>
        <v>5.1249999999999955E-2</v>
      </c>
      <c r="Y33" s="120">
        <f t="shared" si="7"/>
        <v>5.1249999999999955E-2</v>
      </c>
      <c r="Z33" s="120">
        <f t="shared" si="7"/>
        <v>5.1249999999999955E-2</v>
      </c>
      <c r="AA33" s="120">
        <f t="shared" si="7"/>
        <v>5.1249999999999955E-2</v>
      </c>
      <c r="AB33" s="120">
        <f t="shared" si="7"/>
        <v>5.1249999999999955E-2</v>
      </c>
      <c r="AC33" s="120">
        <f t="shared" si="7"/>
        <v>5.1249999999999955E-2</v>
      </c>
      <c r="AD33" s="120">
        <f t="shared" si="7"/>
        <v>5.1249999999999955E-2</v>
      </c>
      <c r="AE33" s="120">
        <f t="shared" si="7"/>
        <v>5.1249999999999955E-2</v>
      </c>
      <c r="AF33" s="120">
        <f t="shared" si="7"/>
        <v>5.1249999999999955E-2</v>
      </c>
      <c r="AG33" s="120">
        <f t="shared" si="7"/>
        <v>5.1249999999999955E-2</v>
      </c>
      <c r="AH33" s="120">
        <f t="shared" si="7"/>
        <v>5.1249999999999955E-2</v>
      </c>
      <c r="AI33" s="120">
        <f t="shared" si="7"/>
        <v>5.1249999999999955E-2</v>
      </c>
      <c r="AJ33" s="120">
        <f t="shared" si="7"/>
        <v>5.1249999999999955E-2</v>
      </c>
      <c r="AK33" s="120">
        <f t="shared" si="7"/>
        <v>5.1249999999999955E-2</v>
      </c>
      <c r="AL33" s="168">
        <f t="shared" si="7"/>
        <v>5.1249999999999955E-2</v>
      </c>
      <c r="AM33" s="120">
        <v>1.9000000000000001E-4</v>
      </c>
      <c r="AN33" s="120">
        <f>0.00041/(1-99.2%)</f>
        <v>5.1249999999999955E-2</v>
      </c>
      <c r="AO33" s="120">
        <f>0.00041/(1-99.2%)</f>
        <v>5.1249999999999955E-2</v>
      </c>
      <c r="AP33" s="168">
        <f>0.00041/(1-99.2%)</f>
        <v>5.1249999999999955E-2</v>
      </c>
      <c r="AQ33" s="120">
        <v>1.32E-3</v>
      </c>
      <c r="AR33" s="120">
        <v>1.32E-3</v>
      </c>
      <c r="AS33" s="120">
        <v>1.32E-3</v>
      </c>
      <c r="AT33" s="120">
        <v>1.32E-3</v>
      </c>
      <c r="AU33" s="120">
        <v>4.0000000000000002E-9</v>
      </c>
      <c r="AV33" s="120">
        <v>4.0000000000000002E-9</v>
      </c>
      <c r="AW33" s="120">
        <v>4.0000000000000002E-9</v>
      </c>
      <c r="AX33" s="120">
        <v>4.0000000000000002E-9</v>
      </c>
      <c r="AY33" s="120">
        <v>4.0000000000000002E-9</v>
      </c>
      <c r="AZ33" s="120">
        <v>4.0000000000000002E-9</v>
      </c>
      <c r="BA33" s="120">
        <v>1.32E-3</v>
      </c>
      <c r="BB33" s="120">
        <v>4.0000000000000002E-9</v>
      </c>
      <c r="BC33" s="120">
        <v>4.0000000000000002E-9</v>
      </c>
      <c r="BD33" s="120">
        <v>4.0000000000000002E-9</v>
      </c>
      <c r="BE33" s="168">
        <v>4.0000000000000002E-9</v>
      </c>
      <c r="BF33" s="120">
        <v>2.0000000000000001E-4</v>
      </c>
      <c r="BG33" s="120">
        <v>2.0000000000000001E-4</v>
      </c>
      <c r="BH33" s="120">
        <v>2.0000000000000001E-4</v>
      </c>
      <c r="BI33" s="120">
        <v>2.0000000000000001E-4</v>
      </c>
      <c r="BJ33" s="120">
        <v>2.0000000000000001E-4</v>
      </c>
      <c r="BK33" s="120">
        <v>2.0000000000000001E-4</v>
      </c>
      <c r="BL33" s="120">
        <v>2.0000000000000001E-4</v>
      </c>
      <c r="BM33" s="120">
        <v>2.0000000000000001E-4</v>
      </c>
      <c r="BN33" s="120">
        <v>2.0000000000000001E-4</v>
      </c>
      <c r="BO33" s="168">
        <v>2.0000000000000001E-4</v>
      </c>
      <c r="BP33" s="120">
        <v>2.0000000000000001E-4</v>
      </c>
      <c r="BQ33" s="120">
        <v>2.0000000000000001E-4</v>
      </c>
      <c r="BR33" s="120">
        <v>2.0000000000000001E-4</v>
      </c>
      <c r="BS33" s="120">
        <v>2.0000000000000001E-4</v>
      </c>
      <c r="BT33" s="167">
        <v>2.1999999999999999E-5</v>
      </c>
      <c r="BU33" s="120">
        <v>2.1999999999999999E-5</v>
      </c>
      <c r="BV33" s="120">
        <v>2.1999999999999999E-5</v>
      </c>
      <c r="BW33" s="120">
        <v>2.1999999999999999E-5</v>
      </c>
      <c r="BX33" s="120">
        <v>2.1999999999999999E-5</v>
      </c>
      <c r="BY33" s="120">
        <v>2.1999999999999999E-5</v>
      </c>
      <c r="BZ33" s="120">
        <v>2.1999999999999999E-5</v>
      </c>
      <c r="CA33" s="120">
        <v>2.1999999999999999E-5</v>
      </c>
      <c r="CB33" s="120">
        <v>2.1999999999999999E-5</v>
      </c>
      <c r="CC33" s="120">
        <v>2.1999999999999999E-5</v>
      </c>
      <c r="CD33" s="120">
        <v>2.1999999999999999E-5</v>
      </c>
      <c r="CE33" s="120">
        <v>2.1999999999999999E-5</v>
      </c>
      <c r="CF33" s="120">
        <v>2.1999999999999999E-5</v>
      </c>
      <c r="CG33" s="120">
        <v>2.1999999999999999E-5</v>
      </c>
      <c r="CH33" s="169">
        <v>2.1999999999999999E-5</v>
      </c>
    </row>
    <row r="34" spans="1:86">
      <c r="A34" s="166" t="s">
        <v>91</v>
      </c>
      <c r="B34" s="120">
        <v>1.2999999999999999E-3</v>
      </c>
      <c r="C34" s="120">
        <v>1.2999999999999999E-3</v>
      </c>
      <c r="D34" s="120">
        <v>1.2999999999999999E-3</v>
      </c>
      <c r="E34" s="120">
        <v>1.2999999999999999E-3</v>
      </c>
      <c r="F34" s="120">
        <v>1.2999999999999999E-3</v>
      </c>
      <c r="G34" s="120">
        <v>1.2999999999999999E-3</v>
      </c>
      <c r="H34" s="120">
        <v>1.2999999999999999E-3</v>
      </c>
      <c r="I34" s="120">
        <v>1.2999999999999999E-3</v>
      </c>
      <c r="J34" s="120">
        <v>1.2999999999999999E-3</v>
      </c>
      <c r="K34" s="120">
        <v>1.2999999999999999E-3</v>
      </c>
      <c r="L34" s="120">
        <v>1.2999999999999999E-3</v>
      </c>
      <c r="M34" s="120">
        <v>1.2999999999999999E-3</v>
      </c>
      <c r="N34" s="120">
        <v>1.2999999999999999E-3</v>
      </c>
      <c r="O34" s="120">
        <v>1.2999999999999999E-3</v>
      </c>
      <c r="P34" s="120">
        <v>1.2999999999999999E-3</v>
      </c>
      <c r="Q34" s="120">
        <v>1.2999999999999999E-3</v>
      </c>
      <c r="R34" s="120">
        <v>1.2999999999999999E-3</v>
      </c>
      <c r="S34" s="120">
        <v>1.2999999999999999E-3</v>
      </c>
      <c r="T34" s="120">
        <v>1.2999999999999999E-3</v>
      </c>
      <c r="U34" s="120">
        <v>1.2999999999999999E-3</v>
      </c>
      <c r="V34" s="120">
        <v>1.2999999999999999E-3</v>
      </c>
      <c r="W34" s="120">
        <v>1.2999999999999999E-3</v>
      </c>
      <c r="X34" s="120">
        <v>1.2999999999999999E-3</v>
      </c>
      <c r="Y34" s="120">
        <v>1.2999999999999999E-3</v>
      </c>
      <c r="Z34" s="120">
        <v>1.2999999999999999E-3</v>
      </c>
      <c r="AA34" s="120">
        <v>1.2999999999999999E-3</v>
      </c>
      <c r="AB34" s="120">
        <v>1.2999999999999999E-3</v>
      </c>
      <c r="AC34" s="120">
        <v>1.2999999999999999E-3</v>
      </c>
      <c r="AD34" s="120">
        <v>1.2999999999999999E-3</v>
      </c>
      <c r="AE34" s="120">
        <v>1.2999999999999999E-3</v>
      </c>
      <c r="AF34" s="120">
        <v>1.2999999999999999E-3</v>
      </c>
      <c r="AG34" s="120">
        <v>1.2999999999999999E-3</v>
      </c>
      <c r="AH34" s="120">
        <v>1.2999999999999999E-3</v>
      </c>
      <c r="AI34" s="120">
        <v>1.2999999999999999E-3</v>
      </c>
      <c r="AJ34" s="120">
        <v>1.2999999999999999E-3</v>
      </c>
      <c r="AK34" s="120">
        <v>1.2999999999999999E-3</v>
      </c>
      <c r="AL34" s="168">
        <v>1.2999999999999999E-3</v>
      </c>
      <c r="AM34" s="120">
        <v>1.2999999999999999E-3</v>
      </c>
      <c r="AN34" s="120">
        <v>1.2999999999999999E-3</v>
      </c>
      <c r="AO34" s="120">
        <v>1.2999999999999999E-3</v>
      </c>
      <c r="AP34" s="168">
        <v>1.2999999999999999E-3</v>
      </c>
      <c r="AQ34" s="120">
        <v>2.14E-4</v>
      </c>
      <c r="AR34" s="120">
        <v>2.14E-4</v>
      </c>
      <c r="AS34" s="120">
        <v>2.14E-4</v>
      </c>
      <c r="AT34" s="120">
        <v>2.14E-4</v>
      </c>
      <c r="AU34" s="120">
        <v>2.14E-4</v>
      </c>
      <c r="AV34" s="120">
        <v>2.14E-4</v>
      </c>
      <c r="AW34" s="120">
        <v>2.14E-4</v>
      </c>
      <c r="AX34" s="120">
        <v>2.14E-4</v>
      </c>
      <c r="AY34" s="120">
        <v>2.14E-4</v>
      </c>
      <c r="AZ34" s="120">
        <v>2.14E-4</v>
      </c>
      <c r="BA34" s="120">
        <v>2.14E-4</v>
      </c>
      <c r="BB34" s="120">
        <v>2.14E-4</v>
      </c>
      <c r="BC34" s="120">
        <v>2.14E-4</v>
      </c>
      <c r="BD34" s="120">
        <v>2.14E-4</v>
      </c>
      <c r="BE34" s="168">
        <v>2.14E-4</v>
      </c>
      <c r="BF34" s="120">
        <v>2.0999999999999999E-3</v>
      </c>
      <c r="BG34" s="120">
        <v>2.0999999999999999E-3</v>
      </c>
      <c r="BH34" s="120">
        <v>2.0999999999999999E-3</v>
      </c>
      <c r="BI34" s="120">
        <v>2.0999999999999999E-3</v>
      </c>
      <c r="BJ34" s="120">
        <v>2.0999999999999999E-3</v>
      </c>
      <c r="BK34" s="120">
        <v>2.0999999999999999E-3</v>
      </c>
      <c r="BL34" s="120">
        <v>2.0999999999999999E-3</v>
      </c>
      <c r="BM34" s="120">
        <v>2.0999999999999999E-3</v>
      </c>
      <c r="BN34" s="120">
        <v>2.0999999999999999E-3</v>
      </c>
      <c r="BO34" s="168">
        <v>2.0999999999999999E-3</v>
      </c>
      <c r="BP34" s="120">
        <v>2.0999999999999999E-3</v>
      </c>
      <c r="BQ34" s="120">
        <v>2.0999999999999999E-3</v>
      </c>
      <c r="BR34" s="120">
        <v>2.0999999999999999E-3</v>
      </c>
      <c r="BS34" s="120">
        <v>2.0999999999999999E-3</v>
      </c>
      <c r="BT34" s="167">
        <v>4.1999999999999997E-3</v>
      </c>
      <c r="BU34" s="120">
        <v>4.1999999999999997E-3</v>
      </c>
      <c r="BV34" s="120">
        <v>4.1999999999999997E-3</v>
      </c>
      <c r="BW34" s="120">
        <v>4.1999999999999997E-3</v>
      </c>
      <c r="BX34" s="120">
        <v>4.1999999999999997E-3</v>
      </c>
      <c r="BY34" s="120">
        <v>4.1999999999999997E-3</v>
      </c>
      <c r="BZ34" s="120">
        <v>4.1999999999999997E-3</v>
      </c>
      <c r="CA34" s="120">
        <v>4.1999999999999997E-3</v>
      </c>
      <c r="CB34" s="120">
        <v>4.1999999999999997E-3</v>
      </c>
      <c r="CC34" s="120">
        <v>4.1999999999999997E-3</v>
      </c>
      <c r="CD34" s="120">
        <v>4.1999999999999997E-3</v>
      </c>
      <c r="CE34" s="120">
        <v>4.1999999999999997E-3</v>
      </c>
      <c r="CF34" s="120">
        <v>4.1999999999999997E-3</v>
      </c>
      <c r="CG34" s="120">
        <v>4.1999999999999997E-3</v>
      </c>
      <c r="CH34" s="169">
        <v>4.1999999999999997E-3</v>
      </c>
    </row>
    <row r="35" spans="1:86">
      <c r="A35" s="166" t="s">
        <v>558</v>
      </c>
      <c r="B35" s="120">
        <v>6.9999999999999999E-4</v>
      </c>
      <c r="C35" s="120">
        <v>6.9999999999999999E-4</v>
      </c>
      <c r="D35" s="120">
        <v>6.9999999999999999E-4</v>
      </c>
      <c r="E35" s="120">
        <v>6.9999999999999999E-4</v>
      </c>
      <c r="F35" s="120">
        <v>6.9999999999999999E-4</v>
      </c>
      <c r="G35" s="120">
        <v>6.9999999999999999E-4</v>
      </c>
      <c r="H35" s="120">
        <v>6.9999999999999999E-4</v>
      </c>
      <c r="I35" s="120">
        <v>6.9999999999999999E-4</v>
      </c>
      <c r="J35" s="120">
        <v>6.9999999999999999E-4</v>
      </c>
      <c r="K35" s="120">
        <v>6.9999999999999999E-4</v>
      </c>
      <c r="L35" s="120">
        <v>6.9999999999999999E-4</v>
      </c>
      <c r="M35" s="120">
        <v>6.9999999999999999E-4</v>
      </c>
      <c r="N35" s="120">
        <v>6.9999999999999999E-4</v>
      </c>
      <c r="O35" s="120">
        <v>6.9999999999999999E-4</v>
      </c>
      <c r="P35" s="120">
        <v>6.9999999999999999E-4</v>
      </c>
      <c r="Q35" s="120">
        <v>6.9999999999999999E-4</v>
      </c>
      <c r="R35" s="120">
        <v>6.9999999999999999E-4</v>
      </c>
      <c r="S35" s="120">
        <v>6.9999999999999999E-4</v>
      </c>
      <c r="T35" s="120">
        <v>6.9999999999999999E-4</v>
      </c>
      <c r="U35" s="120">
        <v>6.9999999999999999E-4</v>
      </c>
      <c r="V35" s="120">
        <v>6.9999999999999999E-4</v>
      </c>
      <c r="W35" s="120">
        <v>6.9999999999999999E-4</v>
      </c>
      <c r="X35" s="120">
        <v>6.9999999999999999E-4</v>
      </c>
      <c r="Y35" s="120">
        <v>6.9999999999999999E-4</v>
      </c>
      <c r="Z35" s="120">
        <v>6.9999999999999999E-4</v>
      </c>
      <c r="AA35" s="120">
        <v>6.9999999999999999E-4</v>
      </c>
      <c r="AB35" s="120">
        <v>6.9999999999999999E-4</v>
      </c>
      <c r="AC35" s="120">
        <v>6.9999999999999999E-4</v>
      </c>
      <c r="AD35" s="120">
        <v>6.9999999999999999E-4</v>
      </c>
      <c r="AE35" s="120">
        <v>6.9999999999999999E-4</v>
      </c>
      <c r="AF35" s="120">
        <v>6.9999999999999999E-4</v>
      </c>
      <c r="AG35" s="120">
        <v>6.9999999999999999E-4</v>
      </c>
      <c r="AH35" s="120">
        <v>6.9999999999999999E-4</v>
      </c>
      <c r="AI35" s="120">
        <v>6.9999999999999999E-4</v>
      </c>
      <c r="AJ35" s="120">
        <v>6.9999999999999999E-4</v>
      </c>
      <c r="AK35" s="120">
        <v>6.9999999999999999E-4</v>
      </c>
      <c r="AL35" s="168">
        <v>6.9999999999999999E-4</v>
      </c>
      <c r="AM35" s="120">
        <v>6.9999999999999999E-4</v>
      </c>
      <c r="AN35" s="120">
        <v>6.9999999999999999E-4</v>
      </c>
      <c r="AO35" s="120">
        <v>6.9999999999999999E-4</v>
      </c>
      <c r="AP35" s="168">
        <v>6.9999999999999999E-4</v>
      </c>
      <c r="AQ35" s="120"/>
      <c r="AR35" s="120"/>
      <c r="AS35" s="120"/>
      <c r="AT35" s="120"/>
      <c r="AU35" s="120"/>
      <c r="AV35" s="120"/>
      <c r="AW35" s="120"/>
      <c r="AX35" s="120"/>
      <c r="AY35" s="120"/>
      <c r="AZ35" s="120"/>
      <c r="BA35" s="120"/>
      <c r="BB35" s="120"/>
      <c r="BC35" s="120"/>
      <c r="BD35" s="120"/>
      <c r="BE35" s="168"/>
      <c r="BF35" s="151"/>
      <c r="BG35" s="151"/>
      <c r="BH35" s="151"/>
      <c r="BI35" s="151"/>
      <c r="BJ35" s="151"/>
      <c r="BK35" s="151"/>
      <c r="BL35" s="151"/>
      <c r="BM35" s="151"/>
      <c r="BN35" s="151"/>
      <c r="BO35" s="158"/>
      <c r="BP35" s="151"/>
      <c r="BQ35" s="151"/>
      <c r="BR35" s="151"/>
      <c r="BS35" s="151"/>
      <c r="BT35" s="167"/>
      <c r="BU35" s="120"/>
      <c r="BV35" s="120"/>
      <c r="BW35" s="120"/>
      <c r="BX35" s="120"/>
      <c r="BY35" s="120"/>
      <c r="BZ35" s="120"/>
      <c r="CA35" s="120"/>
      <c r="CB35" s="120"/>
      <c r="CC35" s="120"/>
      <c r="CD35" s="120"/>
      <c r="CE35" s="120"/>
      <c r="CF35" s="120"/>
      <c r="CG35" s="120"/>
      <c r="CH35" s="169"/>
    </row>
    <row r="36" spans="1:86">
      <c r="A36" s="166" t="s">
        <v>559</v>
      </c>
      <c r="B36" s="120">
        <f t="shared" ref="B36:AL36" si="8">0.000021/(1-99.2%)</f>
        <v>2.6249999999999976E-3</v>
      </c>
      <c r="C36" s="120">
        <f t="shared" si="8"/>
        <v>2.6249999999999976E-3</v>
      </c>
      <c r="D36" s="120">
        <f t="shared" si="8"/>
        <v>2.6249999999999976E-3</v>
      </c>
      <c r="E36" s="120">
        <f t="shared" si="8"/>
        <v>2.6249999999999976E-3</v>
      </c>
      <c r="F36" s="120">
        <f t="shared" si="8"/>
        <v>2.6249999999999976E-3</v>
      </c>
      <c r="G36" s="120">
        <f t="shared" si="8"/>
        <v>2.6249999999999976E-3</v>
      </c>
      <c r="H36" s="120">
        <f t="shared" si="8"/>
        <v>2.6249999999999976E-3</v>
      </c>
      <c r="I36" s="120">
        <f t="shared" si="8"/>
        <v>2.6249999999999976E-3</v>
      </c>
      <c r="J36" s="120">
        <f t="shared" si="8"/>
        <v>2.6249999999999976E-3</v>
      </c>
      <c r="K36" s="120">
        <f t="shared" si="8"/>
        <v>2.6249999999999976E-3</v>
      </c>
      <c r="L36" s="120">
        <f t="shared" si="8"/>
        <v>2.6249999999999976E-3</v>
      </c>
      <c r="M36" s="120">
        <f t="shared" si="8"/>
        <v>2.6249999999999976E-3</v>
      </c>
      <c r="N36" s="120">
        <f t="shared" si="8"/>
        <v>2.6249999999999976E-3</v>
      </c>
      <c r="O36" s="120">
        <f t="shared" si="8"/>
        <v>2.6249999999999976E-3</v>
      </c>
      <c r="P36" s="120">
        <f t="shared" si="8"/>
        <v>2.6249999999999976E-3</v>
      </c>
      <c r="Q36" s="120">
        <f t="shared" si="8"/>
        <v>2.6249999999999976E-3</v>
      </c>
      <c r="R36" s="120">
        <f t="shared" si="8"/>
        <v>2.6249999999999976E-3</v>
      </c>
      <c r="S36" s="120">
        <f t="shared" si="8"/>
        <v>2.6249999999999976E-3</v>
      </c>
      <c r="T36" s="120">
        <f t="shared" si="8"/>
        <v>2.6249999999999976E-3</v>
      </c>
      <c r="U36" s="120">
        <f t="shared" si="8"/>
        <v>2.6249999999999976E-3</v>
      </c>
      <c r="V36" s="120">
        <f t="shared" si="8"/>
        <v>2.6249999999999976E-3</v>
      </c>
      <c r="W36" s="120">
        <f t="shared" si="8"/>
        <v>2.6249999999999976E-3</v>
      </c>
      <c r="X36" s="120">
        <f t="shared" si="8"/>
        <v>2.6249999999999976E-3</v>
      </c>
      <c r="Y36" s="120">
        <f t="shared" si="8"/>
        <v>2.6249999999999976E-3</v>
      </c>
      <c r="Z36" s="120">
        <f t="shared" si="8"/>
        <v>2.6249999999999976E-3</v>
      </c>
      <c r="AA36" s="120">
        <f t="shared" si="8"/>
        <v>2.6249999999999976E-3</v>
      </c>
      <c r="AB36" s="120">
        <f t="shared" si="8"/>
        <v>2.6249999999999976E-3</v>
      </c>
      <c r="AC36" s="120">
        <f t="shared" si="8"/>
        <v>2.6249999999999976E-3</v>
      </c>
      <c r="AD36" s="120">
        <f t="shared" si="8"/>
        <v>2.6249999999999976E-3</v>
      </c>
      <c r="AE36" s="120">
        <f t="shared" si="8"/>
        <v>2.6249999999999976E-3</v>
      </c>
      <c r="AF36" s="120">
        <f t="shared" si="8"/>
        <v>2.6249999999999976E-3</v>
      </c>
      <c r="AG36" s="120">
        <f t="shared" si="8"/>
        <v>2.6249999999999976E-3</v>
      </c>
      <c r="AH36" s="120">
        <f t="shared" si="8"/>
        <v>2.6249999999999976E-3</v>
      </c>
      <c r="AI36" s="120">
        <f t="shared" si="8"/>
        <v>2.6249999999999976E-3</v>
      </c>
      <c r="AJ36" s="120">
        <f t="shared" si="8"/>
        <v>2.6249999999999976E-3</v>
      </c>
      <c r="AK36" s="120">
        <f t="shared" si="8"/>
        <v>2.6249999999999976E-3</v>
      </c>
      <c r="AL36" s="168">
        <f t="shared" si="8"/>
        <v>2.6249999999999976E-3</v>
      </c>
      <c r="AM36" s="120">
        <v>3.1E-4</v>
      </c>
      <c r="AN36" s="120">
        <f>0.000021/(1-99.2%)</f>
        <v>2.6249999999999976E-3</v>
      </c>
      <c r="AO36" s="120">
        <f>0.000021/(1-99.2%)</f>
        <v>2.6249999999999976E-3</v>
      </c>
      <c r="AP36" s="168">
        <f>0.000021/(1-99.2%)</f>
        <v>2.6249999999999976E-3</v>
      </c>
      <c r="AQ36" s="120">
        <v>2.7800000000000001E-5</v>
      </c>
      <c r="AR36" s="120">
        <v>2.7800000000000001E-5</v>
      </c>
      <c r="AS36" s="120">
        <v>2.7800000000000001E-5</v>
      </c>
      <c r="AT36" s="120">
        <v>2.7800000000000001E-5</v>
      </c>
      <c r="AU36" s="120">
        <v>8.0000000000000005E-9</v>
      </c>
      <c r="AV36" s="120">
        <v>8.0000000000000005E-9</v>
      </c>
      <c r="AW36" s="120">
        <v>8.0000000000000005E-9</v>
      </c>
      <c r="AX36" s="120">
        <v>8.0000000000000005E-9</v>
      </c>
      <c r="AY36" s="120">
        <v>8.0000000000000005E-9</v>
      </c>
      <c r="AZ36" s="120">
        <v>8.0000000000000005E-9</v>
      </c>
      <c r="BA36" s="120">
        <v>2.7800000000000001E-5</v>
      </c>
      <c r="BB36" s="120">
        <v>8.0000000000000005E-9</v>
      </c>
      <c r="BC36" s="120">
        <v>8.0000000000000005E-9</v>
      </c>
      <c r="BD36" s="120">
        <v>8.0000000000000005E-9</v>
      </c>
      <c r="BE36" s="168">
        <v>8.0000000000000005E-9</v>
      </c>
      <c r="BF36" s="120">
        <v>1.2E-5</v>
      </c>
      <c r="BG36" s="120">
        <v>1.2E-5</v>
      </c>
      <c r="BH36" s="120">
        <v>1.2E-5</v>
      </c>
      <c r="BI36" s="120">
        <v>1.2E-5</v>
      </c>
      <c r="BJ36" s="120">
        <v>1.2E-5</v>
      </c>
      <c r="BK36" s="120">
        <v>1.2E-5</v>
      </c>
      <c r="BL36" s="120">
        <v>1.2E-5</v>
      </c>
      <c r="BM36" s="120">
        <v>1.2E-5</v>
      </c>
      <c r="BN36" s="120">
        <v>1.2E-5</v>
      </c>
      <c r="BO36" s="168">
        <v>1.2E-5</v>
      </c>
      <c r="BP36" s="120">
        <v>1.2E-5</v>
      </c>
      <c r="BQ36" s="120">
        <v>1.2E-5</v>
      </c>
      <c r="BR36" s="120">
        <v>1.2E-5</v>
      </c>
      <c r="BS36" s="120">
        <v>1.2E-5</v>
      </c>
      <c r="BT36" s="167">
        <v>1.1000000000000001E-6</v>
      </c>
      <c r="BU36" s="120">
        <v>1.1000000000000001E-6</v>
      </c>
      <c r="BV36" s="120">
        <v>1.1000000000000001E-6</v>
      </c>
      <c r="BW36" s="120">
        <v>1.1000000000000001E-6</v>
      </c>
      <c r="BX36" s="120">
        <v>1.1000000000000001E-6</v>
      </c>
      <c r="BY36" s="120">
        <v>1.1000000000000001E-6</v>
      </c>
      <c r="BZ36" s="120">
        <v>1.1000000000000001E-6</v>
      </c>
      <c r="CA36" s="120">
        <v>1.1000000000000001E-6</v>
      </c>
      <c r="CB36" s="120">
        <v>1.1000000000000001E-6</v>
      </c>
      <c r="CC36" s="120">
        <v>1.1000000000000001E-6</v>
      </c>
      <c r="CD36" s="120">
        <v>1.1000000000000001E-6</v>
      </c>
      <c r="CE36" s="120">
        <v>1.1000000000000001E-6</v>
      </c>
      <c r="CF36" s="120">
        <v>1.1000000000000001E-6</v>
      </c>
      <c r="CG36" s="120">
        <v>1.1000000000000001E-6</v>
      </c>
      <c r="CH36" s="169">
        <v>1.1000000000000001E-6</v>
      </c>
    </row>
    <row r="37" spans="1:86">
      <c r="A37" s="166" t="s">
        <v>560</v>
      </c>
      <c r="B37" s="120">
        <v>7.2999999999999999E-5</v>
      </c>
      <c r="C37" s="120">
        <v>7.2999999999999999E-5</v>
      </c>
      <c r="D37" s="120">
        <v>7.2999999999999999E-5</v>
      </c>
      <c r="E37" s="120">
        <v>7.2999999999999999E-5</v>
      </c>
      <c r="F37" s="120">
        <v>7.2999999999999999E-5</v>
      </c>
      <c r="G37" s="120">
        <v>7.2999999999999999E-5</v>
      </c>
      <c r="H37" s="120">
        <v>7.2999999999999999E-5</v>
      </c>
      <c r="I37" s="120">
        <v>7.2999999999999999E-5</v>
      </c>
      <c r="J37" s="120">
        <v>7.2999999999999999E-5</v>
      </c>
      <c r="K37" s="120">
        <v>7.2999999999999999E-5</v>
      </c>
      <c r="L37" s="120">
        <v>7.2999999999999999E-5</v>
      </c>
      <c r="M37" s="120">
        <v>7.2999999999999999E-5</v>
      </c>
      <c r="N37" s="120">
        <v>7.2999999999999999E-5</v>
      </c>
      <c r="O37" s="120">
        <v>7.2999999999999999E-5</v>
      </c>
      <c r="P37" s="120">
        <v>7.2999999999999999E-5</v>
      </c>
      <c r="Q37" s="120">
        <v>7.2999999999999999E-5</v>
      </c>
      <c r="R37" s="120">
        <v>7.2999999999999999E-5</v>
      </c>
      <c r="S37" s="120">
        <v>7.2999999999999999E-5</v>
      </c>
      <c r="T37" s="120">
        <v>7.2999999999999999E-5</v>
      </c>
      <c r="U37" s="120">
        <v>7.2999999999999999E-5</v>
      </c>
      <c r="V37" s="120">
        <v>7.2999999999999999E-5</v>
      </c>
      <c r="W37" s="120">
        <v>7.2999999999999999E-5</v>
      </c>
      <c r="X37" s="120">
        <v>7.2999999999999999E-5</v>
      </c>
      <c r="Y37" s="120">
        <v>7.2999999999999999E-5</v>
      </c>
      <c r="Z37" s="120">
        <v>7.2999999999999999E-5</v>
      </c>
      <c r="AA37" s="120">
        <v>7.2999999999999999E-5</v>
      </c>
      <c r="AB37" s="120">
        <v>7.2999999999999999E-5</v>
      </c>
      <c r="AC37" s="120">
        <v>7.2999999999999999E-5</v>
      </c>
      <c r="AD37" s="120">
        <v>7.2999999999999999E-5</v>
      </c>
      <c r="AE37" s="120">
        <v>7.2999999999999999E-5</v>
      </c>
      <c r="AF37" s="120">
        <v>7.2999999999999999E-5</v>
      </c>
      <c r="AG37" s="120">
        <v>7.2999999999999999E-5</v>
      </c>
      <c r="AH37" s="120">
        <v>7.2999999999999999E-5</v>
      </c>
      <c r="AI37" s="120">
        <v>7.2999999999999999E-5</v>
      </c>
      <c r="AJ37" s="120">
        <v>7.2999999999999999E-5</v>
      </c>
      <c r="AK37" s="120">
        <v>7.2999999999999999E-5</v>
      </c>
      <c r="AL37" s="168">
        <v>7.2999999999999999E-5</v>
      </c>
      <c r="AM37" s="120">
        <v>7.2999999999999999E-5</v>
      </c>
      <c r="AN37" s="120">
        <v>7.2999999999999999E-5</v>
      </c>
      <c r="AO37" s="120">
        <v>7.2999999999999999E-5</v>
      </c>
      <c r="AP37" s="168">
        <v>7.2999999999999999E-5</v>
      </c>
      <c r="AQ37" s="120"/>
      <c r="AR37" s="120"/>
      <c r="AS37" s="120"/>
      <c r="AT37" s="120"/>
      <c r="AU37" s="120"/>
      <c r="AV37" s="120"/>
      <c r="AW37" s="120"/>
      <c r="AX37" s="120"/>
      <c r="AY37" s="120"/>
      <c r="AZ37" s="120"/>
      <c r="BA37" s="120"/>
      <c r="BB37" s="120"/>
      <c r="BC37" s="120"/>
      <c r="BD37" s="120"/>
      <c r="BE37" s="168"/>
      <c r="BF37" s="151"/>
      <c r="BG37" s="151"/>
      <c r="BH37" s="151"/>
      <c r="BI37" s="151"/>
      <c r="BJ37" s="151"/>
      <c r="BK37" s="151"/>
      <c r="BL37" s="151"/>
      <c r="BM37" s="151"/>
      <c r="BN37" s="151"/>
      <c r="BO37" s="158"/>
      <c r="BP37" s="151"/>
      <c r="BQ37" s="151"/>
      <c r="BR37" s="151"/>
      <c r="BS37" s="151"/>
      <c r="BT37" s="167">
        <v>4.6999999999999997E-8</v>
      </c>
      <c r="BU37" s="120">
        <v>4.6999999999999997E-8</v>
      </c>
      <c r="BV37" s="120">
        <v>4.6999999999999997E-8</v>
      </c>
      <c r="BW37" s="120">
        <v>4.6999999999999997E-8</v>
      </c>
      <c r="BX37" s="120">
        <v>4.6999999999999997E-8</v>
      </c>
      <c r="BY37" s="120">
        <v>4.6999999999999997E-8</v>
      </c>
      <c r="BZ37" s="120">
        <v>4.6999999999999997E-8</v>
      </c>
      <c r="CA37" s="120">
        <v>4.6999999999999997E-8</v>
      </c>
      <c r="CB37" s="120">
        <v>4.6999999999999997E-8</v>
      </c>
      <c r="CC37" s="120">
        <v>4.6999999999999997E-8</v>
      </c>
      <c r="CD37" s="120">
        <v>4.6999999999999997E-8</v>
      </c>
      <c r="CE37" s="120">
        <v>4.6999999999999997E-8</v>
      </c>
      <c r="CF37" s="120">
        <v>4.6999999999999997E-8</v>
      </c>
      <c r="CG37" s="120">
        <v>4.6999999999999997E-8</v>
      </c>
      <c r="CH37" s="169">
        <v>4.6999999999999997E-8</v>
      </c>
    </row>
    <row r="38" spans="1:86">
      <c r="A38" s="166" t="s">
        <v>561</v>
      </c>
      <c r="B38" s="120">
        <v>3.8999999999999999E-5</v>
      </c>
      <c r="C38" s="120">
        <v>3.8999999999999999E-5</v>
      </c>
      <c r="D38" s="120">
        <v>3.8999999999999999E-5</v>
      </c>
      <c r="E38" s="120">
        <v>3.8999999999999999E-5</v>
      </c>
      <c r="F38" s="120">
        <v>3.8999999999999999E-5</v>
      </c>
      <c r="G38" s="120">
        <v>3.8999999999999999E-5</v>
      </c>
      <c r="H38" s="120">
        <v>3.8999999999999999E-5</v>
      </c>
      <c r="I38" s="120">
        <v>3.8999999999999999E-5</v>
      </c>
      <c r="J38" s="120">
        <v>3.8999999999999999E-5</v>
      </c>
      <c r="K38" s="120">
        <v>3.8999999999999999E-5</v>
      </c>
      <c r="L38" s="120">
        <v>3.8999999999999999E-5</v>
      </c>
      <c r="M38" s="120">
        <v>3.8999999999999999E-5</v>
      </c>
      <c r="N38" s="120">
        <v>3.8999999999999999E-5</v>
      </c>
      <c r="O38" s="120">
        <v>3.8999999999999999E-5</v>
      </c>
      <c r="P38" s="120">
        <v>3.8999999999999999E-5</v>
      </c>
      <c r="Q38" s="120">
        <v>3.8999999999999999E-5</v>
      </c>
      <c r="R38" s="120">
        <v>3.8999999999999999E-5</v>
      </c>
      <c r="S38" s="120">
        <v>3.8999999999999999E-5</v>
      </c>
      <c r="T38" s="120">
        <v>3.8999999999999999E-5</v>
      </c>
      <c r="U38" s="120">
        <v>3.8999999999999999E-5</v>
      </c>
      <c r="V38" s="120">
        <v>3.8999999999999999E-5</v>
      </c>
      <c r="W38" s="120">
        <v>3.8999999999999999E-5</v>
      </c>
      <c r="X38" s="120">
        <v>3.8999999999999999E-5</v>
      </c>
      <c r="Y38" s="120">
        <v>3.8999999999999999E-5</v>
      </c>
      <c r="Z38" s="120">
        <v>3.8999999999999999E-5</v>
      </c>
      <c r="AA38" s="120">
        <v>3.8999999999999999E-5</v>
      </c>
      <c r="AB38" s="120">
        <v>3.8999999999999999E-5</v>
      </c>
      <c r="AC38" s="120">
        <v>3.8999999999999999E-5</v>
      </c>
      <c r="AD38" s="120">
        <v>3.8999999999999999E-5</v>
      </c>
      <c r="AE38" s="120">
        <v>3.8999999999999999E-5</v>
      </c>
      <c r="AF38" s="120">
        <v>3.8999999999999999E-5</v>
      </c>
      <c r="AG38" s="120">
        <v>3.8999999999999999E-5</v>
      </c>
      <c r="AH38" s="120">
        <v>3.8999999999999999E-5</v>
      </c>
      <c r="AI38" s="120">
        <v>3.8999999999999999E-5</v>
      </c>
      <c r="AJ38" s="120">
        <v>3.8999999999999999E-5</v>
      </c>
      <c r="AK38" s="120">
        <v>3.8999999999999999E-5</v>
      </c>
      <c r="AL38" s="168">
        <v>3.8999999999999999E-5</v>
      </c>
      <c r="AM38" s="120">
        <v>3.8999999999999999E-5</v>
      </c>
      <c r="AN38" s="120">
        <v>3.8999999999999999E-5</v>
      </c>
      <c r="AO38" s="120">
        <v>3.8999999999999999E-5</v>
      </c>
      <c r="AP38" s="168">
        <v>3.8999999999999999E-5</v>
      </c>
      <c r="AQ38" s="120"/>
      <c r="AR38" s="120"/>
      <c r="AS38" s="120"/>
      <c r="AT38" s="120"/>
      <c r="AU38" s="120"/>
      <c r="AV38" s="120"/>
      <c r="AW38" s="120"/>
      <c r="AX38" s="120"/>
      <c r="AY38" s="120"/>
      <c r="AZ38" s="120"/>
      <c r="BA38" s="120"/>
      <c r="BB38" s="120"/>
      <c r="BC38" s="120"/>
      <c r="BD38" s="120"/>
      <c r="BE38" s="168"/>
      <c r="BF38" s="151"/>
      <c r="BG38" s="151"/>
      <c r="BH38" s="151"/>
      <c r="BI38" s="151"/>
      <c r="BJ38" s="151"/>
      <c r="BK38" s="151"/>
      <c r="BL38" s="151"/>
      <c r="BM38" s="151"/>
      <c r="BN38" s="151"/>
      <c r="BO38" s="158"/>
      <c r="BP38" s="151"/>
      <c r="BQ38" s="151"/>
      <c r="BR38" s="151"/>
      <c r="BS38" s="151"/>
      <c r="BT38" s="167"/>
      <c r="BU38" s="120"/>
      <c r="BV38" s="120"/>
      <c r="BW38" s="120"/>
      <c r="BX38" s="120"/>
      <c r="BY38" s="120"/>
      <c r="BZ38" s="120"/>
      <c r="CA38" s="120"/>
      <c r="CB38" s="120"/>
      <c r="CC38" s="120"/>
      <c r="CD38" s="120"/>
      <c r="CE38" s="120"/>
      <c r="CF38" s="120"/>
      <c r="CG38" s="120"/>
      <c r="CH38" s="169"/>
    </row>
    <row r="39" spans="1:86">
      <c r="A39" s="166" t="s">
        <v>562</v>
      </c>
      <c r="B39" s="120">
        <v>1.6000000000000001E-4</v>
      </c>
      <c r="C39" s="120">
        <v>1.6000000000000001E-4</v>
      </c>
      <c r="D39" s="120">
        <v>1.6000000000000001E-4</v>
      </c>
      <c r="E39" s="120">
        <v>1.6000000000000001E-4</v>
      </c>
      <c r="F39" s="120">
        <v>1.6000000000000001E-4</v>
      </c>
      <c r="G39" s="120">
        <v>1.6000000000000001E-4</v>
      </c>
      <c r="H39" s="120">
        <v>1.6000000000000001E-4</v>
      </c>
      <c r="I39" s="120">
        <v>1.6000000000000001E-4</v>
      </c>
      <c r="J39" s="120">
        <v>1.6000000000000001E-4</v>
      </c>
      <c r="K39" s="120">
        <v>1.6000000000000001E-4</v>
      </c>
      <c r="L39" s="120">
        <v>1.6000000000000001E-4</v>
      </c>
      <c r="M39" s="120">
        <v>1.6000000000000001E-4</v>
      </c>
      <c r="N39" s="120">
        <v>1.6000000000000001E-4</v>
      </c>
      <c r="O39" s="120">
        <v>1.6000000000000001E-4</v>
      </c>
      <c r="P39" s="120">
        <v>1.6000000000000001E-4</v>
      </c>
      <c r="Q39" s="120">
        <v>1.6000000000000001E-4</v>
      </c>
      <c r="R39" s="120">
        <v>1.6000000000000001E-4</v>
      </c>
      <c r="S39" s="120">
        <v>1.6000000000000001E-4</v>
      </c>
      <c r="T39" s="120">
        <v>1.6000000000000001E-4</v>
      </c>
      <c r="U39" s="120">
        <v>1.6000000000000001E-4</v>
      </c>
      <c r="V39" s="120">
        <v>1.6000000000000001E-4</v>
      </c>
      <c r="W39" s="120">
        <v>1.6000000000000001E-4</v>
      </c>
      <c r="X39" s="120">
        <v>1.6000000000000001E-4</v>
      </c>
      <c r="Y39" s="120">
        <v>1.6000000000000001E-4</v>
      </c>
      <c r="Z39" s="120">
        <v>1.6000000000000001E-4</v>
      </c>
      <c r="AA39" s="120">
        <v>1.6000000000000001E-4</v>
      </c>
      <c r="AB39" s="120">
        <v>1.6000000000000001E-4</v>
      </c>
      <c r="AC39" s="120">
        <v>1.6000000000000001E-4</v>
      </c>
      <c r="AD39" s="120">
        <v>1.6000000000000001E-4</v>
      </c>
      <c r="AE39" s="120">
        <v>1.6000000000000001E-4</v>
      </c>
      <c r="AF39" s="120">
        <v>1.6000000000000001E-4</v>
      </c>
      <c r="AG39" s="120">
        <v>1.6000000000000001E-4</v>
      </c>
      <c r="AH39" s="120">
        <v>1.6000000000000001E-4</v>
      </c>
      <c r="AI39" s="120">
        <v>1.6000000000000001E-4</v>
      </c>
      <c r="AJ39" s="120">
        <v>1.6000000000000001E-4</v>
      </c>
      <c r="AK39" s="120">
        <v>1.6000000000000001E-4</v>
      </c>
      <c r="AL39" s="168">
        <v>1.6000000000000001E-4</v>
      </c>
      <c r="AM39" s="120">
        <v>1.6000000000000001E-4</v>
      </c>
      <c r="AN39" s="120">
        <v>1.6000000000000001E-4</v>
      </c>
      <c r="AO39" s="120">
        <v>1.6000000000000001E-4</v>
      </c>
      <c r="AP39" s="168">
        <v>1.6000000000000001E-4</v>
      </c>
      <c r="AQ39" s="120"/>
      <c r="AR39" s="120"/>
      <c r="AS39" s="120"/>
      <c r="AT39" s="120"/>
      <c r="AU39" s="120"/>
      <c r="AV39" s="120"/>
      <c r="AW39" s="120"/>
      <c r="AX39" s="120"/>
      <c r="AY39" s="120"/>
      <c r="AZ39" s="120"/>
      <c r="BA39" s="120"/>
      <c r="BB39" s="120"/>
      <c r="BC39" s="120"/>
      <c r="BD39" s="120"/>
      <c r="BE39" s="168"/>
      <c r="BF39" s="151"/>
      <c r="BG39" s="151"/>
      <c r="BH39" s="151"/>
      <c r="BI39" s="151"/>
      <c r="BJ39" s="151"/>
      <c r="BK39" s="151"/>
      <c r="BL39" s="151"/>
      <c r="BM39" s="151"/>
      <c r="BN39" s="151"/>
      <c r="BO39" s="158"/>
      <c r="BP39" s="151"/>
      <c r="BQ39" s="151"/>
      <c r="BR39" s="151"/>
      <c r="BS39" s="151"/>
      <c r="BT39" s="167">
        <v>1.5E-5</v>
      </c>
      <c r="BU39" s="120">
        <v>1.5E-5</v>
      </c>
      <c r="BV39" s="120">
        <v>1.5E-5</v>
      </c>
      <c r="BW39" s="120">
        <v>1.5E-5</v>
      </c>
      <c r="BX39" s="120">
        <v>1.5E-5</v>
      </c>
      <c r="BY39" s="120">
        <v>1.5E-5</v>
      </c>
      <c r="BZ39" s="120">
        <v>1.5E-5</v>
      </c>
      <c r="CA39" s="120">
        <v>1.5E-5</v>
      </c>
      <c r="CB39" s="120">
        <v>1.5E-5</v>
      </c>
      <c r="CC39" s="120">
        <v>1.5E-5</v>
      </c>
      <c r="CD39" s="120">
        <v>1.5E-5</v>
      </c>
      <c r="CE39" s="120">
        <v>1.5E-5</v>
      </c>
      <c r="CF39" s="120">
        <v>1.5E-5</v>
      </c>
      <c r="CG39" s="120">
        <v>1.5E-5</v>
      </c>
      <c r="CH39" s="169">
        <v>1.5E-5</v>
      </c>
    </row>
    <row r="40" spans="1:86">
      <c r="A40" s="166" t="s">
        <v>93</v>
      </c>
      <c r="B40" s="120">
        <f t="shared" ref="B40:AL40" si="9">0.000051/(1-99.2%)</f>
        <v>6.3749999999999944E-3</v>
      </c>
      <c r="C40" s="120">
        <f t="shared" si="9"/>
        <v>6.3749999999999944E-3</v>
      </c>
      <c r="D40" s="120">
        <f t="shared" si="9"/>
        <v>6.3749999999999944E-3</v>
      </c>
      <c r="E40" s="120">
        <f t="shared" si="9"/>
        <v>6.3749999999999944E-3</v>
      </c>
      <c r="F40" s="120">
        <f t="shared" si="9"/>
        <v>6.3749999999999944E-3</v>
      </c>
      <c r="G40" s="120">
        <f t="shared" si="9"/>
        <v>6.3749999999999944E-3</v>
      </c>
      <c r="H40" s="120">
        <f t="shared" si="9"/>
        <v>6.3749999999999944E-3</v>
      </c>
      <c r="I40" s="120">
        <f t="shared" si="9"/>
        <v>6.3749999999999944E-3</v>
      </c>
      <c r="J40" s="120">
        <f t="shared" si="9"/>
        <v>6.3749999999999944E-3</v>
      </c>
      <c r="K40" s="120">
        <f t="shared" si="9"/>
        <v>6.3749999999999944E-3</v>
      </c>
      <c r="L40" s="120">
        <f t="shared" si="9"/>
        <v>6.3749999999999944E-3</v>
      </c>
      <c r="M40" s="120">
        <f t="shared" si="9"/>
        <v>6.3749999999999944E-3</v>
      </c>
      <c r="N40" s="120">
        <f t="shared" si="9"/>
        <v>6.3749999999999944E-3</v>
      </c>
      <c r="O40" s="120">
        <f t="shared" si="9"/>
        <v>6.3749999999999944E-3</v>
      </c>
      <c r="P40" s="120">
        <f t="shared" si="9"/>
        <v>6.3749999999999944E-3</v>
      </c>
      <c r="Q40" s="120">
        <f t="shared" si="9"/>
        <v>6.3749999999999944E-3</v>
      </c>
      <c r="R40" s="120">
        <f t="shared" si="9"/>
        <v>6.3749999999999944E-3</v>
      </c>
      <c r="S40" s="120">
        <f t="shared" si="9"/>
        <v>6.3749999999999944E-3</v>
      </c>
      <c r="T40" s="120">
        <f t="shared" si="9"/>
        <v>6.3749999999999944E-3</v>
      </c>
      <c r="U40" s="120">
        <f t="shared" si="9"/>
        <v>6.3749999999999944E-3</v>
      </c>
      <c r="V40" s="120">
        <f t="shared" si="9"/>
        <v>6.3749999999999944E-3</v>
      </c>
      <c r="W40" s="120">
        <f t="shared" si="9"/>
        <v>6.3749999999999944E-3</v>
      </c>
      <c r="X40" s="120">
        <f t="shared" si="9"/>
        <v>6.3749999999999944E-3</v>
      </c>
      <c r="Y40" s="120">
        <f t="shared" si="9"/>
        <v>6.3749999999999944E-3</v>
      </c>
      <c r="Z40" s="120">
        <f t="shared" si="9"/>
        <v>6.3749999999999944E-3</v>
      </c>
      <c r="AA40" s="120">
        <f t="shared" si="9"/>
        <v>6.3749999999999944E-3</v>
      </c>
      <c r="AB40" s="120">
        <f t="shared" si="9"/>
        <v>6.3749999999999944E-3</v>
      </c>
      <c r="AC40" s="120">
        <f t="shared" si="9"/>
        <v>6.3749999999999944E-3</v>
      </c>
      <c r="AD40" s="120">
        <f t="shared" si="9"/>
        <v>6.3749999999999944E-3</v>
      </c>
      <c r="AE40" s="120">
        <f t="shared" si="9"/>
        <v>6.3749999999999944E-3</v>
      </c>
      <c r="AF40" s="120">
        <f t="shared" si="9"/>
        <v>6.3749999999999944E-3</v>
      </c>
      <c r="AG40" s="120">
        <f t="shared" si="9"/>
        <v>6.3749999999999944E-3</v>
      </c>
      <c r="AH40" s="120">
        <f t="shared" si="9"/>
        <v>6.3749999999999944E-3</v>
      </c>
      <c r="AI40" s="120">
        <f t="shared" si="9"/>
        <v>6.3749999999999944E-3</v>
      </c>
      <c r="AJ40" s="120">
        <f t="shared" si="9"/>
        <v>6.3749999999999944E-3</v>
      </c>
      <c r="AK40" s="120">
        <f t="shared" si="9"/>
        <v>6.3749999999999944E-3</v>
      </c>
      <c r="AL40" s="168">
        <f t="shared" si="9"/>
        <v>6.3749999999999944E-3</v>
      </c>
      <c r="AM40" s="120">
        <v>7.1000000000000005E-5</v>
      </c>
      <c r="AN40" s="120">
        <f>0.000051/(1-99.2%)</f>
        <v>6.3749999999999944E-3</v>
      </c>
      <c r="AO40" s="120">
        <f>0.000051/(1-99.2%)</f>
        <v>6.3749999999999944E-3</v>
      </c>
      <c r="AP40" s="168">
        <f>0.000051/(1-99.2%)</f>
        <v>6.3749999999999944E-3</v>
      </c>
      <c r="AQ40" s="120">
        <v>3.9800000000000002E-4</v>
      </c>
      <c r="AR40" s="120">
        <v>3.9800000000000002E-4</v>
      </c>
      <c r="AS40" s="120">
        <v>3.9800000000000002E-4</v>
      </c>
      <c r="AT40" s="120">
        <v>3.9800000000000002E-4</v>
      </c>
      <c r="AU40" s="120">
        <v>3E-9</v>
      </c>
      <c r="AV40" s="120">
        <v>3E-9</v>
      </c>
      <c r="AW40" s="120">
        <v>3E-9</v>
      </c>
      <c r="AX40" s="120">
        <v>3E-9</v>
      </c>
      <c r="AY40" s="120">
        <v>3E-9</v>
      </c>
      <c r="AZ40" s="120">
        <v>3E-9</v>
      </c>
      <c r="BA40" s="120">
        <v>3.9800000000000002E-4</v>
      </c>
      <c r="BB40" s="120">
        <v>3E-9</v>
      </c>
      <c r="BC40" s="120">
        <v>3E-9</v>
      </c>
      <c r="BD40" s="120">
        <v>3E-9</v>
      </c>
      <c r="BE40" s="168">
        <v>3E-9</v>
      </c>
      <c r="BF40" s="120">
        <v>1.1000000000000001E-3</v>
      </c>
      <c r="BG40" s="120">
        <v>1.1000000000000001E-3</v>
      </c>
      <c r="BH40" s="120">
        <v>1.1000000000000001E-3</v>
      </c>
      <c r="BI40" s="120">
        <v>1.1000000000000001E-3</v>
      </c>
      <c r="BJ40" s="120">
        <v>1.1000000000000001E-3</v>
      </c>
      <c r="BK40" s="120">
        <v>1.1000000000000001E-3</v>
      </c>
      <c r="BL40" s="120">
        <v>1.1000000000000001E-3</v>
      </c>
      <c r="BM40" s="120">
        <v>1.1000000000000001E-3</v>
      </c>
      <c r="BN40" s="120">
        <v>1.1000000000000001E-3</v>
      </c>
      <c r="BO40" s="168">
        <v>1.1000000000000001E-3</v>
      </c>
      <c r="BP40" s="120">
        <v>1.1000000000000001E-3</v>
      </c>
      <c r="BQ40" s="120">
        <v>1.1000000000000001E-3</v>
      </c>
      <c r="BR40" s="120">
        <v>1.1000000000000001E-3</v>
      </c>
      <c r="BS40" s="120">
        <v>1.1000000000000001E-3</v>
      </c>
      <c r="BT40" s="167">
        <v>4.0999999999999997E-6</v>
      </c>
      <c r="BU40" s="120">
        <v>4.0999999999999997E-6</v>
      </c>
      <c r="BV40" s="120">
        <v>4.0999999999999997E-6</v>
      </c>
      <c r="BW40" s="120">
        <v>4.0999999999999997E-6</v>
      </c>
      <c r="BX40" s="120">
        <v>4.0999999999999997E-6</v>
      </c>
      <c r="BY40" s="120">
        <v>4.0999999999999997E-6</v>
      </c>
      <c r="BZ40" s="120">
        <v>4.0999999999999997E-6</v>
      </c>
      <c r="CA40" s="120">
        <v>4.0999999999999997E-6</v>
      </c>
      <c r="CB40" s="120">
        <v>4.0999999999999997E-6</v>
      </c>
      <c r="CC40" s="120">
        <v>4.0999999999999997E-6</v>
      </c>
      <c r="CD40" s="120">
        <v>4.0999999999999997E-6</v>
      </c>
      <c r="CE40" s="120">
        <v>4.0999999999999997E-6</v>
      </c>
      <c r="CF40" s="120">
        <v>4.0999999999999997E-6</v>
      </c>
      <c r="CG40" s="120">
        <v>4.0999999999999997E-6</v>
      </c>
      <c r="CH40" s="169">
        <v>4.0999999999999997E-6</v>
      </c>
    </row>
    <row r="41" spans="1:86">
      <c r="A41" s="166" t="s">
        <v>563</v>
      </c>
      <c r="B41" s="120">
        <v>1.2999999999999999E-4</v>
      </c>
      <c r="C41" s="120">
        <v>1.2999999999999999E-4</v>
      </c>
      <c r="D41" s="120">
        <v>1.2999999999999999E-4</v>
      </c>
      <c r="E41" s="120">
        <v>1.2999999999999999E-4</v>
      </c>
      <c r="F41" s="120">
        <v>1.2999999999999999E-4</v>
      </c>
      <c r="G41" s="120">
        <v>1.2999999999999999E-4</v>
      </c>
      <c r="H41" s="120">
        <v>1.2999999999999999E-4</v>
      </c>
      <c r="I41" s="120">
        <v>1.2999999999999999E-4</v>
      </c>
      <c r="J41" s="120">
        <v>1.2999999999999999E-4</v>
      </c>
      <c r="K41" s="120">
        <v>1.2999999999999999E-4</v>
      </c>
      <c r="L41" s="120">
        <v>1.2999999999999999E-4</v>
      </c>
      <c r="M41" s="120">
        <v>1.2999999999999999E-4</v>
      </c>
      <c r="N41" s="120">
        <v>1.2999999999999999E-4</v>
      </c>
      <c r="O41" s="120">
        <v>1.2999999999999999E-4</v>
      </c>
      <c r="P41" s="120">
        <v>1.2999999999999999E-4</v>
      </c>
      <c r="Q41" s="120">
        <v>1.2999999999999999E-4</v>
      </c>
      <c r="R41" s="120">
        <v>1.2999999999999999E-4</v>
      </c>
      <c r="S41" s="120">
        <v>1.2999999999999999E-4</v>
      </c>
      <c r="T41" s="120">
        <v>1.2999999999999999E-4</v>
      </c>
      <c r="U41" s="120">
        <v>1.2999999999999999E-4</v>
      </c>
      <c r="V41" s="120">
        <v>1.2999999999999999E-4</v>
      </c>
      <c r="W41" s="120">
        <v>1.2999999999999999E-4</v>
      </c>
      <c r="X41" s="120">
        <v>1.2999999999999999E-4</v>
      </c>
      <c r="Y41" s="120">
        <v>1.2999999999999999E-4</v>
      </c>
      <c r="Z41" s="120">
        <v>1.2999999999999999E-4</v>
      </c>
      <c r="AA41" s="120">
        <v>1.2999999999999999E-4</v>
      </c>
      <c r="AB41" s="120">
        <v>1.2999999999999999E-4</v>
      </c>
      <c r="AC41" s="120">
        <v>1.2999999999999999E-4</v>
      </c>
      <c r="AD41" s="120">
        <v>1.2999999999999999E-4</v>
      </c>
      <c r="AE41" s="120">
        <v>1.2999999999999999E-4</v>
      </c>
      <c r="AF41" s="120">
        <v>1.2999999999999999E-4</v>
      </c>
      <c r="AG41" s="120">
        <v>1.2999999999999999E-4</v>
      </c>
      <c r="AH41" s="120">
        <v>1.2999999999999999E-4</v>
      </c>
      <c r="AI41" s="120">
        <v>1.2999999999999999E-4</v>
      </c>
      <c r="AJ41" s="120">
        <v>1.2999999999999999E-4</v>
      </c>
      <c r="AK41" s="120">
        <v>1.2999999999999999E-4</v>
      </c>
      <c r="AL41" s="168">
        <v>1.2999999999999999E-4</v>
      </c>
      <c r="AM41" s="120">
        <v>1.2999999999999999E-4</v>
      </c>
      <c r="AN41" s="120">
        <v>1.2999999999999999E-4</v>
      </c>
      <c r="AO41" s="120">
        <v>1.2999999999999999E-4</v>
      </c>
      <c r="AP41" s="168">
        <v>1.2999999999999999E-4</v>
      </c>
      <c r="AQ41" s="120"/>
      <c r="AR41" s="120"/>
      <c r="AS41" s="120"/>
      <c r="AT41" s="120"/>
      <c r="AU41" s="120"/>
      <c r="AV41" s="120"/>
      <c r="AW41" s="120"/>
      <c r="AX41" s="120"/>
      <c r="AY41" s="120"/>
      <c r="AZ41" s="120"/>
      <c r="BA41" s="120"/>
      <c r="BB41" s="120"/>
      <c r="BC41" s="120"/>
      <c r="BD41" s="120"/>
      <c r="BE41" s="168"/>
      <c r="BF41" s="151"/>
      <c r="BG41" s="151"/>
      <c r="BH41" s="151"/>
      <c r="BI41" s="151"/>
      <c r="BJ41" s="151"/>
      <c r="BK41" s="151"/>
      <c r="BL41" s="151"/>
      <c r="BM41" s="151"/>
      <c r="BN41" s="151"/>
      <c r="BO41" s="158"/>
      <c r="BP41" s="151"/>
      <c r="BQ41" s="151"/>
      <c r="BR41" s="151"/>
      <c r="BS41" s="151"/>
      <c r="BT41" s="167"/>
      <c r="BU41" s="120"/>
      <c r="BV41" s="120"/>
      <c r="BW41" s="120"/>
      <c r="BX41" s="120"/>
      <c r="BY41" s="120"/>
      <c r="BZ41" s="120"/>
      <c r="CA41" s="120"/>
      <c r="CB41" s="120"/>
      <c r="CC41" s="120"/>
      <c r="CD41" s="120"/>
      <c r="CE41" s="120"/>
      <c r="CF41" s="120"/>
      <c r="CG41" s="120"/>
      <c r="CH41" s="169"/>
    </row>
    <row r="42" spans="1:86">
      <c r="A42" s="166" t="s">
        <v>564</v>
      </c>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68"/>
      <c r="AM42" s="120"/>
      <c r="AN42" s="120"/>
      <c r="AO42" s="120"/>
      <c r="AP42" s="168"/>
      <c r="AQ42" s="120"/>
      <c r="AR42" s="120"/>
      <c r="AS42" s="120"/>
      <c r="AT42" s="120"/>
      <c r="AU42" s="120"/>
      <c r="AV42" s="120"/>
      <c r="AW42" s="120"/>
      <c r="AX42" s="120"/>
      <c r="AY42" s="120"/>
      <c r="AZ42" s="120"/>
      <c r="BA42" s="120"/>
      <c r="BB42" s="120"/>
      <c r="BC42" s="120"/>
      <c r="BD42" s="120"/>
      <c r="BE42" s="168"/>
      <c r="BF42" s="151"/>
      <c r="BG42" s="151"/>
      <c r="BH42" s="151"/>
      <c r="BI42" s="151"/>
      <c r="BJ42" s="151"/>
      <c r="BK42" s="151"/>
      <c r="BL42" s="151"/>
      <c r="BM42" s="151"/>
      <c r="BN42" s="151"/>
      <c r="BO42" s="158"/>
      <c r="BP42" s="151"/>
      <c r="BQ42" s="151"/>
      <c r="BR42" s="151"/>
      <c r="BS42" s="151"/>
      <c r="BT42" s="167">
        <v>4.5000000000000003E-5</v>
      </c>
      <c r="BU42" s="120">
        <v>4.5000000000000003E-5</v>
      </c>
      <c r="BV42" s="120">
        <v>4.5000000000000003E-5</v>
      </c>
      <c r="BW42" s="120">
        <v>4.5000000000000003E-5</v>
      </c>
      <c r="BX42" s="120">
        <v>4.5000000000000003E-5</v>
      </c>
      <c r="BY42" s="120">
        <v>4.5000000000000003E-5</v>
      </c>
      <c r="BZ42" s="120">
        <v>4.5000000000000003E-5</v>
      </c>
      <c r="CA42" s="120">
        <v>4.5000000000000003E-5</v>
      </c>
      <c r="CB42" s="120">
        <v>4.5000000000000003E-5</v>
      </c>
      <c r="CC42" s="120">
        <v>4.5000000000000003E-5</v>
      </c>
      <c r="CD42" s="120">
        <v>4.5000000000000003E-5</v>
      </c>
      <c r="CE42" s="120">
        <v>4.5000000000000003E-5</v>
      </c>
      <c r="CF42" s="120">
        <v>4.5000000000000003E-5</v>
      </c>
      <c r="CG42" s="120">
        <v>4.5000000000000003E-5</v>
      </c>
      <c r="CH42" s="169">
        <v>4.5000000000000003E-5</v>
      </c>
    </row>
    <row r="43" spans="1:86">
      <c r="A43" s="166" t="s">
        <v>565</v>
      </c>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68"/>
      <c r="AM43" s="120"/>
      <c r="AN43" s="120"/>
      <c r="AO43" s="120"/>
      <c r="AP43" s="168"/>
      <c r="AQ43" s="120">
        <v>0.34699999999999998</v>
      </c>
      <c r="AR43" s="120">
        <v>0.34699999999999998</v>
      </c>
      <c r="AS43" s="120">
        <v>0.34699999999999998</v>
      </c>
      <c r="AT43" s="120">
        <v>0.34699999999999998</v>
      </c>
      <c r="AU43" s="120"/>
      <c r="AV43" s="120"/>
      <c r="AW43" s="120"/>
      <c r="AX43" s="120"/>
      <c r="AY43" s="120"/>
      <c r="AZ43" s="120"/>
      <c r="BA43" s="120"/>
      <c r="BB43" s="120"/>
      <c r="BC43" s="120"/>
      <c r="BD43" s="120"/>
      <c r="BE43" s="168"/>
      <c r="BF43" s="151"/>
      <c r="BG43" s="151"/>
      <c r="BH43" s="151"/>
      <c r="BI43" s="151"/>
      <c r="BJ43" s="151"/>
      <c r="BK43" s="151"/>
      <c r="BL43" s="151"/>
      <c r="BM43" s="151"/>
      <c r="BN43" s="151"/>
      <c r="BO43" s="158"/>
      <c r="BP43" s="151"/>
      <c r="BQ43" s="151"/>
      <c r="BR43" s="151"/>
      <c r="BS43" s="151"/>
      <c r="BT43" s="167">
        <v>7.9000000000000001E-4</v>
      </c>
      <c r="BU43" s="120">
        <v>7.9000000000000001E-4</v>
      </c>
      <c r="BV43" s="120">
        <v>7.9000000000000001E-4</v>
      </c>
      <c r="BW43" s="120">
        <v>7.9000000000000001E-4</v>
      </c>
      <c r="BX43" s="120">
        <v>7.9000000000000001E-4</v>
      </c>
      <c r="BY43" s="120">
        <v>7.9000000000000001E-4</v>
      </c>
      <c r="BZ43" s="120">
        <v>7.9000000000000001E-4</v>
      </c>
      <c r="CA43" s="120">
        <v>7.9000000000000001E-4</v>
      </c>
      <c r="CB43" s="120">
        <v>7.9000000000000001E-4</v>
      </c>
      <c r="CC43" s="120">
        <v>7.9000000000000001E-4</v>
      </c>
      <c r="CD43" s="120">
        <v>7.9000000000000001E-4</v>
      </c>
      <c r="CE43" s="120">
        <v>7.9000000000000001E-4</v>
      </c>
      <c r="CF43" s="120">
        <v>7.9000000000000001E-4</v>
      </c>
      <c r="CG43" s="120">
        <v>7.9000000000000001E-4</v>
      </c>
      <c r="CH43" s="169">
        <v>7.9000000000000001E-4</v>
      </c>
    </row>
    <row r="44" spans="1:86">
      <c r="A44" s="166" t="s">
        <v>566</v>
      </c>
      <c r="B44" s="120">
        <v>2.1999999999999999E-5</v>
      </c>
      <c r="C44" s="120">
        <v>2.1999999999999999E-5</v>
      </c>
      <c r="D44" s="120">
        <v>2.1999999999999999E-5</v>
      </c>
      <c r="E44" s="120">
        <v>2.1999999999999999E-5</v>
      </c>
      <c r="F44" s="120">
        <v>2.1999999999999999E-5</v>
      </c>
      <c r="G44" s="120">
        <v>2.1999999999999999E-5</v>
      </c>
      <c r="H44" s="120">
        <v>2.1999999999999999E-5</v>
      </c>
      <c r="I44" s="120">
        <v>2.1999999999999999E-5</v>
      </c>
      <c r="J44" s="120">
        <v>2.1999999999999999E-5</v>
      </c>
      <c r="K44" s="120">
        <v>2.1999999999999999E-5</v>
      </c>
      <c r="L44" s="120">
        <v>2.1999999999999999E-5</v>
      </c>
      <c r="M44" s="120">
        <v>2.1999999999999999E-5</v>
      </c>
      <c r="N44" s="120">
        <v>2.1999999999999999E-5</v>
      </c>
      <c r="O44" s="120">
        <v>2.1999999999999999E-5</v>
      </c>
      <c r="P44" s="120">
        <v>2.1999999999999999E-5</v>
      </c>
      <c r="Q44" s="120">
        <v>2.1999999999999999E-5</v>
      </c>
      <c r="R44" s="120">
        <v>2.1999999999999999E-5</v>
      </c>
      <c r="S44" s="120">
        <v>2.1999999999999999E-5</v>
      </c>
      <c r="T44" s="120">
        <v>2.1999999999999999E-5</v>
      </c>
      <c r="U44" s="120">
        <v>2.1999999999999999E-5</v>
      </c>
      <c r="V44" s="120">
        <v>2.1999999999999999E-5</v>
      </c>
      <c r="W44" s="120">
        <v>2.1999999999999999E-5</v>
      </c>
      <c r="X44" s="120">
        <v>2.1999999999999999E-5</v>
      </c>
      <c r="Y44" s="120">
        <v>2.1999999999999999E-5</v>
      </c>
      <c r="Z44" s="120">
        <v>2.1999999999999999E-5</v>
      </c>
      <c r="AA44" s="120">
        <v>2.1999999999999999E-5</v>
      </c>
      <c r="AB44" s="120">
        <v>2.1999999999999999E-5</v>
      </c>
      <c r="AC44" s="120">
        <v>2.1999999999999999E-5</v>
      </c>
      <c r="AD44" s="120">
        <v>2.1999999999999999E-5</v>
      </c>
      <c r="AE44" s="120">
        <v>2.1999999999999999E-5</v>
      </c>
      <c r="AF44" s="120">
        <v>2.1999999999999999E-5</v>
      </c>
      <c r="AG44" s="120">
        <v>2.1999999999999999E-5</v>
      </c>
      <c r="AH44" s="120">
        <v>2.1999999999999999E-5</v>
      </c>
      <c r="AI44" s="120">
        <v>2.1999999999999999E-5</v>
      </c>
      <c r="AJ44" s="120">
        <v>2.1999999999999999E-5</v>
      </c>
      <c r="AK44" s="120">
        <v>2.1999999999999999E-5</v>
      </c>
      <c r="AL44" s="168">
        <v>2.1999999999999999E-5</v>
      </c>
      <c r="AM44" s="120">
        <v>2.1999999999999999E-5</v>
      </c>
      <c r="AN44" s="120">
        <v>2.1999999999999999E-5</v>
      </c>
      <c r="AO44" s="120">
        <v>2.1999999999999999E-5</v>
      </c>
      <c r="AP44" s="168">
        <v>2.1999999999999999E-5</v>
      </c>
      <c r="AQ44" s="120"/>
      <c r="AR44" s="120"/>
      <c r="AS44" s="120"/>
      <c r="AT44" s="120"/>
      <c r="AU44" s="120"/>
      <c r="AV44" s="120"/>
      <c r="AW44" s="120"/>
      <c r="AX44" s="120"/>
      <c r="AY44" s="120"/>
      <c r="AZ44" s="120"/>
      <c r="BA44" s="120"/>
      <c r="BB44" s="120"/>
      <c r="BC44" s="120"/>
      <c r="BD44" s="120"/>
      <c r="BE44" s="168"/>
      <c r="BF44" s="151"/>
      <c r="BG44" s="151"/>
      <c r="BH44" s="151"/>
      <c r="BI44" s="151"/>
      <c r="BJ44" s="151"/>
      <c r="BK44" s="151"/>
      <c r="BL44" s="151"/>
      <c r="BM44" s="151"/>
      <c r="BN44" s="151"/>
      <c r="BO44" s="158"/>
      <c r="BP44" s="151"/>
      <c r="BQ44" s="151"/>
      <c r="BR44" s="151"/>
      <c r="BS44" s="151"/>
      <c r="BT44" s="167">
        <v>3.3000000000000003E-5</v>
      </c>
      <c r="BU44" s="120">
        <v>3.3000000000000003E-5</v>
      </c>
      <c r="BV44" s="120">
        <v>3.3000000000000003E-5</v>
      </c>
      <c r="BW44" s="120">
        <v>3.3000000000000003E-5</v>
      </c>
      <c r="BX44" s="120">
        <v>3.3000000000000003E-5</v>
      </c>
      <c r="BY44" s="120">
        <v>3.3000000000000003E-5</v>
      </c>
      <c r="BZ44" s="120">
        <v>3.3000000000000003E-5</v>
      </c>
      <c r="CA44" s="120">
        <v>3.3000000000000003E-5</v>
      </c>
      <c r="CB44" s="120">
        <v>3.3000000000000003E-5</v>
      </c>
      <c r="CC44" s="120">
        <v>3.3000000000000003E-5</v>
      </c>
      <c r="CD44" s="120">
        <v>3.3000000000000003E-5</v>
      </c>
      <c r="CE44" s="120">
        <v>3.3000000000000003E-5</v>
      </c>
      <c r="CF44" s="120">
        <v>3.3000000000000003E-5</v>
      </c>
      <c r="CG44" s="120">
        <v>3.3000000000000003E-5</v>
      </c>
      <c r="CH44" s="169">
        <v>3.3000000000000003E-5</v>
      </c>
    </row>
    <row r="45" spans="1:86">
      <c r="A45" s="166" t="s">
        <v>567</v>
      </c>
      <c r="B45" s="120">
        <v>4.1999999999999998E-5</v>
      </c>
      <c r="C45" s="120">
        <v>4.1999999999999998E-5</v>
      </c>
      <c r="D45" s="120">
        <v>4.1999999999999998E-5</v>
      </c>
      <c r="E45" s="120">
        <v>4.1999999999999998E-5</v>
      </c>
      <c r="F45" s="120">
        <v>4.1999999999999998E-5</v>
      </c>
      <c r="G45" s="120">
        <v>4.1999999999999998E-5</v>
      </c>
      <c r="H45" s="120">
        <v>4.1999999999999998E-5</v>
      </c>
      <c r="I45" s="120">
        <v>4.1999999999999998E-5</v>
      </c>
      <c r="J45" s="120">
        <v>4.1999999999999998E-5</v>
      </c>
      <c r="K45" s="120">
        <v>4.1999999999999998E-5</v>
      </c>
      <c r="L45" s="120">
        <v>4.1999999999999998E-5</v>
      </c>
      <c r="M45" s="120">
        <v>4.1999999999999998E-5</v>
      </c>
      <c r="N45" s="120">
        <v>4.1999999999999998E-5</v>
      </c>
      <c r="O45" s="120">
        <v>4.1999999999999998E-5</v>
      </c>
      <c r="P45" s="120">
        <v>4.1999999999999998E-5</v>
      </c>
      <c r="Q45" s="120">
        <v>4.1999999999999998E-5</v>
      </c>
      <c r="R45" s="120">
        <v>4.1999999999999998E-5</v>
      </c>
      <c r="S45" s="120">
        <v>4.1999999999999998E-5</v>
      </c>
      <c r="T45" s="120">
        <v>4.1999999999999998E-5</v>
      </c>
      <c r="U45" s="120">
        <v>4.1999999999999998E-5</v>
      </c>
      <c r="V45" s="120">
        <v>4.1999999999999998E-5</v>
      </c>
      <c r="W45" s="120">
        <v>4.1999999999999998E-5</v>
      </c>
      <c r="X45" s="120">
        <v>4.1999999999999998E-5</v>
      </c>
      <c r="Y45" s="120">
        <v>4.1999999999999998E-5</v>
      </c>
      <c r="Z45" s="120">
        <v>4.1999999999999998E-5</v>
      </c>
      <c r="AA45" s="120">
        <v>4.1999999999999998E-5</v>
      </c>
      <c r="AB45" s="120">
        <v>4.1999999999999998E-5</v>
      </c>
      <c r="AC45" s="120">
        <v>4.1999999999999998E-5</v>
      </c>
      <c r="AD45" s="120">
        <v>4.1999999999999998E-5</v>
      </c>
      <c r="AE45" s="120">
        <v>4.1999999999999998E-5</v>
      </c>
      <c r="AF45" s="120">
        <v>4.1999999999999998E-5</v>
      </c>
      <c r="AG45" s="120">
        <v>4.1999999999999998E-5</v>
      </c>
      <c r="AH45" s="120">
        <v>4.1999999999999998E-5</v>
      </c>
      <c r="AI45" s="120">
        <v>4.1999999999999998E-5</v>
      </c>
      <c r="AJ45" s="120">
        <v>4.1999999999999998E-5</v>
      </c>
      <c r="AK45" s="120">
        <v>4.1999999999999998E-5</v>
      </c>
      <c r="AL45" s="168">
        <v>4.1999999999999998E-5</v>
      </c>
      <c r="AM45" s="120">
        <v>4.1999999999999998E-5</v>
      </c>
      <c r="AN45" s="120">
        <v>4.1999999999999998E-5</v>
      </c>
      <c r="AO45" s="120">
        <v>4.1999999999999998E-5</v>
      </c>
      <c r="AP45" s="168">
        <v>4.1999999999999998E-5</v>
      </c>
      <c r="AQ45" s="120"/>
      <c r="AR45" s="120"/>
      <c r="AS45" s="120"/>
      <c r="AT45" s="120"/>
      <c r="AU45" s="120"/>
      <c r="AV45" s="120"/>
      <c r="AW45" s="120"/>
      <c r="AX45" s="120"/>
      <c r="AY45" s="120"/>
      <c r="AZ45" s="120"/>
      <c r="BA45" s="120"/>
      <c r="BB45" s="120"/>
      <c r="BC45" s="120"/>
      <c r="BD45" s="120"/>
      <c r="BE45" s="168"/>
      <c r="BF45" s="151"/>
      <c r="BG45" s="151"/>
      <c r="BH45" s="151"/>
      <c r="BI45" s="151"/>
      <c r="BJ45" s="151"/>
      <c r="BK45" s="151"/>
      <c r="BL45" s="151"/>
      <c r="BM45" s="151"/>
      <c r="BN45" s="151"/>
      <c r="BO45" s="158"/>
      <c r="BP45" s="151"/>
      <c r="BQ45" s="151"/>
      <c r="BR45" s="151"/>
      <c r="BS45" s="151"/>
      <c r="BT45" s="167"/>
      <c r="BU45" s="120"/>
      <c r="BV45" s="120"/>
      <c r="BW45" s="120"/>
      <c r="BX45" s="120"/>
      <c r="BY45" s="120"/>
      <c r="BZ45" s="120"/>
      <c r="CA45" s="120"/>
      <c r="CB45" s="120"/>
      <c r="CC45" s="120"/>
      <c r="CD45" s="120"/>
      <c r="CE45" s="120"/>
      <c r="CF45" s="120"/>
      <c r="CG45" s="120"/>
      <c r="CH45" s="169"/>
    </row>
    <row r="46" spans="1:86">
      <c r="A46" s="166" t="s">
        <v>568</v>
      </c>
      <c r="B46" s="120">
        <v>5.8999999999999998E-5</v>
      </c>
      <c r="C46" s="120">
        <v>5.8999999999999998E-5</v>
      </c>
      <c r="D46" s="120">
        <v>5.8999999999999998E-5</v>
      </c>
      <c r="E46" s="120">
        <v>5.8999999999999998E-5</v>
      </c>
      <c r="F46" s="120">
        <v>5.8999999999999998E-5</v>
      </c>
      <c r="G46" s="120">
        <v>5.8999999999999998E-5</v>
      </c>
      <c r="H46" s="120">
        <v>5.8999999999999998E-5</v>
      </c>
      <c r="I46" s="120">
        <v>5.8999999999999998E-5</v>
      </c>
      <c r="J46" s="120">
        <v>5.8999999999999998E-5</v>
      </c>
      <c r="K46" s="120">
        <v>5.8999999999999998E-5</v>
      </c>
      <c r="L46" s="120">
        <v>5.8999999999999998E-5</v>
      </c>
      <c r="M46" s="120">
        <v>5.8999999999999998E-5</v>
      </c>
      <c r="N46" s="120">
        <v>5.8999999999999998E-5</v>
      </c>
      <c r="O46" s="120">
        <v>5.8999999999999998E-5</v>
      </c>
      <c r="P46" s="120">
        <v>5.8999999999999998E-5</v>
      </c>
      <c r="Q46" s="120">
        <v>5.8999999999999998E-5</v>
      </c>
      <c r="R46" s="120">
        <v>5.8999999999999998E-5</v>
      </c>
      <c r="S46" s="120">
        <v>5.8999999999999998E-5</v>
      </c>
      <c r="T46" s="120">
        <v>5.8999999999999998E-5</v>
      </c>
      <c r="U46" s="120">
        <v>5.8999999999999998E-5</v>
      </c>
      <c r="V46" s="120">
        <v>5.8999999999999998E-5</v>
      </c>
      <c r="W46" s="120">
        <v>5.8999999999999998E-5</v>
      </c>
      <c r="X46" s="120">
        <v>5.8999999999999998E-5</v>
      </c>
      <c r="Y46" s="120">
        <v>5.8999999999999998E-5</v>
      </c>
      <c r="Z46" s="120">
        <v>5.8999999999999998E-5</v>
      </c>
      <c r="AA46" s="120">
        <v>5.8999999999999998E-5</v>
      </c>
      <c r="AB46" s="120">
        <v>5.8999999999999998E-5</v>
      </c>
      <c r="AC46" s="120">
        <v>5.8999999999999998E-5</v>
      </c>
      <c r="AD46" s="120">
        <v>5.8999999999999998E-5</v>
      </c>
      <c r="AE46" s="120">
        <v>5.8999999999999998E-5</v>
      </c>
      <c r="AF46" s="120">
        <v>5.8999999999999998E-5</v>
      </c>
      <c r="AG46" s="120">
        <v>5.8999999999999998E-5</v>
      </c>
      <c r="AH46" s="120">
        <v>5.8999999999999998E-5</v>
      </c>
      <c r="AI46" s="120">
        <v>5.8999999999999998E-5</v>
      </c>
      <c r="AJ46" s="120">
        <v>5.8999999999999998E-5</v>
      </c>
      <c r="AK46" s="120">
        <v>5.8999999999999998E-5</v>
      </c>
      <c r="AL46" s="168">
        <v>5.8999999999999998E-5</v>
      </c>
      <c r="AM46" s="120">
        <v>5.8999999999999998E-5</v>
      </c>
      <c r="AN46" s="120">
        <v>5.8999999999999998E-5</v>
      </c>
      <c r="AO46" s="120">
        <v>5.8999999999999998E-5</v>
      </c>
      <c r="AP46" s="168">
        <v>5.8999999999999998E-5</v>
      </c>
      <c r="AQ46" s="120"/>
      <c r="AR46" s="120"/>
      <c r="AS46" s="120"/>
      <c r="AT46" s="120"/>
      <c r="AU46" s="120"/>
      <c r="AV46" s="120"/>
      <c r="AW46" s="120"/>
      <c r="AX46" s="120"/>
      <c r="AY46" s="120"/>
      <c r="AZ46" s="120"/>
      <c r="BA46" s="120"/>
      <c r="BB46" s="120"/>
      <c r="BC46" s="120"/>
      <c r="BD46" s="120"/>
      <c r="BE46" s="168"/>
      <c r="BF46" s="151"/>
      <c r="BG46" s="151"/>
      <c r="BH46" s="151"/>
      <c r="BI46" s="151"/>
      <c r="BJ46" s="151"/>
      <c r="BK46" s="151"/>
      <c r="BL46" s="151"/>
      <c r="BM46" s="151"/>
      <c r="BN46" s="151"/>
      <c r="BO46" s="158"/>
      <c r="BP46" s="151"/>
      <c r="BQ46" s="151"/>
      <c r="BR46" s="151"/>
      <c r="BS46" s="151"/>
      <c r="BT46" s="167">
        <v>2.8E-5</v>
      </c>
      <c r="BU46" s="120">
        <v>2.8E-5</v>
      </c>
      <c r="BV46" s="120">
        <v>2.8E-5</v>
      </c>
      <c r="BW46" s="120">
        <v>2.8E-5</v>
      </c>
      <c r="BX46" s="120">
        <v>2.8E-5</v>
      </c>
      <c r="BY46" s="120">
        <v>2.8E-5</v>
      </c>
      <c r="BZ46" s="120">
        <v>2.8E-5</v>
      </c>
      <c r="CA46" s="120">
        <v>2.8E-5</v>
      </c>
      <c r="CB46" s="120">
        <v>2.8E-5</v>
      </c>
      <c r="CC46" s="120">
        <v>2.8E-5</v>
      </c>
      <c r="CD46" s="120">
        <v>2.8E-5</v>
      </c>
      <c r="CE46" s="120">
        <v>2.8E-5</v>
      </c>
      <c r="CF46" s="120">
        <v>2.8E-5</v>
      </c>
      <c r="CG46" s="120">
        <v>2.8E-5</v>
      </c>
      <c r="CH46" s="169">
        <v>2.8E-5</v>
      </c>
    </row>
    <row r="47" spans="1:86">
      <c r="A47" s="166" t="s">
        <v>569</v>
      </c>
      <c r="B47" s="120">
        <v>5.2999999999999998E-4</v>
      </c>
      <c r="C47" s="120">
        <v>5.2999999999999998E-4</v>
      </c>
      <c r="D47" s="120">
        <v>5.2999999999999998E-4</v>
      </c>
      <c r="E47" s="120">
        <v>5.2999999999999998E-4</v>
      </c>
      <c r="F47" s="120">
        <v>5.2999999999999998E-4</v>
      </c>
      <c r="G47" s="120">
        <v>5.2999999999999998E-4</v>
      </c>
      <c r="H47" s="120">
        <v>5.2999999999999998E-4</v>
      </c>
      <c r="I47" s="120">
        <v>5.2999999999999998E-4</v>
      </c>
      <c r="J47" s="120">
        <v>5.2999999999999998E-4</v>
      </c>
      <c r="K47" s="120">
        <v>5.2999999999999998E-4</v>
      </c>
      <c r="L47" s="120">
        <v>5.2999999999999998E-4</v>
      </c>
      <c r="M47" s="120">
        <v>5.2999999999999998E-4</v>
      </c>
      <c r="N47" s="120">
        <v>5.2999999999999998E-4</v>
      </c>
      <c r="O47" s="120">
        <v>5.2999999999999998E-4</v>
      </c>
      <c r="P47" s="120">
        <v>5.2999999999999998E-4</v>
      </c>
      <c r="Q47" s="120">
        <v>5.2999999999999998E-4</v>
      </c>
      <c r="R47" s="120">
        <v>5.2999999999999998E-4</v>
      </c>
      <c r="S47" s="120">
        <v>5.2999999999999998E-4</v>
      </c>
      <c r="T47" s="120">
        <v>5.2999999999999998E-4</v>
      </c>
      <c r="U47" s="120">
        <v>5.2999999999999998E-4</v>
      </c>
      <c r="V47" s="120">
        <v>5.2999999999999998E-4</v>
      </c>
      <c r="W47" s="120">
        <v>5.2999999999999998E-4</v>
      </c>
      <c r="X47" s="120">
        <v>5.2999999999999998E-4</v>
      </c>
      <c r="Y47" s="120">
        <v>5.2999999999999998E-4</v>
      </c>
      <c r="Z47" s="120">
        <v>5.2999999999999998E-4</v>
      </c>
      <c r="AA47" s="120">
        <v>5.2999999999999998E-4</v>
      </c>
      <c r="AB47" s="120">
        <v>5.2999999999999998E-4</v>
      </c>
      <c r="AC47" s="120">
        <v>5.2999999999999998E-4</v>
      </c>
      <c r="AD47" s="120">
        <v>5.2999999999999998E-4</v>
      </c>
      <c r="AE47" s="120">
        <v>5.2999999999999998E-4</v>
      </c>
      <c r="AF47" s="120">
        <v>5.2999999999999998E-4</v>
      </c>
      <c r="AG47" s="120">
        <v>5.2999999999999998E-4</v>
      </c>
      <c r="AH47" s="120">
        <v>5.2999999999999998E-4</v>
      </c>
      <c r="AI47" s="120">
        <v>5.2999999999999998E-4</v>
      </c>
      <c r="AJ47" s="120">
        <v>5.2999999999999998E-4</v>
      </c>
      <c r="AK47" s="120">
        <v>5.2999999999999998E-4</v>
      </c>
      <c r="AL47" s="168">
        <v>5.2999999999999998E-4</v>
      </c>
      <c r="AM47" s="120">
        <v>5.2999999999999998E-4</v>
      </c>
      <c r="AN47" s="120">
        <v>5.2999999999999998E-4</v>
      </c>
      <c r="AO47" s="120">
        <v>5.2999999999999998E-4</v>
      </c>
      <c r="AP47" s="168">
        <v>5.2999999999999998E-4</v>
      </c>
      <c r="AQ47" s="120"/>
      <c r="AR47" s="120"/>
      <c r="AS47" s="120"/>
      <c r="AT47" s="120"/>
      <c r="AU47" s="120"/>
      <c r="AV47" s="120"/>
      <c r="AW47" s="120"/>
      <c r="AX47" s="120"/>
      <c r="AY47" s="120"/>
      <c r="AZ47" s="120"/>
      <c r="BA47" s="120"/>
      <c r="BB47" s="120"/>
      <c r="BC47" s="120"/>
      <c r="BD47" s="120"/>
      <c r="BE47" s="168"/>
      <c r="BF47" s="151"/>
      <c r="BG47" s="151"/>
      <c r="BH47" s="151"/>
      <c r="BI47" s="151"/>
      <c r="BJ47" s="151"/>
      <c r="BK47" s="151"/>
      <c r="BL47" s="151"/>
      <c r="BM47" s="151"/>
      <c r="BN47" s="151"/>
      <c r="BO47" s="158"/>
      <c r="BP47" s="151"/>
      <c r="BQ47" s="151"/>
      <c r="BR47" s="151"/>
      <c r="BS47" s="151"/>
      <c r="BT47" s="167">
        <v>2.3E-5</v>
      </c>
      <c r="BU47" s="120">
        <v>2.3E-5</v>
      </c>
      <c r="BV47" s="120">
        <v>2.3E-5</v>
      </c>
      <c r="BW47" s="120">
        <v>2.3E-5</v>
      </c>
      <c r="BX47" s="120">
        <v>2.3E-5</v>
      </c>
      <c r="BY47" s="120">
        <v>2.3E-5</v>
      </c>
      <c r="BZ47" s="120">
        <v>2.3E-5</v>
      </c>
      <c r="CA47" s="120">
        <v>2.3E-5</v>
      </c>
      <c r="CB47" s="120">
        <v>2.3E-5</v>
      </c>
      <c r="CC47" s="120">
        <v>2.3E-5</v>
      </c>
      <c r="CD47" s="120">
        <v>2.3E-5</v>
      </c>
      <c r="CE47" s="120">
        <v>2.3E-5</v>
      </c>
      <c r="CF47" s="120">
        <v>2.3E-5</v>
      </c>
      <c r="CG47" s="120">
        <v>2.3E-5</v>
      </c>
      <c r="CH47" s="169">
        <v>2.3E-5</v>
      </c>
    </row>
    <row r="48" spans="1:86">
      <c r="A48" s="166" t="s">
        <v>94</v>
      </c>
      <c r="B48" s="120">
        <f t="shared" ref="B48:AL48" si="10">(0.00026+0.000079)/(1-99.2%)</f>
        <v>4.2374999999999961E-2</v>
      </c>
      <c r="C48" s="120">
        <f t="shared" si="10"/>
        <v>4.2374999999999961E-2</v>
      </c>
      <c r="D48" s="120">
        <f t="shared" si="10"/>
        <v>4.2374999999999961E-2</v>
      </c>
      <c r="E48" s="120">
        <f t="shared" si="10"/>
        <v>4.2374999999999961E-2</v>
      </c>
      <c r="F48" s="120">
        <f t="shared" si="10"/>
        <v>4.2374999999999961E-2</v>
      </c>
      <c r="G48" s="120">
        <f t="shared" si="10"/>
        <v>4.2374999999999961E-2</v>
      </c>
      <c r="H48" s="120">
        <f t="shared" si="10"/>
        <v>4.2374999999999961E-2</v>
      </c>
      <c r="I48" s="120">
        <f t="shared" si="10"/>
        <v>4.2374999999999961E-2</v>
      </c>
      <c r="J48" s="120">
        <f t="shared" si="10"/>
        <v>4.2374999999999961E-2</v>
      </c>
      <c r="K48" s="120">
        <f t="shared" si="10"/>
        <v>4.2374999999999961E-2</v>
      </c>
      <c r="L48" s="120">
        <f t="shared" si="10"/>
        <v>4.2374999999999961E-2</v>
      </c>
      <c r="M48" s="120">
        <f t="shared" si="10"/>
        <v>4.2374999999999961E-2</v>
      </c>
      <c r="N48" s="120">
        <f t="shared" si="10"/>
        <v>4.2374999999999961E-2</v>
      </c>
      <c r="O48" s="120">
        <f t="shared" si="10"/>
        <v>4.2374999999999961E-2</v>
      </c>
      <c r="P48" s="120">
        <f t="shared" si="10"/>
        <v>4.2374999999999961E-2</v>
      </c>
      <c r="Q48" s="120">
        <f t="shared" si="10"/>
        <v>4.2374999999999961E-2</v>
      </c>
      <c r="R48" s="120">
        <f t="shared" si="10"/>
        <v>4.2374999999999961E-2</v>
      </c>
      <c r="S48" s="120">
        <f t="shared" si="10"/>
        <v>4.2374999999999961E-2</v>
      </c>
      <c r="T48" s="120">
        <f t="shared" si="10"/>
        <v>4.2374999999999961E-2</v>
      </c>
      <c r="U48" s="120">
        <f t="shared" si="10"/>
        <v>4.2374999999999961E-2</v>
      </c>
      <c r="V48" s="120">
        <f t="shared" si="10"/>
        <v>4.2374999999999961E-2</v>
      </c>
      <c r="W48" s="120">
        <f t="shared" si="10"/>
        <v>4.2374999999999961E-2</v>
      </c>
      <c r="X48" s="120">
        <f t="shared" si="10"/>
        <v>4.2374999999999961E-2</v>
      </c>
      <c r="Y48" s="120">
        <f t="shared" si="10"/>
        <v>4.2374999999999961E-2</v>
      </c>
      <c r="Z48" s="120">
        <f t="shared" si="10"/>
        <v>4.2374999999999961E-2</v>
      </c>
      <c r="AA48" s="120">
        <f t="shared" si="10"/>
        <v>4.2374999999999961E-2</v>
      </c>
      <c r="AB48" s="120">
        <f t="shared" si="10"/>
        <v>4.2374999999999961E-2</v>
      </c>
      <c r="AC48" s="120">
        <f t="shared" si="10"/>
        <v>4.2374999999999961E-2</v>
      </c>
      <c r="AD48" s="120">
        <f t="shared" si="10"/>
        <v>4.2374999999999961E-2</v>
      </c>
      <c r="AE48" s="120">
        <f t="shared" si="10"/>
        <v>4.2374999999999961E-2</v>
      </c>
      <c r="AF48" s="120">
        <f t="shared" si="10"/>
        <v>4.2374999999999961E-2</v>
      </c>
      <c r="AG48" s="120">
        <f t="shared" si="10"/>
        <v>4.2374999999999961E-2</v>
      </c>
      <c r="AH48" s="120">
        <f t="shared" si="10"/>
        <v>4.2374999999999961E-2</v>
      </c>
      <c r="AI48" s="120">
        <f t="shared" si="10"/>
        <v>4.2374999999999961E-2</v>
      </c>
      <c r="AJ48" s="120">
        <f t="shared" si="10"/>
        <v>4.2374999999999961E-2</v>
      </c>
      <c r="AK48" s="120">
        <f t="shared" si="10"/>
        <v>4.2374999999999961E-2</v>
      </c>
      <c r="AL48" s="168">
        <f t="shared" si="10"/>
        <v>4.2374999999999961E-2</v>
      </c>
      <c r="AM48" s="120">
        <v>2.8000000000000001E-2</v>
      </c>
      <c r="AN48" s="120">
        <f>(0.00026+0.000079)/(1-99.2%)</f>
        <v>4.2374999999999961E-2</v>
      </c>
      <c r="AO48" s="120">
        <f>(0.00026+0.000079)/(1-99.2%)</f>
        <v>4.2374999999999961E-2</v>
      </c>
      <c r="AP48" s="168">
        <f>(0.00026+0.000079)/(1-99.2%)</f>
        <v>4.2374999999999961E-2</v>
      </c>
      <c r="AQ48" s="120">
        <v>8.4500000000000005E-4</v>
      </c>
      <c r="AR48" s="120">
        <v>8.4500000000000005E-4</v>
      </c>
      <c r="AS48" s="120">
        <v>8.4500000000000005E-4</v>
      </c>
      <c r="AT48" s="120">
        <v>8.4500000000000005E-4</v>
      </c>
      <c r="AU48" s="120">
        <v>3E-9</v>
      </c>
      <c r="AV48" s="120">
        <v>3E-9</v>
      </c>
      <c r="AW48" s="120">
        <v>3E-9</v>
      </c>
      <c r="AX48" s="120">
        <v>3E-9</v>
      </c>
      <c r="AY48" s="120">
        <v>3E-9</v>
      </c>
      <c r="AZ48" s="120">
        <v>3E-9</v>
      </c>
      <c r="BA48" s="120">
        <v>8.4500000000000005E-4</v>
      </c>
      <c r="BB48" s="120">
        <v>3E-9</v>
      </c>
      <c r="BC48" s="120">
        <v>3E-9</v>
      </c>
      <c r="BD48" s="120">
        <v>3E-9</v>
      </c>
      <c r="BE48" s="168">
        <v>3E-9</v>
      </c>
      <c r="BF48" s="120">
        <v>1.4E-3</v>
      </c>
      <c r="BG48" s="120">
        <v>1.4E-3</v>
      </c>
      <c r="BH48" s="120">
        <v>1.4E-3</v>
      </c>
      <c r="BI48" s="120">
        <v>1.4E-3</v>
      </c>
      <c r="BJ48" s="120">
        <v>1.4E-3</v>
      </c>
      <c r="BK48" s="120">
        <v>1.4E-3</v>
      </c>
      <c r="BL48" s="120">
        <v>1.4E-3</v>
      </c>
      <c r="BM48" s="120">
        <v>1.4E-3</v>
      </c>
      <c r="BN48" s="120">
        <v>1.4E-3</v>
      </c>
      <c r="BO48" s="168">
        <v>1.4E-3</v>
      </c>
      <c r="BP48" s="120">
        <v>1.4E-3</v>
      </c>
      <c r="BQ48" s="120">
        <v>1.4E-3</v>
      </c>
      <c r="BR48" s="120">
        <v>1.4E-3</v>
      </c>
      <c r="BS48" s="120">
        <v>1.4E-3</v>
      </c>
      <c r="BT48" s="167">
        <v>2.0999999999999999E-5</v>
      </c>
      <c r="BU48" s="120">
        <v>2.0999999999999999E-5</v>
      </c>
      <c r="BV48" s="120">
        <v>2.0999999999999999E-5</v>
      </c>
      <c r="BW48" s="120">
        <v>2.0999999999999999E-5</v>
      </c>
      <c r="BX48" s="120">
        <v>2.0999999999999999E-5</v>
      </c>
      <c r="BY48" s="120">
        <v>2.0999999999999999E-5</v>
      </c>
      <c r="BZ48" s="120">
        <v>2.0999999999999999E-5</v>
      </c>
      <c r="CA48" s="120">
        <v>2.0999999999999999E-5</v>
      </c>
      <c r="CB48" s="120">
        <v>2.0999999999999999E-5</v>
      </c>
      <c r="CC48" s="120">
        <v>2.0999999999999999E-5</v>
      </c>
      <c r="CD48" s="120">
        <v>2.0999999999999999E-5</v>
      </c>
      <c r="CE48" s="120">
        <v>2.0999999999999999E-5</v>
      </c>
      <c r="CF48" s="120">
        <v>2.0999999999999999E-5</v>
      </c>
      <c r="CG48" s="120">
        <v>2.0999999999999999E-5</v>
      </c>
      <c r="CH48" s="169">
        <v>2.0999999999999999E-5</v>
      </c>
    </row>
    <row r="49" spans="1:86">
      <c r="A49" s="166" t="s">
        <v>95</v>
      </c>
      <c r="B49" s="120">
        <f t="shared" ref="B49:AP49" si="11">0.0001/(1-99.2%)</f>
        <v>1.249999999999999E-2</v>
      </c>
      <c r="C49" s="120">
        <f t="shared" si="11"/>
        <v>1.249999999999999E-2</v>
      </c>
      <c r="D49" s="120">
        <f t="shared" si="11"/>
        <v>1.249999999999999E-2</v>
      </c>
      <c r="E49" s="120">
        <f t="shared" si="11"/>
        <v>1.249999999999999E-2</v>
      </c>
      <c r="F49" s="120">
        <f t="shared" si="11"/>
        <v>1.249999999999999E-2</v>
      </c>
      <c r="G49" s="120">
        <f t="shared" si="11"/>
        <v>1.249999999999999E-2</v>
      </c>
      <c r="H49" s="120">
        <f t="shared" si="11"/>
        <v>1.249999999999999E-2</v>
      </c>
      <c r="I49" s="120">
        <f t="shared" si="11"/>
        <v>1.249999999999999E-2</v>
      </c>
      <c r="J49" s="120">
        <f t="shared" si="11"/>
        <v>1.249999999999999E-2</v>
      </c>
      <c r="K49" s="120">
        <f t="shared" si="11"/>
        <v>1.249999999999999E-2</v>
      </c>
      <c r="L49" s="120">
        <f t="shared" si="11"/>
        <v>1.249999999999999E-2</v>
      </c>
      <c r="M49" s="120">
        <f t="shared" si="11"/>
        <v>1.249999999999999E-2</v>
      </c>
      <c r="N49" s="120">
        <f t="shared" si="11"/>
        <v>1.249999999999999E-2</v>
      </c>
      <c r="O49" s="120">
        <f t="shared" si="11"/>
        <v>1.249999999999999E-2</v>
      </c>
      <c r="P49" s="120">
        <f t="shared" si="11"/>
        <v>1.249999999999999E-2</v>
      </c>
      <c r="Q49" s="120">
        <f t="shared" si="11"/>
        <v>1.249999999999999E-2</v>
      </c>
      <c r="R49" s="120">
        <f t="shared" si="11"/>
        <v>1.249999999999999E-2</v>
      </c>
      <c r="S49" s="120">
        <f t="shared" si="11"/>
        <v>1.249999999999999E-2</v>
      </c>
      <c r="T49" s="120">
        <f t="shared" si="11"/>
        <v>1.249999999999999E-2</v>
      </c>
      <c r="U49" s="120">
        <f t="shared" si="11"/>
        <v>1.249999999999999E-2</v>
      </c>
      <c r="V49" s="120">
        <f t="shared" si="11"/>
        <v>1.249999999999999E-2</v>
      </c>
      <c r="W49" s="120">
        <f t="shared" si="11"/>
        <v>1.249999999999999E-2</v>
      </c>
      <c r="X49" s="120">
        <f t="shared" si="11"/>
        <v>1.249999999999999E-2</v>
      </c>
      <c r="Y49" s="120">
        <f t="shared" si="11"/>
        <v>1.249999999999999E-2</v>
      </c>
      <c r="Z49" s="120">
        <f t="shared" si="11"/>
        <v>1.249999999999999E-2</v>
      </c>
      <c r="AA49" s="120">
        <f t="shared" si="11"/>
        <v>1.249999999999999E-2</v>
      </c>
      <c r="AB49" s="120">
        <f t="shared" si="11"/>
        <v>1.249999999999999E-2</v>
      </c>
      <c r="AC49" s="120">
        <f t="shared" si="11"/>
        <v>1.249999999999999E-2</v>
      </c>
      <c r="AD49" s="120">
        <f t="shared" si="11"/>
        <v>1.249999999999999E-2</v>
      </c>
      <c r="AE49" s="120">
        <f t="shared" si="11"/>
        <v>1.249999999999999E-2</v>
      </c>
      <c r="AF49" s="120">
        <f t="shared" si="11"/>
        <v>1.249999999999999E-2</v>
      </c>
      <c r="AG49" s="120">
        <f t="shared" si="11"/>
        <v>1.249999999999999E-2</v>
      </c>
      <c r="AH49" s="120">
        <f t="shared" si="11"/>
        <v>1.249999999999999E-2</v>
      </c>
      <c r="AI49" s="120">
        <f t="shared" si="11"/>
        <v>1.249999999999999E-2</v>
      </c>
      <c r="AJ49" s="120">
        <f t="shared" si="11"/>
        <v>1.249999999999999E-2</v>
      </c>
      <c r="AK49" s="120">
        <f t="shared" si="11"/>
        <v>1.249999999999999E-2</v>
      </c>
      <c r="AL49" s="168">
        <f t="shared" si="11"/>
        <v>1.249999999999999E-2</v>
      </c>
      <c r="AM49" s="120">
        <f t="shared" si="11"/>
        <v>1.249999999999999E-2</v>
      </c>
      <c r="AN49" s="120">
        <f t="shared" si="11"/>
        <v>1.249999999999999E-2</v>
      </c>
      <c r="AO49" s="120">
        <f t="shared" si="11"/>
        <v>1.249999999999999E-2</v>
      </c>
      <c r="AP49" s="168">
        <f t="shared" si="11"/>
        <v>1.249999999999999E-2</v>
      </c>
      <c r="AQ49" s="120">
        <v>6.0200000000000002E-3</v>
      </c>
      <c r="AR49" s="120">
        <v>6.0200000000000002E-3</v>
      </c>
      <c r="AS49" s="120">
        <v>6.0200000000000002E-3</v>
      </c>
      <c r="AT49" s="120">
        <v>6.0200000000000002E-3</v>
      </c>
      <c r="AU49" s="120"/>
      <c r="AV49" s="120"/>
      <c r="AW49" s="120"/>
      <c r="AX49" s="120"/>
      <c r="AY49" s="120"/>
      <c r="AZ49" s="120"/>
      <c r="BA49" s="120">
        <v>6.0200000000000002E-3</v>
      </c>
      <c r="BB49" s="120"/>
      <c r="BC49" s="120"/>
      <c r="BD49" s="120"/>
      <c r="BE49" s="168"/>
      <c r="BF49" s="120">
        <v>8.3999999999999995E-5</v>
      </c>
      <c r="BG49" s="120">
        <v>8.3999999999999995E-5</v>
      </c>
      <c r="BH49" s="120">
        <v>8.3999999999999995E-5</v>
      </c>
      <c r="BI49" s="120">
        <v>8.3999999999999995E-5</v>
      </c>
      <c r="BJ49" s="120">
        <v>8.3999999999999995E-5</v>
      </c>
      <c r="BK49" s="120">
        <v>8.3999999999999995E-5</v>
      </c>
      <c r="BL49" s="120">
        <v>8.3999999999999995E-5</v>
      </c>
      <c r="BM49" s="120">
        <v>8.3999999999999995E-5</v>
      </c>
      <c r="BN49" s="120">
        <v>8.3999999999999995E-5</v>
      </c>
      <c r="BO49" s="168">
        <v>8.3999999999999995E-5</v>
      </c>
      <c r="BP49" s="120">
        <v>8.3999999999999995E-5</v>
      </c>
      <c r="BQ49" s="120">
        <v>8.3999999999999995E-5</v>
      </c>
      <c r="BR49" s="120">
        <v>8.3999999999999995E-5</v>
      </c>
      <c r="BS49" s="120">
        <v>8.3999999999999995E-5</v>
      </c>
      <c r="BT49" s="167">
        <v>6.4999999999999996E-6</v>
      </c>
      <c r="BU49" s="120">
        <v>6.4999999999999996E-6</v>
      </c>
      <c r="BV49" s="120">
        <v>6.4999999999999996E-6</v>
      </c>
      <c r="BW49" s="120">
        <v>6.4999999999999996E-6</v>
      </c>
      <c r="BX49" s="120">
        <v>6.4999999999999996E-6</v>
      </c>
      <c r="BY49" s="120">
        <v>6.4999999999999996E-6</v>
      </c>
      <c r="BZ49" s="120">
        <v>6.4999999999999996E-6</v>
      </c>
      <c r="CA49" s="120">
        <v>6.4999999999999996E-6</v>
      </c>
      <c r="CB49" s="120">
        <v>6.4999999999999996E-6</v>
      </c>
      <c r="CC49" s="120">
        <v>6.4999999999999996E-6</v>
      </c>
      <c r="CD49" s="120">
        <v>6.4999999999999996E-6</v>
      </c>
      <c r="CE49" s="120">
        <v>6.4999999999999996E-6</v>
      </c>
      <c r="CF49" s="120">
        <v>6.4999999999999996E-6</v>
      </c>
      <c r="CG49" s="120">
        <v>6.4999999999999996E-6</v>
      </c>
      <c r="CH49" s="169">
        <v>6.4999999999999996E-6</v>
      </c>
    </row>
    <row r="50" spans="1:86">
      <c r="A50" s="166" t="s">
        <v>570</v>
      </c>
      <c r="B50" s="120">
        <v>5.3000000000000001E-6</v>
      </c>
      <c r="C50" s="120">
        <v>5.3000000000000001E-6</v>
      </c>
      <c r="D50" s="120">
        <v>5.3000000000000001E-6</v>
      </c>
      <c r="E50" s="120">
        <v>5.3000000000000001E-6</v>
      </c>
      <c r="F50" s="120">
        <v>5.3000000000000001E-6</v>
      </c>
      <c r="G50" s="120">
        <v>5.3000000000000001E-6</v>
      </c>
      <c r="H50" s="120">
        <v>5.3000000000000001E-6</v>
      </c>
      <c r="I50" s="120">
        <v>5.3000000000000001E-6</v>
      </c>
      <c r="J50" s="120">
        <v>5.3000000000000001E-6</v>
      </c>
      <c r="K50" s="120">
        <v>5.3000000000000001E-6</v>
      </c>
      <c r="L50" s="120">
        <v>5.3000000000000001E-6</v>
      </c>
      <c r="M50" s="120">
        <v>5.3000000000000001E-6</v>
      </c>
      <c r="N50" s="120">
        <v>5.3000000000000001E-6</v>
      </c>
      <c r="O50" s="120">
        <v>5.3000000000000001E-6</v>
      </c>
      <c r="P50" s="120">
        <v>5.3000000000000001E-6</v>
      </c>
      <c r="Q50" s="120">
        <v>5.3000000000000001E-6</v>
      </c>
      <c r="R50" s="120">
        <v>5.3000000000000001E-6</v>
      </c>
      <c r="S50" s="120">
        <v>5.3000000000000001E-6</v>
      </c>
      <c r="T50" s="120">
        <v>5.3000000000000001E-6</v>
      </c>
      <c r="U50" s="120">
        <v>5.3000000000000001E-6</v>
      </c>
      <c r="V50" s="120">
        <v>5.3000000000000001E-6</v>
      </c>
      <c r="W50" s="120">
        <v>5.3000000000000001E-6</v>
      </c>
      <c r="X50" s="120">
        <v>5.3000000000000001E-6</v>
      </c>
      <c r="Y50" s="120">
        <v>5.3000000000000001E-6</v>
      </c>
      <c r="Z50" s="120">
        <v>5.3000000000000001E-6</v>
      </c>
      <c r="AA50" s="120">
        <v>5.3000000000000001E-6</v>
      </c>
      <c r="AB50" s="120">
        <v>5.3000000000000001E-6</v>
      </c>
      <c r="AC50" s="120">
        <v>5.3000000000000001E-6</v>
      </c>
      <c r="AD50" s="120">
        <v>5.3000000000000001E-6</v>
      </c>
      <c r="AE50" s="120">
        <v>5.3000000000000001E-6</v>
      </c>
      <c r="AF50" s="120">
        <v>5.3000000000000001E-6</v>
      </c>
      <c r="AG50" s="120">
        <v>5.3000000000000001E-6</v>
      </c>
      <c r="AH50" s="120">
        <v>5.3000000000000001E-6</v>
      </c>
      <c r="AI50" s="120">
        <v>5.3000000000000001E-6</v>
      </c>
      <c r="AJ50" s="120">
        <v>5.3000000000000001E-6</v>
      </c>
      <c r="AK50" s="120">
        <v>5.3000000000000001E-6</v>
      </c>
      <c r="AL50" s="168">
        <v>5.3000000000000001E-6</v>
      </c>
      <c r="AM50" s="120">
        <v>5.3000000000000001E-6</v>
      </c>
      <c r="AN50" s="120">
        <v>5.3000000000000001E-6</v>
      </c>
      <c r="AO50" s="120">
        <v>5.3000000000000001E-6</v>
      </c>
      <c r="AP50" s="168">
        <v>5.3000000000000001E-6</v>
      </c>
      <c r="AQ50" s="120"/>
      <c r="AR50" s="120"/>
      <c r="AS50" s="120"/>
      <c r="AT50" s="120"/>
      <c r="AU50" s="120"/>
      <c r="AV50" s="120"/>
      <c r="AW50" s="120"/>
      <c r="AX50" s="120"/>
      <c r="AY50" s="120"/>
      <c r="AZ50" s="120"/>
      <c r="BA50" s="120"/>
      <c r="BB50" s="120"/>
      <c r="BC50" s="120"/>
      <c r="BD50" s="120"/>
      <c r="BE50" s="168"/>
      <c r="BF50" s="151"/>
      <c r="BG50" s="151"/>
      <c r="BH50" s="151"/>
      <c r="BI50" s="151"/>
      <c r="BJ50" s="151"/>
      <c r="BK50" s="151"/>
      <c r="BL50" s="151"/>
      <c r="BM50" s="151"/>
      <c r="BN50" s="151"/>
      <c r="BO50" s="158"/>
      <c r="BP50" s="151"/>
      <c r="BQ50" s="151"/>
      <c r="BR50" s="151"/>
      <c r="BS50" s="151"/>
      <c r="BT50" s="167"/>
      <c r="BU50" s="120"/>
      <c r="BV50" s="120"/>
      <c r="BW50" s="120"/>
      <c r="BX50" s="120"/>
      <c r="BY50" s="120"/>
      <c r="BZ50" s="120"/>
      <c r="CA50" s="120"/>
      <c r="CB50" s="120"/>
      <c r="CC50" s="120"/>
      <c r="CD50" s="120"/>
      <c r="CE50" s="120"/>
      <c r="CF50" s="120"/>
      <c r="CG50" s="120"/>
      <c r="CH50" s="169"/>
    </row>
    <row r="51" spans="1:86">
      <c r="A51" s="166" t="s">
        <v>571</v>
      </c>
      <c r="B51" s="120">
        <v>2.5000000000000001E-3</v>
      </c>
      <c r="C51" s="120">
        <v>2.5000000000000001E-3</v>
      </c>
      <c r="D51" s="120">
        <v>2.5000000000000001E-3</v>
      </c>
      <c r="E51" s="120">
        <v>2.5000000000000001E-3</v>
      </c>
      <c r="F51" s="120">
        <v>2.5000000000000001E-3</v>
      </c>
      <c r="G51" s="120">
        <v>2.5000000000000001E-3</v>
      </c>
      <c r="H51" s="120">
        <v>2.5000000000000001E-3</v>
      </c>
      <c r="I51" s="120">
        <v>2.5000000000000001E-3</v>
      </c>
      <c r="J51" s="120">
        <v>2.5000000000000001E-3</v>
      </c>
      <c r="K51" s="120">
        <v>2.5000000000000001E-3</v>
      </c>
      <c r="L51" s="120">
        <v>2.5000000000000001E-3</v>
      </c>
      <c r="M51" s="120">
        <v>2.5000000000000001E-3</v>
      </c>
      <c r="N51" s="120">
        <v>2.5000000000000001E-3</v>
      </c>
      <c r="O51" s="120">
        <v>2.5000000000000001E-3</v>
      </c>
      <c r="P51" s="120">
        <v>2.5000000000000001E-3</v>
      </c>
      <c r="Q51" s="120">
        <v>2.5000000000000001E-3</v>
      </c>
      <c r="R51" s="120">
        <v>2.5000000000000001E-3</v>
      </c>
      <c r="S51" s="120">
        <v>2.5000000000000001E-3</v>
      </c>
      <c r="T51" s="120">
        <v>2.5000000000000001E-3</v>
      </c>
      <c r="U51" s="120">
        <v>2.5000000000000001E-3</v>
      </c>
      <c r="V51" s="120">
        <v>2.5000000000000001E-3</v>
      </c>
      <c r="W51" s="120">
        <v>2.5000000000000001E-3</v>
      </c>
      <c r="X51" s="120">
        <v>2.5000000000000001E-3</v>
      </c>
      <c r="Y51" s="120">
        <v>2.5000000000000001E-3</v>
      </c>
      <c r="Z51" s="120">
        <v>2.5000000000000001E-3</v>
      </c>
      <c r="AA51" s="120">
        <v>2.5000000000000001E-3</v>
      </c>
      <c r="AB51" s="120">
        <v>2.5000000000000001E-3</v>
      </c>
      <c r="AC51" s="120">
        <v>2.5000000000000001E-3</v>
      </c>
      <c r="AD51" s="120">
        <v>2.5000000000000001E-3</v>
      </c>
      <c r="AE51" s="120">
        <v>2.5000000000000001E-3</v>
      </c>
      <c r="AF51" s="120">
        <v>2.5000000000000001E-3</v>
      </c>
      <c r="AG51" s="120">
        <v>2.5000000000000001E-3</v>
      </c>
      <c r="AH51" s="120">
        <v>2.5000000000000001E-3</v>
      </c>
      <c r="AI51" s="120">
        <v>2.5000000000000001E-3</v>
      </c>
      <c r="AJ51" s="120">
        <v>2.5000000000000001E-3</v>
      </c>
      <c r="AK51" s="120">
        <v>2.5000000000000001E-3</v>
      </c>
      <c r="AL51" s="168">
        <v>2.5000000000000001E-3</v>
      </c>
      <c r="AM51" s="120">
        <v>2.5000000000000001E-3</v>
      </c>
      <c r="AN51" s="120">
        <v>2.5000000000000001E-3</v>
      </c>
      <c r="AO51" s="120">
        <v>2.5000000000000001E-3</v>
      </c>
      <c r="AP51" s="168">
        <v>2.5000000000000001E-3</v>
      </c>
      <c r="AQ51" s="120"/>
      <c r="AR51" s="120"/>
      <c r="AS51" s="120"/>
      <c r="AT51" s="120"/>
      <c r="AU51" s="120"/>
      <c r="AV51" s="120"/>
      <c r="AW51" s="120"/>
      <c r="AX51" s="120"/>
      <c r="AY51" s="120"/>
      <c r="AZ51" s="120"/>
      <c r="BA51" s="120"/>
      <c r="BB51" s="120"/>
      <c r="BC51" s="120"/>
      <c r="BD51" s="120"/>
      <c r="BE51" s="168"/>
      <c r="BF51" s="151"/>
      <c r="BG51" s="151"/>
      <c r="BH51" s="151"/>
      <c r="BI51" s="151"/>
      <c r="BJ51" s="151"/>
      <c r="BK51" s="151"/>
      <c r="BL51" s="151"/>
      <c r="BM51" s="151"/>
      <c r="BN51" s="151"/>
      <c r="BO51" s="158"/>
      <c r="BP51" s="151"/>
      <c r="BQ51" s="151"/>
      <c r="BR51" s="151"/>
      <c r="BS51" s="151"/>
      <c r="BT51" s="167"/>
      <c r="BU51" s="120"/>
      <c r="BV51" s="120"/>
      <c r="BW51" s="120"/>
      <c r="BX51" s="120"/>
      <c r="BY51" s="120"/>
      <c r="BZ51" s="120"/>
      <c r="CA51" s="120"/>
      <c r="CB51" s="120"/>
      <c r="CC51" s="120"/>
      <c r="CD51" s="120"/>
      <c r="CE51" s="120"/>
      <c r="CF51" s="120"/>
      <c r="CG51" s="120"/>
      <c r="CH51" s="169"/>
    </row>
    <row r="52" spans="1:86">
      <c r="A52" s="166" t="s">
        <v>572</v>
      </c>
      <c r="B52" s="120">
        <v>2.9E-4</v>
      </c>
      <c r="C52" s="120">
        <v>2.9E-4</v>
      </c>
      <c r="D52" s="120">
        <v>2.9E-4</v>
      </c>
      <c r="E52" s="120">
        <v>2.9E-4</v>
      </c>
      <c r="F52" s="120">
        <v>2.9E-4</v>
      </c>
      <c r="G52" s="120">
        <v>2.9E-4</v>
      </c>
      <c r="H52" s="120">
        <v>2.9E-4</v>
      </c>
      <c r="I52" s="120">
        <v>2.9E-4</v>
      </c>
      <c r="J52" s="120">
        <v>2.9E-4</v>
      </c>
      <c r="K52" s="120">
        <v>2.9E-4</v>
      </c>
      <c r="L52" s="120">
        <v>2.9E-4</v>
      </c>
      <c r="M52" s="120">
        <v>2.9E-4</v>
      </c>
      <c r="N52" s="120">
        <v>2.9E-4</v>
      </c>
      <c r="O52" s="120">
        <v>2.9E-4</v>
      </c>
      <c r="P52" s="120">
        <v>2.9E-4</v>
      </c>
      <c r="Q52" s="120">
        <v>2.9E-4</v>
      </c>
      <c r="R52" s="120">
        <v>2.9E-4</v>
      </c>
      <c r="S52" s="120">
        <v>2.9E-4</v>
      </c>
      <c r="T52" s="120">
        <v>2.9E-4</v>
      </c>
      <c r="U52" s="120">
        <v>2.9E-4</v>
      </c>
      <c r="V52" s="120">
        <v>2.9E-4</v>
      </c>
      <c r="W52" s="120">
        <v>2.9E-4</v>
      </c>
      <c r="X52" s="120">
        <v>2.9E-4</v>
      </c>
      <c r="Y52" s="120">
        <v>2.9E-4</v>
      </c>
      <c r="Z52" s="120">
        <v>2.9E-4</v>
      </c>
      <c r="AA52" s="120">
        <v>2.9E-4</v>
      </c>
      <c r="AB52" s="120">
        <v>2.9E-4</v>
      </c>
      <c r="AC52" s="120">
        <v>2.9E-4</v>
      </c>
      <c r="AD52" s="120">
        <v>2.9E-4</v>
      </c>
      <c r="AE52" s="120">
        <v>2.9E-4</v>
      </c>
      <c r="AF52" s="120">
        <v>2.9E-4</v>
      </c>
      <c r="AG52" s="120">
        <v>2.9E-4</v>
      </c>
      <c r="AH52" s="120">
        <v>2.9E-4</v>
      </c>
      <c r="AI52" s="120">
        <v>2.9E-4</v>
      </c>
      <c r="AJ52" s="120">
        <v>2.9E-4</v>
      </c>
      <c r="AK52" s="120">
        <v>2.9E-4</v>
      </c>
      <c r="AL52" s="168">
        <v>2.9E-4</v>
      </c>
      <c r="AM52" s="120">
        <v>2.9E-4</v>
      </c>
      <c r="AN52" s="120">
        <v>2.9E-4</v>
      </c>
      <c r="AO52" s="120">
        <v>2.9E-4</v>
      </c>
      <c r="AP52" s="168">
        <v>2.9E-4</v>
      </c>
      <c r="AQ52" s="120"/>
      <c r="AR52" s="120"/>
      <c r="AS52" s="120"/>
      <c r="AT52" s="120"/>
      <c r="AU52" s="120"/>
      <c r="AV52" s="120"/>
      <c r="AW52" s="120"/>
      <c r="AX52" s="120"/>
      <c r="AY52" s="120"/>
      <c r="AZ52" s="120"/>
      <c r="BA52" s="120"/>
      <c r="BB52" s="120"/>
      <c r="BC52" s="120"/>
      <c r="BD52" s="120"/>
      <c r="BE52" s="168"/>
      <c r="BF52" s="151"/>
      <c r="BG52" s="151"/>
      <c r="BH52" s="151"/>
      <c r="BI52" s="151"/>
      <c r="BJ52" s="151"/>
      <c r="BK52" s="151"/>
      <c r="BL52" s="151"/>
      <c r="BM52" s="151"/>
      <c r="BN52" s="151"/>
      <c r="BO52" s="158"/>
      <c r="BP52" s="151"/>
      <c r="BQ52" s="151"/>
      <c r="BR52" s="151"/>
      <c r="BS52" s="151"/>
      <c r="BT52" s="167">
        <v>2.9E-4</v>
      </c>
      <c r="BU52" s="120">
        <v>2.9E-4</v>
      </c>
      <c r="BV52" s="120">
        <v>2.9E-4</v>
      </c>
      <c r="BW52" s="120">
        <v>2.9E-4</v>
      </c>
      <c r="BX52" s="120">
        <v>2.9E-4</v>
      </c>
      <c r="BY52" s="120">
        <v>2.9E-4</v>
      </c>
      <c r="BZ52" s="120">
        <v>2.9E-4</v>
      </c>
      <c r="CA52" s="120">
        <v>2.9E-4</v>
      </c>
      <c r="CB52" s="120">
        <v>2.9E-4</v>
      </c>
      <c r="CC52" s="120">
        <v>2.9E-4</v>
      </c>
      <c r="CD52" s="120">
        <v>2.9E-4</v>
      </c>
      <c r="CE52" s="120">
        <v>2.9E-4</v>
      </c>
      <c r="CF52" s="120">
        <v>2.9E-4</v>
      </c>
      <c r="CG52" s="120">
        <v>2.9E-4</v>
      </c>
      <c r="CH52" s="169">
        <v>2.9E-4</v>
      </c>
    </row>
    <row r="53" spans="1:86">
      <c r="A53" s="166" t="s">
        <v>573</v>
      </c>
      <c r="B53" s="120">
        <v>4.8000000000000001E-5</v>
      </c>
      <c r="C53" s="120">
        <v>4.8000000000000001E-5</v>
      </c>
      <c r="D53" s="120">
        <v>4.8000000000000001E-5</v>
      </c>
      <c r="E53" s="120">
        <v>4.8000000000000001E-5</v>
      </c>
      <c r="F53" s="120">
        <v>4.8000000000000001E-5</v>
      </c>
      <c r="G53" s="120">
        <v>4.8000000000000001E-5</v>
      </c>
      <c r="H53" s="120">
        <v>4.8000000000000001E-5</v>
      </c>
      <c r="I53" s="120">
        <v>4.8000000000000001E-5</v>
      </c>
      <c r="J53" s="120">
        <v>4.8000000000000001E-5</v>
      </c>
      <c r="K53" s="120">
        <v>4.8000000000000001E-5</v>
      </c>
      <c r="L53" s="120">
        <v>4.8000000000000001E-5</v>
      </c>
      <c r="M53" s="120">
        <v>4.8000000000000001E-5</v>
      </c>
      <c r="N53" s="120">
        <v>4.8000000000000001E-5</v>
      </c>
      <c r="O53" s="120">
        <v>4.8000000000000001E-5</v>
      </c>
      <c r="P53" s="120">
        <v>4.8000000000000001E-5</v>
      </c>
      <c r="Q53" s="120">
        <v>4.8000000000000001E-5</v>
      </c>
      <c r="R53" s="120">
        <v>4.8000000000000001E-5</v>
      </c>
      <c r="S53" s="120">
        <v>4.8000000000000001E-5</v>
      </c>
      <c r="T53" s="120">
        <v>4.8000000000000001E-5</v>
      </c>
      <c r="U53" s="120">
        <v>4.8000000000000001E-5</v>
      </c>
      <c r="V53" s="120">
        <v>4.8000000000000001E-5</v>
      </c>
      <c r="W53" s="120">
        <v>4.8000000000000001E-5</v>
      </c>
      <c r="X53" s="120">
        <v>4.8000000000000001E-5</v>
      </c>
      <c r="Y53" s="120">
        <v>4.8000000000000001E-5</v>
      </c>
      <c r="Z53" s="120">
        <v>4.8000000000000001E-5</v>
      </c>
      <c r="AA53" s="120">
        <v>4.8000000000000001E-5</v>
      </c>
      <c r="AB53" s="120">
        <v>4.8000000000000001E-5</v>
      </c>
      <c r="AC53" s="120">
        <v>4.8000000000000001E-5</v>
      </c>
      <c r="AD53" s="120">
        <v>4.8000000000000001E-5</v>
      </c>
      <c r="AE53" s="120">
        <v>4.8000000000000001E-5</v>
      </c>
      <c r="AF53" s="120">
        <v>4.8000000000000001E-5</v>
      </c>
      <c r="AG53" s="120">
        <v>4.8000000000000001E-5</v>
      </c>
      <c r="AH53" s="120">
        <v>4.8000000000000001E-5</v>
      </c>
      <c r="AI53" s="120">
        <v>4.8000000000000001E-5</v>
      </c>
      <c r="AJ53" s="120">
        <v>4.8000000000000001E-5</v>
      </c>
      <c r="AK53" s="120">
        <v>4.8000000000000001E-5</v>
      </c>
      <c r="AL53" s="168">
        <v>4.8000000000000001E-5</v>
      </c>
      <c r="AM53" s="120">
        <v>4.8000000000000001E-5</v>
      </c>
      <c r="AN53" s="120">
        <v>4.8000000000000001E-5</v>
      </c>
      <c r="AO53" s="120">
        <v>4.8000000000000001E-5</v>
      </c>
      <c r="AP53" s="168">
        <v>4.8000000000000001E-5</v>
      </c>
      <c r="AQ53" s="120"/>
      <c r="AR53" s="120"/>
      <c r="AS53" s="120"/>
      <c r="AT53" s="120"/>
      <c r="AU53" s="120"/>
      <c r="AV53" s="120"/>
      <c r="AW53" s="120"/>
      <c r="AX53" s="120"/>
      <c r="AY53" s="120"/>
      <c r="AZ53" s="120"/>
      <c r="BA53" s="120"/>
      <c r="BB53" s="120"/>
      <c r="BC53" s="120"/>
      <c r="BD53" s="120"/>
      <c r="BE53" s="168"/>
      <c r="BF53" s="151"/>
      <c r="BG53" s="151"/>
      <c r="BH53" s="151"/>
      <c r="BI53" s="151"/>
      <c r="BJ53" s="151"/>
      <c r="BK53" s="151"/>
      <c r="BL53" s="151"/>
      <c r="BM53" s="151"/>
      <c r="BN53" s="151"/>
      <c r="BO53" s="158"/>
      <c r="BP53" s="151"/>
      <c r="BQ53" s="151"/>
      <c r="BR53" s="151"/>
      <c r="BS53" s="151"/>
      <c r="BT53" s="167"/>
      <c r="BU53" s="120"/>
      <c r="BV53" s="120"/>
      <c r="BW53" s="120"/>
      <c r="BX53" s="120"/>
      <c r="BY53" s="120"/>
      <c r="BZ53" s="120"/>
      <c r="CA53" s="120"/>
      <c r="CB53" s="120"/>
      <c r="CC53" s="120"/>
      <c r="CD53" s="120"/>
      <c r="CE53" s="120"/>
      <c r="CF53" s="120"/>
      <c r="CG53" s="120"/>
      <c r="CH53" s="169"/>
    </row>
    <row r="54" spans="1:86">
      <c r="A54" s="166" t="s">
        <v>574</v>
      </c>
      <c r="B54" s="120">
        <v>9.3999999999999994E-5</v>
      </c>
      <c r="C54" s="120">
        <v>9.3999999999999994E-5</v>
      </c>
      <c r="D54" s="120">
        <v>9.3999999999999994E-5</v>
      </c>
      <c r="E54" s="120">
        <v>9.3999999999999994E-5</v>
      </c>
      <c r="F54" s="120">
        <v>9.3999999999999994E-5</v>
      </c>
      <c r="G54" s="120">
        <v>9.3999999999999994E-5</v>
      </c>
      <c r="H54" s="120">
        <v>9.3999999999999994E-5</v>
      </c>
      <c r="I54" s="120">
        <v>9.3999999999999994E-5</v>
      </c>
      <c r="J54" s="120">
        <v>9.3999999999999994E-5</v>
      </c>
      <c r="K54" s="120">
        <v>9.3999999999999994E-5</v>
      </c>
      <c r="L54" s="120">
        <v>9.3999999999999994E-5</v>
      </c>
      <c r="M54" s="120">
        <v>9.3999999999999994E-5</v>
      </c>
      <c r="N54" s="120">
        <v>9.3999999999999994E-5</v>
      </c>
      <c r="O54" s="120">
        <v>9.3999999999999994E-5</v>
      </c>
      <c r="P54" s="120">
        <v>9.3999999999999994E-5</v>
      </c>
      <c r="Q54" s="120">
        <v>9.3999999999999994E-5</v>
      </c>
      <c r="R54" s="120">
        <v>9.3999999999999994E-5</v>
      </c>
      <c r="S54" s="120">
        <v>9.3999999999999994E-5</v>
      </c>
      <c r="T54" s="120">
        <v>9.3999999999999994E-5</v>
      </c>
      <c r="U54" s="120">
        <v>9.3999999999999994E-5</v>
      </c>
      <c r="V54" s="120">
        <v>9.3999999999999994E-5</v>
      </c>
      <c r="W54" s="120">
        <v>9.3999999999999994E-5</v>
      </c>
      <c r="X54" s="120">
        <v>9.3999999999999994E-5</v>
      </c>
      <c r="Y54" s="120">
        <v>9.3999999999999994E-5</v>
      </c>
      <c r="Z54" s="120">
        <v>9.3999999999999994E-5</v>
      </c>
      <c r="AA54" s="120">
        <v>9.3999999999999994E-5</v>
      </c>
      <c r="AB54" s="120">
        <v>9.3999999999999994E-5</v>
      </c>
      <c r="AC54" s="120">
        <v>9.3999999999999994E-5</v>
      </c>
      <c r="AD54" s="120">
        <v>9.3999999999999994E-5</v>
      </c>
      <c r="AE54" s="120">
        <v>9.3999999999999994E-5</v>
      </c>
      <c r="AF54" s="120">
        <v>9.3999999999999994E-5</v>
      </c>
      <c r="AG54" s="120">
        <v>9.3999999999999994E-5</v>
      </c>
      <c r="AH54" s="120">
        <v>9.3999999999999994E-5</v>
      </c>
      <c r="AI54" s="120">
        <v>9.3999999999999994E-5</v>
      </c>
      <c r="AJ54" s="120">
        <v>9.3999999999999994E-5</v>
      </c>
      <c r="AK54" s="120">
        <v>9.3999999999999994E-5</v>
      </c>
      <c r="AL54" s="168">
        <v>9.3999999999999994E-5</v>
      </c>
      <c r="AM54" s="120">
        <v>9.3999999999999994E-5</v>
      </c>
      <c r="AN54" s="120">
        <v>9.3999999999999994E-5</v>
      </c>
      <c r="AO54" s="120">
        <v>9.3999999999999994E-5</v>
      </c>
      <c r="AP54" s="168">
        <v>9.3999999999999994E-5</v>
      </c>
      <c r="AQ54" s="120">
        <v>6.3600000000000001E-5</v>
      </c>
      <c r="AR54" s="120">
        <v>6.3600000000000001E-5</v>
      </c>
      <c r="AS54" s="120">
        <v>6.3600000000000001E-5</v>
      </c>
      <c r="AT54" s="120">
        <v>6.3600000000000001E-5</v>
      </c>
      <c r="AU54" s="120">
        <v>6.3600000000000001E-5</v>
      </c>
      <c r="AV54" s="120">
        <v>6.3600000000000001E-5</v>
      </c>
      <c r="AW54" s="120">
        <v>6.3600000000000001E-5</v>
      </c>
      <c r="AX54" s="120">
        <v>6.3600000000000001E-5</v>
      </c>
      <c r="AY54" s="120">
        <v>6.3600000000000001E-5</v>
      </c>
      <c r="AZ54" s="120">
        <v>6.3600000000000001E-5</v>
      </c>
      <c r="BA54" s="120">
        <v>6.3600000000000001E-5</v>
      </c>
      <c r="BB54" s="120">
        <v>6.3600000000000001E-5</v>
      </c>
      <c r="BC54" s="120">
        <v>6.3600000000000001E-5</v>
      </c>
      <c r="BD54" s="120">
        <v>6.3600000000000001E-5</v>
      </c>
      <c r="BE54" s="168">
        <v>6.3600000000000001E-5</v>
      </c>
      <c r="BF54" s="151"/>
      <c r="BG54" s="151"/>
      <c r="BH54" s="151"/>
      <c r="BI54" s="151"/>
      <c r="BJ54" s="151"/>
      <c r="BK54" s="151"/>
      <c r="BL54" s="151"/>
      <c r="BM54" s="151"/>
      <c r="BN54" s="151"/>
      <c r="BO54" s="158"/>
      <c r="BP54" s="151"/>
      <c r="BQ54" s="151"/>
      <c r="BR54" s="151"/>
      <c r="BS54" s="151"/>
      <c r="BT54" s="167">
        <v>3.1000000000000001E-5</v>
      </c>
      <c r="BU54" s="120">
        <v>3.1000000000000001E-5</v>
      </c>
      <c r="BV54" s="120">
        <v>3.1000000000000001E-5</v>
      </c>
      <c r="BW54" s="120">
        <v>3.1000000000000001E-5</v>
      </c>
      <c r="BX54" s="120">
        <v>3.1000000000000001E-5</v>
      </c>
      <c r="BY54" s="120">
        <v>3.1000000000000001E-5</v>
      </c>
      <c r="BZ54" s="120">
        <v>3.1000000000000001E-5</v>
      </c>
      <c r="CA54" s="120">
        <v>3.1000000000000001E-5</v>
      </c>
      <c r="CB54" s="120">
        <v>3.1000000000000001E-5</v>
      </c>
      <c r="CC54" s="120">
        <v>3.1000000000000001E-5</v>
      </c>
      <c r="CD54" s="120">
        <v>3.1000000000000001E-5</v>
      </c>
      <c r="CE54" s="120">
        <v>3.1000000000000001E-5</v>
      </c>
      <c r="CF54" s="120">
        <v>3.1000000000000001E-5</v>
      </c>
      <c r="CG54" s="120">
        <v>3.1000000000000001E-5</v>
      </c>
      <c r="CH54" s="169">
        <v>3.1000000000000001E-5</v>
      </c>
    </row>
    <row r="55" spans="1:86">
      <c r="A55" s="166" t="s">
        <v>96</v>
      </c>
      <c r="B55" s="120">
        <v>2.4000000000000001E-4</v>
      </c>
      <c r="C55" s="120">
        <v>2.4000000000000001E-4</v>
      </c>
      <c r="D55" s="120">
        <v>2.4000000000000001E-4</v>
      </c>
      <c r="E55" s="120">
        <v>2.4000000000000001E-4</v>
      </c>
      <c r="F55" s="120">
        <v>2.4000000000000001E-4</v>
      </c>
      <c r="G55" s="120">
        <v>2.4000000000000001E-4</v>
      </c>
      <c r="H55" s="120">
        <v>2.4000000000000001E-4</v>
      </c>
      <c r="I55" s="120">
        <v>2.4000000000000001E-4</v>
      </c>
      <c r="J55" s="120">
        <v>2.4000000000000001E-4</v>
      </c>
      <c r="K55" s="120">
        <v>2.4000000000000001E-4</v>
      </c>
      <c r="L55" s="120">
        <v>2.4000000000000001E-4</v>
      </c>
      <c r="M55" s="120">
        <v>2.4000000000000001E-4</v>
      </c>
      <c r="N55" s="120">
        <v>2.4000000000000001E-4</v>
      </c>
      <c r="O55" s="120">
        <v>2.4000000000000001E-4</v>
      </c>
      <c r="P55" s="120">
        <v>2.4000000000000001E-4</v>
      </c>
      <c r="Q55" s="120">
        <v>2.4000000000000001E-4</v>
      </c>
      <c r="R55" s="120">
        <v>2.4000000000000001E-4</v>
      </c>
      <c r="S55" s="120">
        <v>2.4000000000000001E-4</v>
      </c>
      <c r="T55" s="120">
        <v>2.4000000000000001E-4</v>
      </c>
      <c r="U55" s="120">
        <v>2.4000000000000001E-4</v>
      </c>
      <c r="V55" s="120">
        <v>2.4000000000000001E-4</v>
      </c>
      <c r="W55" s="120">
        <v>2.4000000000000001E-4</v>
      </c>
      <c r="X55" s="120">
        <v>2.4000000000000001E-4</v>
      </c>
      <c r="Y55" s="120">
        <v>2.4000000000000001E-4</v>
      </c>
      <c r="Z55" s="120">
        <v>2.4000000000000001E-4</v>
      </c>
      <c r="AA55" s="120">
        <v>2.4000000000000001E-4</v>
      </c>
      <c r="AB55" s="120">
        <v>2.4000000000000001E-4</v>
      </c>
      <c r="AC55" s="120">
        <v>2.4000000000000001E-4</v>
      </c>
      <c r="AD55" s="120">
        <v>2.4000000000000001E-4</v>
      </c>
      <c r="AE55" s="120">
        <v>2.4000000000000001E-4</v>
      </c>
      <c r="AF55" s="120">
        <v>2.4000000000000001E-4</v>
      </c>
      <c r="AG55" s="120">
        <v>2.4000000000000001E-4</v>
      </c>
      <c r="AH55" s="120">
        <v>2.4000000000000001E-4</v>
      </c>
      <c r="AI55" s="120">
        <v>2.4000000000000001E-4</v>
      </c>
      <c r="AJ55" s="120">
        <v>2.4000000000000001E-4</v>
      </c>
      <c r="AK55" s="120">
        <v>2.4000000000000001E-4</v>
      </c>
      <c r="AL55" s="168">
        <v>2.4000000000000001E-4</v>
      </c>
      <c r="AM55" s="120">
        <v>2.4000000000000001E-4</v>
      </c>
      <c r="AN55" s="120">
        <v>2.4000000000000001E-4</v>
      </c>
      <c r="AO55" s="120">
        <v>2.4000000000000001E-4</v>
      </c>
      <c r="AP55" s="168">
        <v>2.4000000000000001E-4</v>
      </c>
      <c r="AQ55" s="120">
        <v>3.3000000000000002E-2</v>
      </c>
      <c r="AR55" s="120">
        <v>3.3000000000000002E-2</v>
      </c>
      <c r="AS55" s="120">
        <v>3.3000000000000002E-2</v>
      </c>
      <c r="AT55" s="120">
        <v>3.3000000000000002E-2</v>
      </c>
      <c r="AU55" s="120">
        <v>3.3000000000000002E-2</v>
      </c>
      <c r="AV55" s="120">
        <v>3.3000000000000002E-2</v>
      </c>
      <c r="AW55" s="120">
        <v>3.3000000000000002E-2</v>
      </c>
      <c r="AX55" s="120">
        <v>3.3000000000000002E-2</v>
      </c>
      <c r="AY55" s="120">
        <v>3.3000000000000002E-2</v>
      </c>
      <c r="AZ55" s="120">
        <v>3.3000000000000002E-2</v>
      </c>
      <c r="BA55" s="120">
        <v>3.3000000000000002E-2</v>
      </c>
      <c r="BB55" s="120">
        <v>3.3000000000000002E-2</v>
      </c>
      <c r="BC55" s="120">
        <v>3.3000000000000002E-2</v>
      </c>
      <c r="BD55" s="120">
        <v>3.3000000000000002E-2</v>
      </c>
      <c r="BE55" s="168">
        <v>3.3000000000000002E-2</v>
      </c>
      <c r="BF55" s="120">
        <v>7.4999999999999997E-2</v>
      </c>
      <c r="BG55" s="120">
        <v>7.4999999999999997E-2</v>
      </c>
      <c r="BH55" s="120">
        <v>7.4999999999999997E-2</v>
      </c>
      <c r="BI55" s="120">
        <v>7.4999999999999997E-2</v>
      </c>
      <c r="BJ55" s="120">
        <v>7.4999999999999997E-2</v>
      </c>
      <c r="BK55" s="120">
        <v>7.4999999999999997E-2</v>
      </c>
      <c r="BL55" s="120">
        <v>7.4999999999999997E-2</v>
      </c>
      <c r="BM55" s="120">
        <v>7.4999999999999997E-2</v>
      </c>
      <c r="BN55" s="120">
        <v>7.4999999999999997E-2</v>
      </c>
      <c r="BO55" s="168">
        <v>7.4999999999999997E-2</v>
      </c>
      <c r="BP55" s="120">
        <v>7.4999999999999997E-2</v>
      </c>
      <c r="BQ55" s="120">
        <v>7.4999999999999997E-2</v>
      </c>
      <c r="BR55" s="120">
        <v>7.4999999999999997E-2</v>
      </c>
      <c r="BS55" s="120">
        <v>7.4999999999999997E-2</v>
      </c>
      <c r="BT55" s="167">
        <v>4.4000000000000003E-3</v>
      </c>
      <c r="BU55" s="120">
        <v>4.4000000000000003E-3</v>
      </c>
      <c r="BV55" s="120">
        <v>4.4000000000000003E-3</v>
      </c>
      <c r="BW55" s="120">
        <v>4.4000000000000003E-3</v>
      </c>
      <c r="BX55" s="120">
        <v>4.4000000000000003E-3</v>
      </c>
      <c r="BY55" s="120">
        <v>4.4000000000000003E-3</v>
      </c>
      <c r="BZ55" s="120">
        <v>4.4000000000000003E-3</v>
      </c>
      <c r="CA55" s="120">
        <v>4.4000000000000003E-3</v>
      </c>
      <c r="CB55" s="120">
        <v>4.4000000000000003E-3</v>
      </c>
      <c r="CC55" s="120">
        <v>4.4000000000000003E-3</v>
      </c>
      <c r="CD55" s="120">
        <v>4.4000000000000003E-3</v>
      </c>
      <c r="CE55" s="120">
        <v>4.4000000000000003E-3</v>
      </c>
      <c r="CF55" s="120">
        <v>4.4000000000000003E-3</v>
      </c>
      <c r="CG55" s="120">
        <v>4.4000000000000003E-3</v>
      </c>
      <c r="CH55" s="169">
        <v>4.4000000000000003E-3</v>
      </c>
    </row>
    <row r="56" spans="1:86">
      <c r="A56" s="166" t="s">
        <v>97</v>
      </c>
      <c r="B56" s="120">
        <v>6.7000000000000002E-5</v>
      </c>
      <c r="C56" s="120">
        <v>6.7000000000000002E-5</v>
      </c>
      <c r="D56" s="120">
        <v>6.7000000000000002E-5</v>
      </c>
      <c r="E56" s="120">
        <v>6.7000000000000002E-5</v>
      </c>
      <c r="F56" s="120">
        <v>6.7000000000000002E-5</v>
      </c>
      <c r="G56" s="120">
        <v>6.7000000000000002E-5</v>
      </c>
      <c r="H56" s="120">
        <v>6.7000000000000002E-5</v>
      </c>
      <c r="I56" s="120">
        <v>6.7000000000000002E-5</v>
      </c>
      <c r="J56" s="120">
        <v>6.7000000000000002E-5</v>
      </c>
      <c r="K56" s="120">
        <v>6.7000000000000002E-5</v>
      </c>
      <c r="L56" s="120">
        <v>6.7000000000000002E-5</v>
      </c>
      <c r="M56" s="120">
        <v>6.7000000000000002E-5</v>
      </c>
      <c r="N56" s="120">
        <v>6.7000000000000002E-5</v>
      </c>
      <c r="O56" s="120">
        <v>6.7000000000000002E-5</v>
      </c>
      <c r="P56" s="120">
        <v>6.7000000000000002E-5</v>
      </c>
      <c r="Q56" s="120">
        <v>6.7000000000000002E-5</v>
      </c>
      <c r="R56" s="120">
        <v>6.7000000000000002E-5</v>
      </c>
      <c r="S56" s="120">
        <v>6.7000000000000002E-5</v>
      </c>
      <c r="T56" s="120">
        <v>6.7000000000000002E-5</v>
      </c>
      <c r="U56" s="120">
        <v>6.7000000000000002E-5</v>
      </c>
      <c r="V56" s="120">
        <v>6.7000000000000002E-5</v>
      </c>
      <c r="W56" s="120">
        <v>6.7000000000000002E-5</v>
      </c>
      <c r="X56" s="120">
        <v>6.7000000000000002E-5</v>
      </c>
      <c r="Y56" s="120">
        <v>6.7000000000000002E-5</v>
      </c>
      <c r="Z56" s="120">
        <v>6.7000000000000002E-5</v>
      </c>
      <c r="AA56" s="120">
        <v>6.7000000000000002E-5</v>
      </c>
      <c r="AB56" s="120">
        <v>6.7000000000000002E-5</v>
      </c>
      <c r="AC56" s="120">
        <v>6.7000000000000002E-5</v>
      </c>
      <c r="AD56" s="120">
        <v>6.7000000000000002E-5</v>
      </c>
      <c r="AE56" s="120">
        <v>6.7000000000000002E-5</v>
      </c>
      <c r="AF56" s="120">
        <v>6.7000000000000002E-5</v>
      </c>
      <c r="AG56" s="120">
        <v>6.7000000000000002E-5</v>
      </c>
      <c r="AH56" s="120">
        <v>6.7000000000000002E-5</v>
      </c>
      <c r="AI56" s="120">
        <v>6.7000000000000002E-5</v>
      </c>
      <c r="AJ56" s="120">
        <v>6.7000000000000002E-5</v>
      </c>
      <c r="AK56" s="120">
        <v>6.7000000000000002E-5</v>
      </c>
      <c r="AL56" s="168">
        <v>6.7000000000000002E-5</v>
      </c>
      <c r="AM56" s="120">
        <v>6.7000000000000002E-5</v>
      </c>
      <c r="AN56" s="120">
        <v>6.7000000000000002E-5</v>
      </c>
      <c r="AO56" s="120">
        <v>6.7000000000000002E-5</v>
      </c>
      <c r="AP56" s="168">
        <v>6.7000000000000002E-5</v>
      </c>
      <c r="AQ56" s="120"/>
      <c r="AR56" s="120"/>
      <c r="AS56" s="120"/>
      <c r="AT56" s="120"/>
      <c r="AU56" s="120"/>
      <c r="AV56" s="120"/>
      <c r="AW56" s="120"/>
      <c r="AX56" s="120"/>
      <c r="AY56" s="120"/>
      <c r="AZ56" s="120"/>
      <c r="BA56" s="120"/>
      <c r="BB56" s="120"/>
      <c r="BC56" s="120"/>
      <c r="BD56" s="120"/>
      <c r="BE56" s="168"/>
      <c r="BF56" s="120">
        <v>1.8</v>
      </c>
      <c r="BG56" s="120">
        <v>1.8</v>
      </c>
      <c r="BH56" s="120">
        <v>1.8</v>
      </c>
      <c r="BI56" s="120">
        <v>1.8</v>
      </c>
      <c r="BJ56" s="120">
        <v>1.8</v>
      </c>
      <c r="BK56" s="120">
        <v>1.8</v>
      </c>
      <c r="BL56" s="120">
        <v>1.8</v>
      </c>
      <c r="BM56" s="120">
        <v>1.8</v>
      </c>
      <c r="BN56" s="120">
        <v>1.8</v>
      </c>
      <c r="BO56" s="168">
        <v>1.8</v>
      </c>
      <c r="BP56" s="120">
        <v>1.8</v>
      </c>
      <c r="BQ56" s="120">
        <v>1.8</v>
      </c>
      <c r="BR56" s="120">
        <v>1.8</v>
      </c>
      <c r="BS56" s="120">
        <v>1.8</v>
      </c>
      <c r="BT56" s="167"/>
      <c r="BU56" s="120"/>
      <c r="BV56" s="120"/>
      <c r="BW56" s="120"/>
      <c r="BX56" s="120"/>
      <c r="BY56" s="120"/>
      <c r="BZ56" s="120"/>
      <c r="CA56" s="120"/>
      <c r="CB56" s="120"/>
      <c r="CC56" s="120"/>
      <c r="CD56" s="120"/>
      <c r="CE56" s="120"/>
      <c r="CF56" s="120"/>
      <c r="CG56" s="120"/>
      <c r="CH56" s="169"/>
    </row>
    <row r="57" spans="1:86">
      <c r="A57" s="166" t="s">
        <v>575</v>
      </c>
      <c r="B57" s="120">
        <v>1.2</v>
      </c>
      <c r="C57" s="120">
        <v>1.2</v>
      </c>
      <c r="D57" s="120">
        <v>1.2</v>
      </c>
      <c r="E57" s="120">
        <v>1.2</v>
      </c>
      <c r="F57" s="120">
        <v>1.2</v>
      </c>
      <c r="G57" s="120">
        <v>1.2</v>
      </c>
      <c r="H57" s="120">
        <v>1.2</v>
      </c>
      <c r="I57" s="120">
        <v>1.2</v>
      </c>
      <c r="J57" s="120">
        <v>1.2</v>
      </c>
      <c r="K57" s="120">
        <v>1.2</v>
      </c>
      <c r="L57" s="120">
        <v>1.2</v>
      </c>
      <c r="M57" s="120">
        <v>1.2</v>
      </c>
      <c r="N57" s="120">
        <v>1.2</v>
      </c>
      <c r="O57" s="120">
        <v>1.2</v>
      </c>
      <c r="P57" s="120">
        <v>1.2</v>
      </c>
      <c r="Q57" s="120">
        <v>1.2</v>
      </c>
      <c r="R57" s="120">
        <v>1.2</v>
      </c>
      <c r="S57" s="120">
        <v>1.2</v>
      </c>
      <c r="T57" s="120">
        <v>1.2</v>
      </c>
      <c r="U57" s="120">
        <v>1.2</v>
      </c>
      <c r="V57" s="120">
        <v>1.2</v>
      </c>
      <c r="W57" s="120">
        <v>1.2</v>
      </c>
      <c r="X57" s="120">
        <v>1.2</v>
      </c>
      <c r="Y57" s="120">
        <v>1.2</v>
      </c>
      <c r="Z57" s="120">
        <v>1.2</v>
      </c>
      <c r="AA57" s="120">
        <v>1.2</v>
      </c>
      <c r="AB57" s="120">
        <v>1.2</v>
      </c>
      <c r="AC57" s="120">
        <v>1.2</v>
      </c>
      <c r="AD57" s="120">
        <v>1.2</v>
      </c>
      <c r="AE57" s="120">
        <v>1.2</v>
      </c>
      <c r="AF57" s="120">
        <v>1.2</v>
      </c>
      <c r="AG57" s="120">
        <v>1.2</v>
      </c>
      <c r="AH57" s="120">
        <v>1.2</v>
      </c>
      <c r="AI57" s="120">
        <v>1.2</v>
      </c>
      <c r="AJ57" s="120">
        <v>1.2</v>
      </c>
      <c r="AK57" s="120">
        <v>1.2</v>
      </c>
      <c r="AL57" s="168">
        <v>1.2</v>
      </c>
      <c r="AM57" s="120">
        <v>1.2</v>
      </c>
      <c r="AN57" s="120">
        <v>1.2</v>
      </c>
      <c r="AO57" s="120">
        <v>1.2</v>
      </c>
      <c r="AP57" s="168">
        <v>1.2</v>
      </c>
      <c r="AQ57" s="120"/>
      <c r="AR57" s="120"/>
      <c r="AS57" s="120"/>
      <c r="AT57" s="120"/>
      <c r="AU57" s="120"/>
      <c r="AV57" s="120"/>
      <c r="AW57" s="120"/>
      <c r="AX57" s="120"/>
      <c r="AY57" s="120"/>
      <c r="AZ57" s="120"/>
      <c r="BA57" s="120"/>
      <c r="BB57" s="120"/>
      <c r="BC57" s="120"/>
      <c r="BD57" s="120"/>
      <c r="BE57" s="168"/>
      <c r="BF57" s="151"/>
      <c r="BG57" s="151"/>
      <c r="BH57" s="151"/>
      <c r="BI57" s="151"/>
      <c r="BJ57" s="151"/>
      <c r="BK57" s="151"/>
      <c r="BL57" s="151"/>
      <c r="BM57" s="151"/>
      <c r="BN57" s="151"/>
      <c r="BO57" s="158"/>
      <c r="BP57" s="151"/>
      <c r="BQ57" s="151"/>
      <c r="BR57" s="151"/>
      <c r="BS57" s="151"/>
      <c r="BT57" s="167">
        <v>1.9E-2</v>
      </c>
      <c r="BU57" s="120">
        <v>1.9E-2</v>
      </c>
      <c r="BV57" s="120">
        <v>1.9E-2</v>
      </c>
      <c r="BW57" s="120">
        <v>1.9E-2</v>
      </c>
      <c r="BX57" s="120">
        <v>1.9E-2</v>
      </c>
      <c r="BY57" s="120">
        <v>1.9E-2</v>
      </c>
      <c r="BZ57" s="120">
        <v>1.9E-2</v>
      </c>
      <c r="CA57" s="120">
        <v>1.9E-2</v>
      </c>
      <c r="CB57" s="120">
        <v>1.9E-2</v>
      </c>
      <c r="CC57" s="120">
        <v>1.9E-2</v>
      </c>
      <c r="CD57" s="120">
        <v>1.9E-2</v>
      </c>
      <c r="CE57" s="120">
        <v>1.9E-2</v>
      </c>
      <c r="CF57" s="120">
        <v>1.9E-2</v>
      </c>
      <c r="CG57" s="120">
        <v>1.9E-2</v>
      </c>
      <c r="CH57" s="169">
        <v>1.9E-2</v>
      </c>
    </row>
    <row r="58" spans="1:86">
      <c r="A58" s="166" t="s">
        <v>576</v>
      </c>
      <c r="B58" s="120">
        <v>0.15</v>
      </c>
      <c r="C58" s="120">
        <v>0.15</v>
      </c>
      <c r="D58" s="120">
        <v>0.15</v>
      </c>
      <c r="E58" s="120">
        <v>0.15</v>
      </c>
      <c r="F58" s="120">
        <v>0.15</v>
      </c>
      <c r="G58" s="120">
        <v>0.15</v>
      </c>
      <c r="H58" s="120">
        <v>0.15</v>
      </c>
      <c r="I58" s="120">
        <v>0.15</v>
      </c>
      <c r="J58" s="120">
        <v>0.15</v>
      </c>
      <c r="K58" s="120">
        <v>0.15</v>
      </c>
      <c r="L58" s="120">
        <v>0.15</v>
      </c>
      <c r="M58" s="120">
        <v>0.15</v>
      </c>
      <c r="N58" s="120">
        <v>0.15</v>
      </c>
      <c r="O58" s="120">
        <v>0.15</v>
      </c>
      <c r="P58" s="120">
        <v>0.15</v>
      </c>
      <c r="Q58" s="120">
        <v>0.15</v>
      </c>
      <c r="R58" s="120">
        <v>0.15</v>
      </c>
      <c r="S58" s="120">
        <v>0.15</v>
      </c>
      <c r="T58" s="120">
        <v>0.15</v>
      </c>
      <c r="U58" s="120">
        <v>0.15</v>
      </c>
      <c r="V58" s="120">
        <v>0.15</v>
      </c>
      <c r="W58" s="120">
        <v>0.15</v>
      </c>
      <c r="X58" s="120">
        <v>0.15</v>
      </c>
      <c r="Y58" s="120">
        <v>0.15</v>
      </c>
      <c r="Z58" s="120">
        <v>0.15</v>
      </c>
      <c r="AA58" s="120">
        <v>0.15</v>
      </c>
      <c r="AB58" s="120">
        <v>0.15</v>
      </c>
      <c r="AC58" s="120">
        <v>0.15</v>
      </c>
      <c r="AD58" s="120">
        <v>0.15</v>
      </c>
      <c r="AE58" s="120">
        <v>0.15</v>
      </c>
      <c r="AF58" s="120">
        <v>0.15</v>
      </c>
      <c r="AG58" s="120">
        <v>0.15</v>
      </c>
      <c r="AH58" s="120">
        <v>0.15</v>
      </c>
      <c r="AI58" s="120">
        <v>0.15</v>
      </c>
      <c r="AJ58" s="120">
        <v>0.15</v>
      </c>
      <c r="AK58" s="120">
        <v>0.15</v>
      </c>
      <c r="AL58" s="168">
        <v>0.15</v>
      </c>
      <c r="AM58" s="120">
        <v>0.15</v>
      </c>
      <c r="AN58" s="120">
        <v>0.15</v>
      </c>
      <c r="AO58" s="120">
        <v>0.15</v>
      </c>
      <c r="AP58" s="168">
        <v>0.15</v>
      </c>
      <c r="AQ58" s="120"/>
      <c r="AR58" s="120"/>
      <c r="AS58" s="120"/>
      <c r="AT58" s="120"/>
      <c r="AU58" s="120"/>
      <c r="AV58" s="120"/>
      <c r="AW58" s="120"/>
      <c r="AX58" s="120"/>
      <c r="AY58" s="120"/>
      <c r="AZ58" s="120"/>
      <c r="BA58" s="120"/>
      <c r="BB58" s="120"/>
      <c r="BC58" s="120"/>
      <c r="BD58" s="120"/>
      <c r="BE58" s="168"/>
      <c r="BF58" s="151"/>
      <c r="BG58" s="151"/>
      <c r="BH58" s="151"/>
      <c r="BI58" s="151"/>
      <c r="BJ58" s="151"/>
      <c r="BK58" s="151"/>
      <c r="BL58" s="151"/>
      <c r="BM58" s="151"/>
      <c r="BN58" s="151"/>
      <c r="BO58" s="158"/>
      <c r="BP58" s="151"/>
      <c r="BQ58" s="151"/>
      <c r="BR58" s="151"/>
      <c r="BS58" s="151"/>
      <c r="BT58" s="167"/>
      <c r="BU58" s="120"/>
      <c r="BV58" s="120"/>
      <c r="BW58" s="120"/>
      <c r="BX58" s="120"/>
      <c r="BY58" s="120"/>
      <c r="BZ58" s="120"/>
      <c r="CA58" s="120"/>
      <c r="CB58" s="120"/>
      <c r="CC58" s="120"/>
      <c r="CD58" s="120"/>
      <c r="CE58" s="120"/>
      <c r="CF58" s="120"/>
      <c r="CG58" s="120"/>
      <c r="CH58" s="169"/>
    </row>
    <row r="59" spans="1:86">
      <c r="A59" s="166" t="s">
        <v>577</v>
      </c>
      <c r="B59" s="120">
        <v>5.8E-4</v>
      </c>
      <c r="C59" s="120">
        <v>5.8E-4</v>
      </c>
      <c r="D59" s="120">
        <v>5.8E-4</v>
      </c>
      <c r="E59" s="120">
        <v>5.8E-4</v>
      </c>
      <c r="F59" s="120">
        <v>5.8E-4</v>
      </c>
      <c r="G59" s="120">
        <v>5.8E-4</v>
      </c>
      <c r="H59" s="120">
        <v>5.8E-4</v>
      </c>
      <c r="I59" s="120">
        <v>5.8E-4</v>
      </c>
      <c r="J59" s="120">
        <v>5.8E-4</v>
      </c>
      <c r="K59" s="120">
        <v>5.8E-4</v>
      </c>
      <c r="L59" s="120">
        <v>5.8E-4</v>
      </c>
      <c r="M59" s="120">
        <v>5.8E-4</v>
      </c>
      <c r="N59" s="120">
        <v>5.8E-4</v>
      </c>
      <c r="O59" s="120">
        <v>5.8E-4</v>
      </c>
      <c r="P59" s="120">
        <v>5.8E-4</v>
      </c>
      <c r="Q59" s="120">
        <v>5.8E-4</v>
      </c>
      <c r="R59" s="120">
        <v>5.8E-4</v>
      </c>
      <c r="S59" s="120">
        <v>5.8E-4</v>
      </c>
      <c r="T59" s="120">
        <v>5.8E-4</v>
      </c>
      <c r="U59" s="120">
        <v>5.8E-4</v>
      </c>
      <c r="V59" s="120">
        <v>5.8E-4</v>
      </c>
      <c r="W59" s="120">
        <v>5.8E-4</v>
      </c>
      <c r="X59" s="120">
        <v>5.8E-4</v>
      </c>
      <c r="Y59" s="120">
        <v>5.8E-4</v>
      </c>
      <c r="Z59" s="120">
        <v>5.8E-4</v>
      </c>
      <c r="AA59" s="120">
        <v>5.8E-4</v>
      </c>
      <c r="AB59" s="120">
        <v>5.8E-4</v>
      </c>
      <c r="AC59" s="120">
        <v>5.8E-4</v>
      </c>
      <c r="AD59" s="120">
        <v>5.8E-4</v>
      </c>
      <c r="AE59" s="120">
        <v>5.8E-4</v>
      </c>
      <c r="AF59" s="120">
        <v>5.8E-4</v>
      </c>
      <c r="AG59" s="120">
        <v>5.8E-4</v>
      </c>
      <c r="AH59" s="120">
        <v>5.8E-4</v>
      </c>
      <c r="AI59" s="120">
        <v>5.8E-4</v>
      </c>
      <c r="AJ59" s="120">
        <v>5.8E-4</v>
      </c>
      <c r="AK59" s="120">
        <v>5.8E-4</v>
      </c>
      <c r="AL59" s="168">
        <v>5.8E-4</v>
      </c>
      <c r="AM59" s="120">
        <v>5.8E-4</v>
      </c>
      <c r="AN59" s="120">
        <v>5.8E-4</v>
      </c>
      <c r="AO59" s="120">
        <v>5.8E-4</v>
      </c>
      <c r="AP59" s="168">
        <v>5.8E-4</v>
      </c>
      <c r="AQ59" s="120"/>
      <c r="AR59" s="120"/>
      <c r="AS59" s="120"/>
      <c r="AT59" s="120"/>
      <c r="AU59" s="120"/>
      <c r="AV59" s="120"/>
      <c r="AW59" s="120"/>
      <c r="AX59" s="120"/>
      <c r="AY59" s="120"/>
      <c r="AZ59" s="120"/>
      <c r="BA59" s="120"/>
      <c r="BB59" s="120"/>
      <c r="BC59" s="120"/>
      <c r="BD59" s="120"/>
      <c r="BE59" s="168"/>
      <c r="BF59" s="151"/>
      <c r="BG59" s="151"/>
      <c r="BH59" s="151"/>
      <c r="BI59" s="151"/>
      <c r="BJ59" s="151"/>
      <c r="BK59" s="151"/>
      <c r="BL59" s="151"/>
      <c r="BM59" s="151"/>
      <c r="BN59" s="151"/>
      <c r="BO59" s="158"/>
      <c r="BP59" s="151"/>
      <c r="BQ59" s="151"/>
      <c r="BR59" s="151"/>
      <c r="BS59" s="151"/>
      <c r="BT59" s="167"/>
      <c r="BU59" s="120"/>
      <c r="BV59" s="120"/>
      <c r="BW59" s="120"/>
      <c r="BX59" s="120"/>
      <c r="BY59" s="120"/>
      <c r="BZ59" s="120"/>
      <c r="CA59" s="120"/>
      <c r="CB59" s="120"/>
      <c r="CC59" s="120"/>
      <c r="CD59" s="120"/>
      <c r="CE59" s="120"/>
      <c r="CF59" s="120"/>
      <c r="CG59" s="120"/>
      <c r="CH59" s="169"/>
    </row>
    <row r="60" spans="1:86">
      <c r="A60" s="166" t="s">
        <v>98</v>
      </c>
      <c r="B60" s="120">
        <f t="shared" ref="B60:AL60" si="12">0.00049/(1-99.2%)</f>
        <v>6.1249999999999943E-2</v>
      </c>
      <c r="C60" s="120">
        <f t="shared" si="12"/>
        <v>6.1249999999999943E-2</v>
      </c>
      <c r="D60" s="120">
        <f t="shared" si="12"/>
        <v>6.1249999999999943E-2</v>
      </c>
      <c r="E60" s="120">
        <f t="shared" si="12"/>
        <v>6.1249999999999943E-2</v>
      </c>
      <c r="F60" s="120">
        <f t="shared" si="12"/>
        <v>6.1249999999999943E-2</v>
      </c>
      <c r="G60" s="120">
        <f t="shared" si="12"/>
        <v>6.1249999999999943E-2</v>
      </c>
      <c r="H60" s="120">
        <f t="shared" si="12"/>
        <v>6.1249999999999943E-2</v>
      </c>
      <c r="I60" s="120">
        <f t="shared" si="12"/>
        <v>6.1249999999999943E-2</v>
      </c>
      <c r="J60" s="120">
        <f t="shared" si="12"/>
        <v>6.1249999999999943E-2</v>
      </c>
      <c r="K60" s="120">
        <f t="shared" si="12"/>
        <v>6.1249999999999943E-2</v>
      </c>
      <c r="L60" s="120">
        <f t="shared" si="12"/>
        <v>6.1249999999999943E-2</v>
      </c>
      <c r="M60" s="120">
        <f t="shared" si="12"/>
        <v>6.1249999999999943E-2</v>
      </c>
      <c r="N60" s="120">
        <f t="shared" si="12"/>
        <v>6.1249999999999943E-2</v>
      </c>
      <c r="O60" s="120">
        <f t="shared" si="12"/>
        <v>6.1249999999999943E-2</v>
      </c>
      <c r="P60" s="120">
        <f t="shared" si="12"/>
        <v>6.1249999999999943E-2</v>
      </c>
      <c r="Q60" s="120">
        <f t="shared" si="12"/>
        <v>6.1249999999999943E-2</v>
      </c>
      <c r="R60" s="120">
        <f t="shared" si="12"/>
        <v>6.1249999999999943E-2</v>
      </c>
      <c r="S60" s="120">
        <f t="shared" si="12"/>
        <v>6.1249999999999943E-2</v>
      </c>
      <c r="T60" s="120">
        <f t="shared" si="12"/>
        <v>6.1249999999999943E-2</v>
      </c>
      <c r="U60" s="120">
        <f t="shared" si="12"/>
        <v>6.1249999999999943E-2</v>
      </c>
      <c r="V60" s="120">
        <f t="shared" si="12"/>
        <v>6.1249999999999943E-2</v>
      </c>
      <c r="W60" s="120">
        <f t="shared" si="12"/>
        <v>6.1249999999999943E-2</v>
      </c>
      <c r="X60" s="120">
        <f t="shared" si="12"/>
        <v>6.1249999999999943E-2</v>
      </c>
      <c r="Y60" s="120">
        <f t="shared" si="12"/>
        <v>6.1249999999999943E-2</v>
      </c>
      <c r="Z60" s="120">
        <f t="shared" si="12"/>
        <v>6.1249999999999943E-2</v>
      </c>
      <c r="AA60" s="120">
        <f t="shared" si="12"/>
        <v>6.1249999999999943E-2</v>
      </c>
      <c r="AB60" s="120">
        <f t="shared" si="12"/>
        <v>6.1249999999999943E-2</v>
      </c>
      <c r="AC60" s="120">
        <f t="shared" si="12"/>
        <v>6.1249999999999943E-2</v>
      </c>
      <c r="AD60" s="120">
        <f t="shared" si="12"/>
        <v>6.1249999999999943E-2</v>
      </c>
      <c r="AE60" s="120">
        <f t="shared" si="12"/>
        <v>6.1249999999999943E-2</v>
      </c>
      <c r="AF60" s="120">
        <f t="shared" si="12"/>
        <v>6.1249999999999943E-2</v>
      </c>
      <c r="AG60" s="120">
        <f t="shared" si="12"/>
        <v>6.1249999999999943E-2</v>
      </c>
      <c r="AH60" s="120">
        <f t="shared" si="12"/>
        <v>6.1249999999999943E-2</v>
      </c>
      <c r="AI60" s="120">
        <f t="shared" si="12"/>
        <v>6.1249999999999943E-2</v>
      </c>
      <c r="AJ60" s="120">
        <f t="shared" si="12"/>
        <v>6.1249999999999943E-2</v>
      </c>
      <c r="AK60" s="120">
        <f t="shared" si="12"/>
        <v>6.1249999999999943E-2</v>
      </c>
      <c r="AL60" s="168">
        <f t="shared" si="12"/>
        <v>6.1249999999999943E-2</v>
      </c>
      <c r="AM60" s="120">
        <v>3.5999999999999999E-3</v>
      </c>
      <c r="AN60" s="120">
        <f>0.00049/(1-99.2%)</f>
        <v>6.1249999999999943E-2</v>
      </c>
      <c r="AO60" s="120">
        <f>0.00049/(1-99.2%)</f>
        <v>6.1249999999999943E-2</v>
      </c>
      <c r="AP60" s="168">
        <f>0.00049/(1-99.2%)</f>
        <v>6.1249999999999943E-2</v>
      </c>
      <c r="AQ60" s="120">
        <v>3.0000000000000001E-3</v>
      </c>
      <c r="AR60" s="120">
        <v>3.0000000000000001E-3</v>
      </c>
      <c r="AS60" s="120">
        <v>3.0000000000000001E-3</v>
      </c>
      <c r="AT60" s="120">
        <v>3.0000000000000001E-3</v>
      </c>
      <c r="AU60" s="120">
        <v>6E-9</v>
      </c>
      <c r="AV60" s="120">
        <v>6E-9</v>
      </c>
      <c r="AW60" s="120">
        <v>6E-9</v>
      </c>
      <c r="AX60" s="120">
        <v>6E-9</v>
      </c>
      <c r="AY60" s="120">
        <v>6E-9</v>
      </c>
      <c r="AZ60" s="120">
        <v>6E-9</v>
      </c>
      <c r="BA60" s="120">
        <v>3.0000000000000001E-3</v>
      </c>
      <c r="BB60" s="120">
        <v>6E-9</v>
      </c>
      <c r="BC60" s="120">
        <v>6E-9</v>
      </c>
      <c r="BD60" s="120">
        <v>6E-9</v>
      </c>
      <c r="BE60" s="168">
        <v>6E-9</v>
      </c>
      <c r="BF60" s="120">
        <v>3.8000000000000002E-4</v>
      </c>
      <c r="BG60" s="120">
        <v>3.8000000000000002E-4</v>
      </c>
      <c r="BH60" s="120">
        <v>3.8000000000000002E-4</v>
      </c>
      <c r="BI60" s="120">
        <v>3.8000000000000002E-4</v>
      </c>
      <c r="BJ60" s="120">
        <v>3.8000000000000002E-4</v>
      </c>
      <c r="BK60" s="120">
        <v>3.8000000000000002E-4</v>
      </c>
      <c r="BL60" s="120">
        <v>3.8000000000000002E-4</v>
      </c>
      <c r="BM60" s="120">
        <v>3.8000000000000002E-4</v>
      </c>
      <c r="BN60" s="120">
        <v>3.8000000000000002E-4</v>
      </c>
      <c r="BO60" s="168">
        <v>3.8000000000000002E-4</v>
      </c>
      <c r="BP60" s="120">
        <v>3.8000000000000002E-4</v>
      </c>
      <c r="BQ60" s="120">
        <v>3.8000000000000002E-4</v>
      </c>
      <c r="BR60" s="120">
        <v>3.8000000000000002E-4</v>
      </c>
      <c r="BS60" s="120">
        <v>3.8000000000000002E-4</v>
      </c>
      <c r="BT60" s="167">
        <v>1.6000000000000001E-3</v>
      </c>
      <c r="BU60" s="120">
        <v>1.6000000000000001E-3</v>
      </c>
      <c r="BV60" s="120">
        <v>1.6000000000000001E-3</v>
      </c>
      <c r="BW60" s="120">
        <v>1.6000000000000001E-3</v>
      </c>
      <c r="BX60" s="120">
        <v>1.6000000000000001E-3</v>
      </c>
      <c r="BY60" s="120">
        <v>1.6000000000000001E-3</v>
      </c>
      <c r="BZ60" s="120">
        <v>1.6000000000000001E-3</v>
      </c>
      <c r="CA60" s="120">
        <v>1.6000000000000001E-3</v>
      </c>
      <c r="CB60" s="120">
        <v>1.6000000000000001E-3</v>
      </c>
      <c r="CC60" s="120">
        <v>1.6000000000000001E-3</v>
      </c>
      <c r="CD60" s="120">
        <v>1.6000000000000001E-3</v>
      </c>
      <c r="CE60" s="120">
        <v>1.6000000000000001E-3</v>
      </c>
      <c r="CF60" s="120">
        <v>1.6000000000000001E-3</v>
      </c>
      <c r="CG60" s="120">
        <v>1.6000000000000001E-3</v>
      </c>
      <c r="CH60" s="169">
        <v>1.6000000000000001E-3</v>
      </c>
    </row>
    <row r="61" spans="1:86">
      <c r="A61" s="166" t="s">
        <v>99</v>
      </c>
      <c r="B61" s="120">
        <f t="shared" ref="B61:AL61" si="13">0.000083/(1-99.2%)</f>
        <v>1.037499999999999E-2</v>
      </c>
      <c r="C61" s="120">
        <f t="shared" si="13"/>
        <v>1.037499999999999E-2</v>
      </c>
      <c r="D61" s="120">
        <f t="shared" si="13"/>
        <v>1.037499999999999E-2</v>
      </c>
      <c r="E61" s="120">
        <f t="shared" si="13"/>
        <v>1.037499999999999E-2</v>
      </c>
      <c r="F61" s="120">
        <f t="shared" si="13"/>
        <v>1.037499999999999E-2</v>
      </c>
      <c r="G61" s="120">
        <f t="shared" si="13"/>
        <v>1.037499999999999E-2</v>
      </c>
      <c r="H61" s="120">
        <f t="shared" si="13"/>
        <v>1.037499999999999E-2</v>
      </c>
      <c r="I61" s="120">
        <f t="shared" si="13"/>
        <v>1.037499999999999E-2</v>
      </c>
      <c r="J61" s="120">
        <f t="shared" si="13"/>
        <v>1.037499999999999E-2</v>
      </c>
      <c r="K61" s="120">
        <f t="shared" si="13"/>
        <v>1.037499999999999E-2</v>
      </c>
      <c r="L61" s="120">
        <f t="shared" si="13"/>
        <v>1.037499999999999E-2</v>
      </c>
      <c r="M61" s="120">
        <f t="shared" si="13"/>
        <v>1.037499999999999E-2</v>
      </c>
      <c r="N61" s="120">
        <f t="shared" si="13"/>
        <v>1.037499999999999E-2</v>
      </c>
      <c r="O61" s="120">
        <f t="shared" si="13"/>
        <v>1.037499999999999E-2</v>
      </c>
      <c r="P61" s="120">
        <f t="shared" si="13"/>
        <v>1.037499999999999E-2</v>
      </c>
      <c r="Q61" s="120">
        <f t="shared" si="13"/>
        <v>1.037499999999999E-2</v>
      </c>
      <c r="R61" s="120">
        <f t="shared" si="13"/>
        <v>1.037499999999999E-2</v>
      </c>
      <c r="S61" s="120">
        <f t="shared" si="13"/>
        <v>1.037499999999999E-2</v>
      </c>
      <c r="T61" s="120">
        <f t="shared" si="13"/>
        <v>1.037499999999999E-2</v>
      </c>
      <c r="U61" s="120">
        <f t="shared" si="13"/>
        <v>1.037499999999999E-2</v>
      </c>
      <c r="V61" s="120">
        <f t="shared" si="13"/>
        <v>1.037499999999999E-2</v>
      </c>
      <c r="W61" s="120">
        <f t="shared" si="13"/>
        <v>1.037499999999999E-2</v>
      </c>
      <c r="X61" s="120">
        <f t="shared" si="13"/>
        <v>1.037499999999999E-2</v>
      </c>
      <c r="Y61" s="120">
        <f t="shared" si="13"/>
        <v>1.037499999999999E-2</v>
      </c>
      <c r="Z61" s="120">
        <f t="shared" si="13"/>
        <v>1.037499999999999E-2</v>
      </c>
      <c r="AA61" s="120">
        <f t="shared" si="13"/>
        <v>1.037499999999999E-2</v>
      </c>
      <c r="AB61" s="120">
        <f t="shared" si="13"/>
        <v>1.037499999999999E-2</v>
      </c>
      <c r="AC61" s="120">
        <f t="shared" si="13"/>
        <v>1.037499999999999E-2</v>
      </c>
      <c r="AD61" s="120">
        <f t="shared" si="13"/>
        <v>1.037499999999999E-2</v>
      </c>
      <c r="AE61" s="120">
        <f t="shared" si="13"/>
        <v>1.037499999999999E-2</v>
      </c>
      <c r="AF61" s="120">
        <f t="shared" si="13"/>
        <v>1.037499999999999E-2</v>
      </c>
      <c r="AG61" s="120">
        <f t="shared" si="13"/>
        <v>1.037499999999999E-2</v>
      </c>
      <c r="AH61" s="120">
        <f t="shared" si="13"/>
        <v>1.037499999999999E-2</v>
      </c>
      <c r="AI61" s="120">
        <f t="shared" si="13"/>
        <v>1.037499999999999E-2</v>
      </c>
      <c r="AJ61" s="120">
        <f t="shared" si="13"/>
        <v>1.037499999999999E-2</v>
      </c>
      <c r="AK61" s="120">
        <f t="shared" si="13"/>
        <v>1.037499999999999E-2</v>
      </c>
      <c r="AL61" s="168">
        <f t="shared" si="13"/>
        <v>1.037499999999999E-2</v>
      </c>
      <c r="AM61" s="120">
        <v>1.2999999999999999E-4</v>
      </c>
      <c r="AN61" s="120">
        <f>0.000083/(1-99.2%)</f>
        <v>1.037499999999999E-2</v>
      </c>
      <c r="AO61" s="120">
        <f>0.000083/(1-99.2%)</f>
        <v>1.037499999999999E-2</v>
      </c>
      <c r="AP61" s="168">
        <f>0.000083/(1-99.2%)</f>
        <v>1.037499999999999E-2</v>
      </c>
      <c r="AQ61" s="120">
        <v>1.13E-4</v>
      </c>
      <c r="AR61" s="120">
        <v>1.13E-4</v>
      </c>
      <c r="AS61" s="120">
        <v>1.13E-4</v>
      </c>
      <c r="AT61" s="120">
        <v>1.13E-4</v>
      </c>
      <c r="AU61" s="120">
        <v>3E-9</v>
      </c>
      <c r="AV61" s="120">
        <v>3E-9</v>
      </c>
      <c r="AW61" s="120">
        <v>3E-9</v>
      </c>
      <c r="AX61" s="120">
        <v>3E-9</v>
      </c>
      <c r="AY61" s="120">
        <v>3E-9</v>
      </c>
      <c r="AZ61" s="120">
        <v>3E-9</v>
      </c>
      <c r="BA61" s="120">
        <v>1.13E-4</v>
      </c>
      <c r="BB61" s="120">
        <v>3E-9</v>
      </c>
      <c r="BC61" s="120">
        <v>3E-9</v>
      </c>
      <c r="BD61" s="120">
        <v>3E-9</v>
      </c>
      <c r="BE61" s="168">
        <v>3E-9</v>
      </c>
      <c r="BF61" s="120">
        <v>2.5999999999999998E-4</v>
      </c>
      <c r="BG61" s="120">
        <v>2.5999999999999998E-4</v>
      </c>
      <c r="BH61" s="120">
        <v>2.5999999999999998E-4</v>
      </c>
      <c r="BI61" s="120">
        <v>2.5999999999999998E-4</v>
      </c>
      <c r="BJ61" s="120">
        <v>2.5999999999999998E-4</v>
      </c>
      <c r="BK61" s="120">
        <v>2.5999999999999998E-4</v>
      </c>
      <c r="BL61" s="120">
        <v>2.5999999999999998E-4</v>
      </c>
      <c r="BM61" s="120">
        <v>2.5999999999999998E-4</v>
      </c>
      <c r="BN61" s="120">
        <v>2.5999999999999998E-4</v>
      </c>
      <c r="BO61" s="168">
        <v>2.5999999999999998E-4</v>
      </c>
      <c r="BP61" s="120">
        <v>2.5999999999999998E-4</v>
      </c>
      <c r="BQ61" s="120">
        <v>2.5999999999999998E-4</v>
      </c>
      <c r="BR61" s="120">
        <v>2.5999999999999998E-4</v>
      </c>
      <c r="BS61" s="120">
        <v>2.5999999999999998E-4</v>
      </c>
      <c r="BT61" s="167">
        <v>3.4999999999999999E-6</v>
      </c>
      <c r="BU61" s="120">
        <v>3.4999999999999999E-6</v>
      </c>
      <c r="BV61" s="120">
        <v>3.4999999999999999E-6</v>
      </c>
      <c r="BW61" s="120">
        <v>3.4999999999999999E-6</v>
      </c>
      <c r="BX61" s="120">
        <v>3.4999999999999999E-6</v>
      </c>
      <c r="BY61" s="120">
        <v>3.4999999999999999E-6</v>
      </c>
      <c r="BZ61" s="120">
        <v>3.4999999999999999E-6</v>
      </c>
      <c r="CA61" s="120">
        <v>3.4999999999999999E-6</v>
      </c>
      <c r="CB61" s="120">
        <v>3.4999999999999999E-6</v>
      </c>
      <c r="CC61" s="120">
        <v>3.4999999999999999E-6</v>
      </c>
      <c r="CD61" s="120">
        <v>3.4999999999999999E-6</v>
      </c>
      <c r="CE61" s="120">
        <v>3.4999999999999999E-6</v>
      </c>
      <c r="CF61" s="120">
        <v>3.4999999999999999E-6</v>
      </c>
      <c r="CG61" s="120">
        <v>3.4999999999999999E-6</v>
      </c>
      <c r="CH61" s="169">
        <v>3.4999999999999999E-6</v>
      </c>
    </row>
    <row r="62" spans="1:86">
      <c r="A62" s="166" t="s">
        <v>578</v>
      </c>
      <c r="B62" s="120">
        <v>2.0000000000000002E-5</v>
      </c>
      <c r="C62" s="120">
        <v>2.0000000000000002E-5</v>
      </c>
      <c r="D62" s="120">
        <v>2.0000000000000002E-5</v>
      </c>
      <c r="E62" s="120">
        <v>2.0000000000000002E-5</v>
      </c>
      <c r="F62" s="120">
        <v>2.0000000000000002E-5</v>
      </c>
      <c r="G62" s="120">
        <v>2.0000000000000002E-5</v>
      </c>
      <c r="H62" s="120">
        <v>2.0000000000000002E-5</v>
      </c>
      <c r="I62" s="120">
        <v>2.0000000000000002E-5</v>
      </c>
      <c r="J62" s="120">
        <v>2.0000000000000002E-5</v>
      </c>
      <c r="K62" s="120">
        <v>2.0000000000000002E-5</v>
      </c>
      <c r="L62" s="120">
        <v>2.0000000000000002E-5</v>
      </c>
      <c r="M62" s="120">
        <v>2.0000000000000002E-5</v>
      </c>
      <c r="N62" s="120">
        <v>2.0000000000000002E-5</v>
      </c>
      <c r="O62" s="120">
        <v>2.0000000000000002E-5</v>
      </c>
      <c r="P62" s="120">
        <v>2.0000000000000002E-5</v>
      </c>
      <c r="Q62" s="120">
        <v>2.0000000000000002E-5</v>
      </c>
      <c r="R62" s="120">
        <v>2.0000000000000002E-5</v>
      </c>
      <c r="S62" s="120">
        <v>2.0000000000000002E-5</v>
      </c>
      <c r="T62" s="120">
        <v>2.0000000000000002E-5</v>
      </c>
      <c r="U62" s="120">
        <v>2.0000000000000002E-5</v>
      </c>
      <c r="V62" s="120">
        <v>2.0000000000000002E-5</v>
      </c>
      <c r="W62" s="120">
        <v>2.0000000000000002E-5</v>
      </c>
      <c r="X62" s="120">
        <v>2.0000000000000002E-5</v>
      </c>
      <c r="Y62" s="120">
        <v>2.0000000000000002E-5</v>
      </c>
      <c r="Z62" s="120">
        <v>2.0000000000000002E-5</v>
      </c>
      <c r="AA62" s="120">
        <v>2.0000000000000002E-5</v>
      </c>
      <c r="AB62" s="120">
        <v>2.0000000000000002E-5</v>
      </c>
      <c r="AC62" s="120">
        <v>2.0000000000000002E-5</v>
      </c>
      <c r="AD62" s="120">
        <v>2.0000000000000002E-5</v>
      </c>
      <c r="AE62" s="120">
        <v>2.0000000000000002E-5</v>
      </c>
      <c r="AF62" s="120">
        <v>2.0000000000000002E-5</v>
      </c>
      <c r="AG62" s="120">
        <v>2.0000000000000002E-5</v>
      </c>
      <c r="AH62" s="120">
        <v>2.0000000000000002E-5</v>
      </c>
      <c r="AI62" s="120">
        <v>2.0000000000000002E-5</v>
      </c>
      <c r="AJ62" s="120">
        <v>2.0000000000000002E-5</v>
      </c>
      <c r="AK62" s="120">
        <v>2.0000000000000002E-5</v>
      </c>
      <c r="AL62" s="168">
        <v>2.0000000000000002E-5</v>
      </c>
      <c r="AM62" s="120">
        <v>2.0000000000000002E-5</v>
      </c>
      <c r="AN62" s="120">
        <v>2.0000000000000002E-5</v>
      </c>
      <c r="AO62" s="120">
        <v>2.0000000000000002E-5</v>
      </c>
      <c r="AP62" s="168">
        <v>2.0000000000000002E-5</v>
      </c>
      <c r="AQ62" s="120"/>
      <c r="AR62" s="120"/>
      <c r="AS62" s="120"/>
      <c r="AT62" s="120"/>
      <c r="AU62" s="120"/>
      <c r="AV62" s="120"/>
      <c r="AW62" s="120"/>
      <c r="AX62" s="120"/>
      <c r="AY62" s="120"/>
      <c r="AZ62" s="120"/>
      <c r="BA62" s="120"/>
      <c r="BB62" s="120"/>
      <c r="BC62" s="120"/>
      <c r="BD62" s="120"/>
      <c r="BE62" s="168"/>
      <c r="BF62" s="151"/>
      <c r="BG62" s="151"/>
      <c r="BH62" s="151"/>
      <c r="BI62" s="151"/>
      <c r="BJ62" s="151"/>
      <c r="BK62" s="151"/>
      <c r="BL62" s="151"/>
      <c r="BM62" s="151"/>
      <c r="BN62" s="151"/>
      <c r="BO62" s="158"/>
      <c r="BP62" s="151"/>
      <c r="BQ62" s="151"/>
      <c r="BR62" s="151"/>
      <c r="BS62" s="151"/>
      <c r="BT62" s="167"/>
      <c r="BU62" s="120"/>
      <c r="BV62" s="120"/>
      <c r="BW62" s="120"/>
      <c r="BX62" s="120"/>
      <c r="BY62" s="120"/>
      <c r="BZ62" s="120"/>
      <c r="CA62" s="120"/>
      <c r="CB62" s="120"/>
      <c r="CC62" s="120"/>
      <c r="CD62" s="120"/>
      <c r="CE62" s="120"/>
      <c r="CF62" s="120"/>
      <c r="CG62" s="120"/>
      <c r="CH62" s="169"/>
    </row>
    <row r="63" spans="1:86">
      <c r="A63" s="166" t="s">
        <v>579</v>
      </c>
      <c r="B63" s="120">
        <v>1.7000000000000001E-4</v>
      </c>
      <c r="C63" s="120">
        <v>1.7000000000000001E-4</v>
      </c>
      <c r="D63" s="120">
        <v>1.7000000000000001E-4</v>
      </c>
      <c r="E63" s="120">
        <v>1.7000000000000001E-4</v>
      </c>
      <c r="F63" s="120">
        <v>1.7000000000000001E-4</v>
      </c>
      <c r="G63" s="120">
        <v>1.7000000000000001E-4</v>
      </c>
      <c r="H63" s="120">
        <v>1.7000000000000001E-4</v>
      </c>
      <c r="I63" s="120">
        <v>1.7000000000000001E-4</v>
      </c>
      <c r="J63" s="120">
        <v>1.7000000000000001E-4</v>
      </c>
      <c r="K63" s="120">
        <v>1.7000000000000001E-4</v>
      </c>
      <c r="L63" s="120">
        <v>1.7000000000000001E-4</v>
      </c>
      <c r="M63" s="120">
        <v>1.7000000000000001E-4</v>
      </c>
      <c r="N63" s="120">
        <v>1.7000000000000001E-4</v>
      </c>
      <c r="O63" s="120">
        <v>1.7000000000000001E-4</v>
      </c>
      <c r="P63" s="120">
        <v>1.7000000000000001E-4</v>
      </c>
      <c r="Q63" s="120">
        <v>1.7000000000000001E-4</v>
      </c>
      <c r="R63" s="120">
        <v>1.7000000000000001E-4</v>
      </c>
      <c r="S63" s="120">
        <v>1.7000000000000001E-4</v>
      </c>
      <c r="T63" s="120">
        <v>1.7000000000000001E-4</v>
      </c>
      <c r="U63" s="120">
        <v>1.7000000000000001E-4</v>
      </c>
      <c r="V63" s="120">
        <v>1.7000000000000001E-4</v>
      </c>
      <c r="W63" s="120">
        <v>1.7000000000000001E-4</v>
      </c>
      <c r="X63" s="120">
        <v>1.7000000000000001E-4</v>
      </c>
      <c r="Y63" s="120">
        <v>1.7000000000000001E-4</v>
      </c>
      <c r="Z63" s="120">
        <v>1.7000000000000001E-4</v>
      </c>
      <c r="AA63" s="120">
        <v>1.7000000000000001E-4</v>
      </c>
      <c r="AB63" s="120">
        <v>1.7000000000000001E-4</v>
      </c>
      <c r="AC63" s="120">
        <v>1.7000000000000001E-4</v>
      </c>
      <c r="AD63" s="120">
        <v>1.7000000000000001E-4</v>
      </c>
      <c r="AE63" s="120">
        <v>1.7000000000000001E-4</v>
      </c>
      <c r="AF63" s="120">
        <v>1.7000000000000001E-4</v>
      </c>
      <c r="AG63" s="120">
        <v>1.7000000000000001E-4</v>
      </c>
      <c r="AH63" s="120">
        <v>1.7000000000000001E-4</v>
      </c>
      <c r="AI63" s="120">
        <v>1.7000000000000001E-4</v>
      </c>
      <c r="AJ63" s="120">
        <v>1.7000000000000001E-4</v>
      </c>
      <c r="AK63" s="120">
        <v>1.7000000000000001E-4</v>
      </c>
      <c r="AL63" s="168">
        <v>1.7000000000000001E-4</v>
      </c>
      <c r="AM63" s="120">
        <v>1.7000000000000001E-4</v>
      </c>
      <c r="AN63" s="120">
        <v>1.7000000000000001E-4</v>
      </c>
      <c r="AO63" s="120">
        <v>1.7000000000000001E-4</v>
      </c>
      <c r="AP63" s="168">
        <v>1.7000000000000001E-4</v>
      </c>
      <c r="AQ63" s="120"/>
      <c r="AR63" s="120"/>
      <c r="AS63" s="120"/>
      <c r="AT63" s="120"/>
      <c r="AU63" s="120"/>
      <c r="AV63" s="120"/>
      <c r="AW63" s="120"/>
      <c r="AX63" s="120"/>
      <c r="AY63" s="120"/>
      <c r="AZ63" s="120"/>
      <c r="BA63" s="120"/>
      <c r="BB63" s="120"/>
      <c r="BC63" s="120"/>
      <c r="BD63" s="120"/>
      <c r="BE63" s="168"/>
      <c r="BF63" s="151"/>
      <c r="BG63" s="151"/>
      <c r="BH63" s="151"/>
      <c r="BI63" s="151"/>
      <c r="BJ63" s="151"/>
      <c r="BK63" s="151"/>
      <c r="BL63" s="151"/>
      <c r="BM63" s="151"/>
      <c r="BN63" s="151"/>
      <c r="BO63" s="158"/>
      <c r="BP63" s="151"/>
      <c r="BQ63" s="151"/>
      <c r="BR63" s="151"/>
      <c r="BS63" s="151"/>
      <c r="BT63" s="167"/>
      <c r="BU63" s="120"/>
      <c r="BV63" s="120"/>
      <c r="BW63" s="120"/>
      <c r="BX63" s="120"/>
      <c r="BY63" s="120"/>
      <c r="BZ63" s="120"/>
      <c r="CA63" s="120"/>
      <c r="CB63" s="120"/>
      <c r="CC63" s="120"/>
      <c r="CD63" s="120"/>
      <c r="CE63" s="120"/>
      <c r="CF63" s="120"/>
      <c r="CG63" s="120"/>
      <c r="CH63" s="169"/>
    </row>
    <row r="64" spans="1:86">
      <c r="A64" s="166" t="s">
        <v>580</v>
      </c>
      <c r="B64" s="120">
        <v>3.4999999999999997E-5</v>
      </c>
      <c r="C64" s="120">
        <v>3.4999999999999997E-5</v>
      </c>
      <c r="D64" s="120">
        <v>3.4999999999999997E-5</v>
      </c>
      <c r="E64" s="120">
        <v>3.4999999999999997E-5</v>
      </c>
      <c r="F64" s="120">
        <v>3.4999999999999997E-5</v>
      </c>
      <c r="G64" s="120">
        <v>3.4999999999999997E-5</v>
      </c>
      <c r="H64" s="120">
        <v>3.4999999999999997E-5</v>
      </c>
      <c r="I64" s="120">
        <v>3.4999999999999997E-5</v>
      </c>
      <c r="J64" s="120">
        <v>3.4999999999999997E-5</v>
      </c>
      <c r="K64" s="120">
        <v>3.4999999999999997E-5</v>
      </c>
      <c r="L64" s="120">
        <v>3.4999999999999997E-5</v>
      </c>
      <c r="M64" s="120">
        <v>3.4999999999999997E-5</v>
      </c>
      <c r="N64" s="120">
        <v>3.4999999999999997E-5</v>
      </c>
      <c r="O64" s="120">
        <v>3.4999999999999997E-5</v>
      </c>
      <c r="P64" s="120">
        <v>3.4999999999999997E-5</v>
      </c>
      <c r="Q64" s="120">
        <v>3.4999999999999997E-5</v>
      </c>
      <c r="R64" s="120">
        <v>3.4999999999999997E-5</v>
      </c>
      <c r="S64" s="120">
        <v>3.4999999999999997E-5</v>
      </c>
      <c r="T64" s="120">
        <v>3.4999999999999997E-5</v>
      </c>
      <c r="U64" s="120">
        <v>3.4999999999999997E-5</v>
      </c>
      <c r="V64" s="120">
        <v>3.4999999999999997E-5</v>
      </c>
      <c r="W64" s="120">
        <v>3.4999999999999997E-5</v>
      </c>
      <c r="X64" s="120">
        <v>3.4999999999999997E-5</v>
      </c>
      <c r="Y64" s="120">
        <v>3.4999999999999997E-5</v>
      </c>
      <c r="Z64" s="120">
        <v>3.4999999999999997E-5</v>
      </c>
      <c r="AA64" s="120">
        <v>3.4999999999999997E-5</v>
      </c>
      <c r="AB64" s="120">
        <v>3.4999999999999997E-5</v>
      </c>
      <c r="AC64" s="120">
        <v>3.4999999999999997E-5</v>
      </c>
      <c r="AD64" s="120">
        <v>3.4999999999999997E-5</v>
      </c>
      <c r="AE64" s="120">
        <v>3.4999999999999997E-5</v>
      </c>
      <c r="AF64" s="120">
        <v>3.4999999999999997E-5</v>
      </c>
      <c r="AG64" s="120">
        <v>3.4999999999999997E-5</v>
      </c>
      <c r="AH64" s="120">
        <v>3.4999999999999997E-5</v>
      </c>
      <c r="AI64" s="120">
        <v>3.4999999999999997E-5</v>
      </c>
      <c r="AJ64" s="120">
        <v>3.4999999999999997E-5</v>
      </c>
      <c r="AK64" s="120">
        <v>3.4999999999999997E-5</v>
      </c>
      <c r="AL64" s="168">
        <v>3.4999999999999997E-5</v>
      </c>
      <c r="AM64" s="120">
        <v>3.4999999999999997E-5</v>
      </c>
      <c r="AN64" s="120">
        <v>3.4999999999999997E-5</v>
      </c>
      <c r="AO64" s="120">
        <v>3.4999999999999997E-5</v>
      </c>
      <c r="AP64" s="168">
        <v>3.4999999999999997E-5</v>
      </c>
      <c r="AQ64" s="120"/>
      <c r="AR64" s="120"/>
      <c r="AS64" s="120"/>
      <c r="AT64" s="120"/>
      <c r="AU64" s="120"/>
      <c r="AV64" s="120"/>
      <c r="AW64" s="120"/>
      <c r="AX64" s="120"/>
      <c r="AY64" s="120"/>
      <c r="AZ64" s="120"/>
      <c r="BA64" s="120"/>
      <c r="BB64" s="120"/>
      <c r="BC64" s="120"/>
      <c r="BD64" s="120"/>
      <c r="BE64" s="168"/>
      <c r="BF64" s="151"/>
      <c r="BG64" s="151"/>
      <c r="BH64" s="151"/>
      <c r="BI64" s="151"/>
      <c r="BJ64" s="151"/>
      <c r="BK64" s="151"/>
      <c r="BL64" s="151"/>
      <c r="BM64" s="151"/>
      <c r="BN64" s="151"/>
      <c r="BO64" s="158"/>
      <c r="BP64" s="151"/>
      <c r="BQ64" s="151"/>
      <c r="BR64" s="151"/>
      <c r="BS64" s="151"/>
      <c r="BT64" s="167"/>
      <c r="BU64" s="120"/>
      <c r="BV64" s="120"/>
      <c r="BW64" s="120"/>
      <c r="BX64" s="120"/>
      <c r="BY64" s="120"/>
      <c r="BZ64" s="120"/>
      <c r="CA64" s="120"/>
      <c r="CB64" s="120"/>
      <c r="CC64" s="120"/>
      <c r="CD64" s="120"/>
      <c r="CE64" s="120"/>
      <c r="CF64" s="120"/>
      <c r="CG64" s="120"/>
      <c r="CH64" s="169"/>
    </row>
    <row r="65" spans="1:86">
      <c r="A65" s="166" t="s">
        <v>101</v>
      </c>
      <c r="B65" s="120">
        <f t="shared" ref="B65:AL65" si="14">0.00028/(1-99.2%)</f>
        <v>3.4999999999999969E-2</v>
      </c>
      <c r="C65" s="120">
        <f t="shared" si="14"/>
        <v>3.4999999999999969E-2</v>
      </c>
      <c r="D65" s="120">
        <f t="shared" si="14"/>
        <v>3.4999999999999969E-2</v>
      </c>
      <c r="E65" s="120">
        <f t="shared" si="14"/>
        <v>3.4999999999999969E-2</v>
      </c>
      <c r="F65" s="120">
        <f t="shared" si="14"/>
        <v>3.4999999999999969E-2</v>
      </c>
      <c r="G65" s="120">
        <f t="shared" si="14"/>
        <v>3.4999999999999969E-2</v>
      </c>
      <c r="H65" s="120">
        <f t="shared" si="14"/>
        <v>3.4999999999999969E-2</v>
      </c>
      <c r="I65" s="120">
        <f t="shared" si="14"/>
        <v>3.4999999999999969E-2</v>
      </c>
      <c r="J65" s="120">
        <f t="shared" si="14"/>
        <v>3.4999999999999969E-2</v>
      </c>
      <c r="K65" s="120">
        <f t="shared" si="14"/>
        <v>3.4999999999999969E-2</v>
      </c>
      <c r="L65" s="120">
        <f t="shared" si="14"/>
        <v>3.4999999999999969E-2</v>
      </c>
      <c r="M65" s="120">
        <f t="shared" si="14"/>
        <v>3.4999999999999969E-2</v>
      </c>
      <c r="N65" s="120">
        <f t="shared" si="14"/>
        <v>3.4999999999999969E-2</v>
      </c>
      <c r="O65" s="120">
        <f t="shared" si="14"/>
        <v>3.4999999999999969E-2</v>
      </c>
      <c r="P65" s="120">
        <f t="shared" si="14"/>
        <v>3.4999999999999969E-2</v>
      </c>
      <c r="Q65" s="120">
        <f t="shared" si="14"/>
        <v>3.4999999999999969E-2</v>
      </c>
      <c r="R65" s="120">
        <f t="shared" si="14"/>
        <v>3.4999999999999969E-2</v>
      </c>
      <c r="S65" s="120">
        <f t="shared" si="14"/>
        <v>3.4999999999999969E-2</v>
      </c>
      <c r="T65" s="120">
        <f t="shared" si="14"/>
        <v>3.4999999999999969E-2</v>
      </c>
      <c r="U65" s="120">
        <f t="shared" si="14"/>
        <v>3.4999999999999969E-2</v>
      </c>
      <c r="V65" s="120">
        <f t="shared" si="14"/>
        <v>3.4999999999999969E-2</v>
      </c>
      <c r="W65" s="120">
        <f t="shared" si="14"/>
        <v>3.4999999999999969E-2</v>
      </c>
      <c r="X65" s="120">
        <f t="shared" si="14"/>
        <v>3.4999999999999969E-2</v>
      </c>
      <c r="Y65" s="120">
        <f t="shared" si="14"/>
        <v>3.4999999999999969E-2</v>
      </c>
      <c r="Z65" s="120">
        <f t="shared" si="14"/>
        <v>3.4999999999999969E-2</v>
      </c>
      <c r="AA65" s="120">
        <f t="shared" si="14"/>
        <v>3.4999999999999969E-2</v>
      </c>
      <c r="AB65" s="120">
        <f t="shared" si="14"/>
        <v>3.4999999999999969E-2</v>
      </c>
      <c r="AC65" s="120">
        <f t="shared" si="14"/>
        <v>3.4999999999999969E-2</v>
      </c>
      <c r="AD65" s="120">
        <f t="shared" si="14"/>
        <v>3.4999999999999969E-2</v>
      </c>
      <c r="AE65" s="120">
        <f t="shared" si="14"/>
        <v>3.4999999999999969E-2</v>
      </c>
      <c r="AF65" s="120">
        <f t="shared" si="14"/>
        <v>3.4999999999999969E-2</v>
      </c>
      <c r="AG65" s="120">
        <f t="shared" si="14"/>
        <v>3.4999999999999969E-2</v>
      </c>
      <c r="AH65" s="120">
        <f t="shared" si="14"/>
        <v>3.4999999999999969E-2</v>
      </c>
      <c r="AI65" s="120">
        <f t="shared" si="14"/>
        <v>3.4999999999999969E-2</v>
      </c>
      <c r="AJ65" s="120">
        <f t="shared" si="14"/>
        <v>3.4999999999999969E-2</v>
      </c>
      <c r="AK65" s="120">
        <f t="shared" si="14"/>
        <v>3.4999999999999969E-2</v>
      </c>
      <c r="AL65" s="168">
        <f t="shared" si="14"/>
        <v>3.4999999999999969E-2</v>
      </c>
      <c r="AM65" s="120">
        <v>2.5999999999999999E-2</v>
      </c>
      <c r="AN65" s="120">
        <f>0.00028/(1-99.2%)</f>
        <v>3.4999999999999969E-2</v>
      </c>
      <c r="AO65" s="120">
        <f>0.00028/(1-99.2%)</f>
        <v>3.4999999999999969E-2</v>
      </c>
      <c r="AP65" s="168">
        <f>0.00028/(1-99.2%)</f>
        <v>3.4999999999999969E-2</v>
      </c>
      <c r="AQ65" s="120">
        <v>8.4500000000000006E-2</v>
      </c>
      <c r="AR65" s="120">
        <v>8.4500000000000006E-2</v>
      </c>
      <c r="AS65" s="120">
        <v>8.4500000000000006E-2</v>
      </c>
      <c r="AT65" s="120">
        <v>8.4500000000000006E-2</v>
      </c>
      <c r="AU65" s="120">
        <v>3E-9</v>
      </c>
      <c r="AV65" s="120">
        <v>3E-9</v>
      </c>
      <c r="AW65" s="120">
        <v>3E-9</v>
      </c>
      <c r="AX65" s="120">
        <v>3E-9</v>
      </c>
      <c r="AY65" s="120">
        <v>3E-9</v>
      </c>
      <c r="AZ65" s="120">
        <v>3E-9</v>
      </c>
      <c r="BA65" s="120">
        <v>8.4500000000000006E-2</v>
      </c>
      <c r="BB65" s="120">
        <v>3E-9</v>
      </c>
      <c r="BC65" s="120">
        <v>3E-9</v>
      </c>
      <c r="BD65" s="120">
        <v>3E-9</v>
      </c>
      <c r="BE65" s="168">
        <v>3E-9</v>
      </c>
      <c r="BF65" s="120">
        <v>2.0999999999999999E-3</v>
      </c>
      <c r="BG65" s="120">
        <v>2.0999999999999999E-3</v>
      </c>
      <c r="BH65" s="120">
        <v>2.0999999999999999E-3</v>
      </c>
      <c r="BI65" s="120">
        <v>2.0999999999999999E-3</v>
      </c>
      <c r="BJ65" s="120">
        <v>2.0999999999999999E-3</v>
      </c>
      <c r="BK65" s="120">
        <v>2.0999999999999999E-3</v>
      </c>
      <c r="BL65" s="120">
        <v>2.0999999999999999E-3</v>
      </c>
      <c r="BM65" s="120">
        <v>2.0999999999999999E-3</v>
      </c>
      <c r="BN65" s="120">
        <v>2.0999999999999999E-3</v>
      </c>
      <c r="BO65" s="168">
        <v>2.0999999999999999E-3</v>
      </c>
      <c r="BP65" s="120">
        <v>2.0999999999999999E-3</v>
      </c>
      <c r="BQ65" s="120">
        <v>2.0999999999999999E-3</v>
      </c>
      <c r="BR65" s="120">
        <v>2.0999999999999999E-3</v>
      </c>
      <c r="BS65" s="120">
        <v>2.0999999999999999E-3</v>
      </c>
      <c r="BT65" s="167">
        <v>3.3000000000000003E-5</v>
      </c>
      <c r="BU65" s="120">
        <v>3.3000000000000003E-5</v>
      </c>
      <c r="BV65" s="120">
        <v>3.3000000000000003E-5</v>
      </c>
      <c r="BW65" s="120">
        <v>3.3000000000000003E-5</v>
      </c>
      <c r="BX65" s="120">
        <v>3.3000000000000003E-5</v>
      </c>
      <c r="BY65" s="120">
        <v>3.3000000000000003E-5</v>
      </c>
      <c r="BZ65" s="120">
        <v>3.3000000000000003E-5</v>
      </c>
      <c r="CA65" s="120">
        <v>3.3000000000000003E-5</v>
      </c>
      <c r="CB65" s="120">
        <v>3.3000000000000003E-5</v>
      </c>
      <c r="CC65" s="120">
        <v>3.3000000000000003E-5</v>
      </c>
      <c r="CD65" s="120">
        <v>3.3000000000000003E-5</v>
      </c>
      <c r="CE65" s="120">
        <v>3.3000000000000003E-5</v>
      </c>
      <c r="CF65" s="120">
        <v>3.3000000000000003E-5</v>
      </c>
      <c r="CG65" s="120">
        <v>3.3000000000000003E-5</v>
      </c>
      <c r="CH65" s="169">
        <v>3.3000000000000003E-5</v>
      </c>
    </row>
    <row r="66" spans="1:86">
      <c r="A66" s="166" t="s">
        <v>581</v>
      </c>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68"/>
      <c r="AM66" s="120"/>
      <c r="AN66" s="120"/>
      <c r="AO66" s="120"/>
      <c r="AP66" s="168"/>
      <c r="AQ66" s="120"/>
      <c r="AR66" s="120"/>
      <c r="AS66" s="120"/>
      <c r="AT66" s="120"/>
      <c r="AU66" s="120"/>
      <c r="AV66" s="120"/>
      <c r="AW66" s="120"/>
      <c r="AX66" s="120"/>
      <c r="AY66" s="120"/>
      <c r="AZ66" s="120"/>
      <c r="BA66" s="120"/>
      <c r="BB66" s="120"/>
      <c r="BC66" s="120"/>
      <c r="BD66" s="120"/>
      <c r="BE66" s="168"/>
      <c r="BF66" s="151"/>
      <c r="BG66" s="151"/>
      <c r="BH66" s="151"/>
      <c r="BI66" s="151"/>
      <c r="BJ66" s="151"/>
      <c r="BK66" s="151"/>
      <c r="BL66" s="151"/>
      <c r="BM66" s="151"/>
      <c r="BN66" s="151"/>
      <c r="BO66" s="158"/>
      <c r="BP66" s="151"/>
      <c r="BQ66" s="151"/>
      <c r="BR66" s="151"/>
      <c r="BS66" s="151"/>
      <c r="BT66" s="167">
        <v>5.1E-8</v>
      </c>
      <c r="BU66" s="120">
        <v>5.1E-8</v>
      </c>
      <c r="BV66" s="120">
        <v>5.1E-8</v>
      </c>
      <c r="BW66" s="120">
        <v>5.1E-8</v>
      </c>
      <c r="BX66" s="120">
        <v>5.1E-8</v>
      </c>
      <c r="BY66" s="120">
        <v>5.1E-8</v>
      </c>
      <c r="BZ66" s="120">
        <v>5.1E-8</v>
      </c>
      <c r="CA66" s="120">
        <v>5.1E-8</v>
      </c>
      <c r="CB66" s="120">
        <v>5.1E-8</v>
      </c>
      <c r="CC66" s="120">
        <v>5.1E-8</v>
      </c>
      <c r="CD66" s="120">
        <v>5.1E-8</v>
      </c>
      <c r="CE66" s="120">
        <v>5.1E-8</v>
      </c>
      <c r="CF66" s="120">
        <v>5.1E-8</v>
      </c>
      <c r="CG66" s="120">
        <v>5.1E-8</v>
      </c>
      <c r="CH66" s="169">
        <v>5.1E-8</v>
      </c>
    </row>
    <row r="67" spans="1:86">
      <c r="A67" s="166" t="s">
        <v>360</v>
      </c>
      <c r="B67" s="120">
        <v>1.5999999999999999E-5</v>
      </c>
      <c r="C67" s="120">
        <v>1.5999999999999999E-5</v>
      </c>
      <c r="D67" s="120">
        <v>1.5999999999999999E-5</v>
      </c>
      <c r="E67" s="120">
        <v>1.5999999999999999E-5</v>
      </c>
      <c r="F67" s="120">
        <v>1.5999999999999999E-5</v>
      </c>
      <c r="G67" s="120">
        <v>1.5999999999999999E-5</v>
      </c>
      <c r="H67" s="120">
        <v>1.5999999999999999E-5</v>
      </c>
      <c r="I67" s="120">
        <v>1.5999999999999999E-5</v>
      </c>
      <c r="J67" s="120">
        <v>1.5999999999999999E-5</v>
      </c>
      <c r="K67" s="120">
        <v>1.5999999999999999E-5</v>
      </c>
      <c r="L67" s="120">
        <v>1.5999999999999999E-5</v>
      </c>
      <c r="M67" s="120">
        <v>1.5999999999999999E-5</v>
      </c>
      <c r="N67" s="120">
        <v>1.5999999999999999E-5</v>
      </c>
      <c r="O67" s="120">
        <v>1.5999999999999999E-5</v>
      </c>
      <c r="P67" s="120">
        <v>1.5999999999999999E-5</v>
      </c>
      <c r="Q67" s="120">
        <v>1.5999999999999999E-5</v>
      </c>
      <c r="R67" s="120">
        <v>1.5999999999999999E-5</v>
      </c>
      <c r="S67" s="120">
        <v>1.5999999999999999E-5</v>
      </c>
      <c r="T67" s="120">
        <v>1.5999999999999999E-5</v>
      </c>
      <c r="U67" s="120">
        <v>1.5999999999999999E-5</v>
      </c>
      <c r="V67" s="120">
        <v>1.5999999999999999E-5</v>
      </c>
      <c r="W67" s="120">
        <v>1.5999999999999999E-5</v>
      </c>
      <c r="X67" s="120">
        <v>1.5999999999999999E-5</v>
      </c>
      <c r="Y67" s="120">
        <v>1.5999999999999999E-5</v>
      </c>
      <c r="Z67" s="120">
        <v>1.5999999999999999E-5</v>
      </c>
      <c r="AA67" s="120">
        <v>1.5999999999999999E-5</v>
      </c>
      <c r="AB67" s="120">
        <v>1.5999999999999999E-5</v>
      </c>
      <c r="AC67" s="120">
        <v>1.5999999999999999E-5</v>
      </c>
      <c r="AD67" s="120">
        <v>1.5999999999999999E-5</v>
      </c>
      <c r="AE67" s="120">
        <v>1.5999999999999999E-5</v>
      </c>
      <c r="AF67" s="120">
        <v>1.5999999999999999E-5</v>
      </c>
      <c r="AG67" s="120">
        <v>1.5999999999999999E-5</v>
      </c>
      <c r="AH67" s="120">
        <v>1.5999999999999999E-5</v>
      </c>
      <c r="AI67" s="120">
        <v>1.5999999999999999E-5</v>
      </c>
      <c r="AJ67" s="120">
        <v>1.5999999999999999E-5</v>
      </c>
      <c r="AK67" s="120">
        <v>1.5999999999999999E-5</v>
      </c>
      <c r="AL67" s="168">
        <v>1.5999999999999999E-5</v>
      </c>
      <c r="AM67" s="120">
        <v>1.5999999999999999E-5</v>
      </c>
      <c r="AN67" s="120">
        <v>1.5999999999999999E-5</v>
      </c>
      <c r="AO67" s="120">
        <v>1.5999999999999999E-5</v>
      </c>
      <c r="AP67" s="168">
        <v>1.5999999999999999E-5</v>
      </c>
      <c r="AQ67" s="120"/>
      <c r="AR67" s="120"/>
      <c r="AS67" s="120"/>
      <c r="AT67" s="120"/>
      <c r="AU67" s="120"/>
      <c r="AV67" s="120"/>
      <c r="AW67" s="120"/>
      <c r="AX67" s="120"/>
      <c r="AY67" s="120"/>
      <c r="AZ67" s="120"/>
      <c r="BA67" s="120"/>
      <c r="BB67" s="120"/>
      <c r="BC67" s="120"/>
      <c r="BD67" s="120"/>
      <c r="BE67" s="168"/>
      <c r="BF67" s="151"/>
      <c r="BG67" s="151"/>
      <c r="BH67" s="151"/>
      <c r="BI67" s="151"/>
      <c r="BJ67" s="151"/>
      <c r="BK67" s="151"/>
      <c r="BL67" s="151"/>
      <c r="BM67" s="151"/>
      <c r="BN67" s="151"/>
      <c r="BO67" s="158"/>
      <c r="BP67" s="151"/>
      <c r="BQ67" s="151"/>
      <c r="BR67" s="151"/>
      <c r="BS67" s="151"/>
      <c r="BT67" s="167">
        <v>5.1E-5</v>
      </c>
      <c r="BU67" s="120">
        <v>5.1E-5</v>
      </c>
      <c r="BV67" s="120">
        <v>5.1E-5</v>
      </c>
      <c r="BW67" s="120">
        <v>5.1E-5</v>
      </c>
      <c r="BX67" s="120">
        <v>5.1E-5</v>
      </c>
      <c r="BY67" s="120">
        <v>5.1E-5</v>
      </c>
      <c r="BZ67" s="120">
        <v>5.1E-5</v>
      </c>
      <c r="CA67" s="120">
        <v>5.1E-5</v>
      </c>
      <c r="CB67" s="120">
        <v>5.1E-5</v>
      </c>
      <c r="CC67" s="120">
        <v>5.1E-5</v>
      </c>
      <c r="CD67" s="120">
        <v>5.1E-5</v>
      </c>
      <c r="CE67" s="120">
        <v>5.1E-5</v>
      </c>
      <c r="CF67" s="120">
        <v>5.1E-5</v>
      </c>
      <c r="CG67" s="120">
        <v>5.1E-5</v>
      </c>
      <c r="CH67" s="169">
        <v>5.1E-5</v>
      </c>
    </row>
    <row r="68" spans="1:86">
      <c r="A68" s="166" t="s">
        <v>582</v>
      </c>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68"/>
      <c r="AM68" s="120"/>
      <c r="AN68" s="120"/>
      <c r="AO68" s="120"/>
      <c r="AP68" s="168"/>
      <c r="AQ68" s="120">
        <v>9.4599999999999997E-3</v>
      </c>
      <c r="AR68" s="120">
        <v>9.4599999999999997E-3</v>
      </c>
      <c r="AS68" s="120">
        <v>9.4599999999999997E-3</v>
      </c>
      <c r="AT68" s="120">
        <v>9.4599999999999997E-3</v>
      </c>
      <c r="AU68" s="120"/>
      <c r="AV68" s="120"/>
      <c r="AW68" s="120"/>
      <c r="AX68" s="120"/>
      <c r="AY68" s="120"/>
      <c r="AZ68" s="120"/>
      <c r="BA68" s="120">
        <v>9.4599999999999997E-3</v>
      </c>
      <c r="BB68" s="120"/>
      <c r="BC68" s="120"/>
      <c r="BD68" s="120"/>
      <c r="BE68" s="168"/>
      <c r="BF68" s="151"/>
      <c r="BG68" s="151"/>
      <c r="BH68" s="151"/>
      <c r="BI68" s="151"/>
      <c r="BJ68" s="151"/>
      <c r="BK68" s="151"/>
      <c r="BL68" s="151"/>
      <c r="BM68" s="151"/>
      <c r="BN68" s="151"/>
      <c r="BO68" s="158"/>
      <c r="BP68" s="151"/>
      <c r="BQ68" s="151"/>
      <c r="BR68" s="151"/>
      <c r="BS68" s="151"/>
      <c r="BT68" s="167">
        <v>2.6999999999999999E-5</v>
      </c>
      <c r="BU68" s="120">
        <v>2.6999999999999999E-5</v>
      </c>
      <c r="BV68" s="120">
        <v>2.6999999999999999E-5</v>
      </c>
      <c r="BW68" s="120">
        <v>2.6999999999999999E-5</v>
      </c>
      <c r="BX68" s="120">
        <v>2.6999999999999999E-5</v>
      </c>
      <c r="BY68" s="120">
        <v>2.6999999999999999E-5</v>
      </c>
      <c r="BZ68" s="120">
        <v>2.6999999999999999E-5</v>
      </c>
      <c r="CA68" s="120">
        <v>2.6999999999999999E-5</v>
      </c>
      <c r="CB68" s="120">
        <v>2.6999999999999999E-5</v>
      </c>
      <c r="CC68" s="120">
        <v>2.6999999999999999E-5</v>
      </c>
      <c r="CD68" s="120">
        <v>2.6999999999999999E-5</v>
      </c>
      <c r="CE68" s="120">
        <v>2.6999999999999999E-5</v>
      </c>
      <c r="CF68" s="120">
        <v>2.6999999999999999E-5</v>
      </c>
      <c r="CG68" s="120">
        <v>2.6999999999999999E-5</v>
      </c>
      <c r="CH68" s="169">
        <v>2.6999999999999999E-5</v>
      </c>
    </row>
    <row r="69" spans="1:86">
      <c r="A69" s="166" t="s">
        <v>102</v>
      </c>
      <c r="B69" s="120">
        <f>2.08*1000</f>
        <v>2080</v>
      </c>
      <c r="C69" s="120">
        <f>2.08*1000</f>
        <v>2080</v>
      </c>
      <c r="D69" s="120">
        <f>2.08*1000</f>
        <v>2080</v>
      </c>
      <c r="E69" s="120">
        <f>2.08*1000</f>
        <v>2080</v>
      </c>
      <c r="F69" s="120">
        <f>2.08*1000</f>
        <v>2080</v>
      </c>
      <c r="G69" s="120">
        <f t="shared" ref="G69:BR69" si="15">G104</f>
        <v>2.0757999999999997E-5</v>
      </c>
      <c r="H69" s="120">
        <f t="shared" si="15"/>
        <v>2.0757999999999997E-5</v>
      </c>
      <c r="I69" s="120">
        <f>2.4*1000</f>
        <v>2400</v>
      </c>
      <c r="J69" s="120">
        <f>2.4*1000</f>
        <v>2400</v>
      </c>
      <c r="K69" s="120">
        <f>2.4*1000</f>
        <v>2400</v>
      </c>
      <c r="L69" s="120">
        <f>2.4*1000</f>
        <v>2400</v>
      </c>
      <c r="M69" s="120">
        <f>2.4*1000</f>
        <v>2400</v>
      </c>
      <c r="N69" s="120">
        <f t="shared" si="15"/>
        <v>2.0757999999999997E-5</v>
      </c>
      <c r="O69" s="120">
        <f t="shared" si="15"/>
        <v>2.0757999999999997E-5</v>
      </c>
      <c r="P69" s="120">
        <f t="shared" si="15"/>
        <v>2.0757999999999997E-5</v>
      </c>
      <c r="Q69" s="120">
        <f t="shared" si="15"/>
        <v>2.0757999999999997E-5</v>
      </c>
      <c r="R69" s="120">
        <f t="shared" si="15"/>
        <v>2.0757999999999997E-5</v>
      </c>
      <c r="S69" s="120">
        <f t="shared" si="15"/>
        <v>2.0757999999999997E-5</v>
      </c>
      <c r="T69" s="120">
        <f t="shared" si="15"/>
        <v>2.0757999999999997E-5</v>
      </c>
      <c r="U69" s="120">
        <f t="shared" si="15"/>
        <v>2.0757999999999997E-5</v>
      </c>
      <c r="V69" s="120">
        <f t="shared" si="15"/>
        <v>2.0757999999999997E-5</v>
      </c>
      <c r="W69" s="120">
        <f t="shared" si="15"/>
        <v>2.0757999999999997E-5</v>
      </c>
      <c r="X69" s="120">
        <f t="shared" si="15"/>
        <v>2.0757999999999997E-5</v>
      </c>
      <c r="Y69" s="120">
        <f t="shared" si="15"/>
        <v>2.0757999999999997E-5</v>
      </c>
      <c r="Z69" s="120">
        <f t="shared" si="15"/>
        <v>2.0757999999999997E-5</v>
      </c>
      <c r="AA69" s="120">
        <f t="shared" si="15"/>
        <v>2.0757999999999997E-5</v>
      </c>
      <c r="AB69" s="120">
        <f t="shared" si="15"/>
        <v>2.0757999999999997E-5</v>
      </c>
      <c r="AC69" s="120">
        <f t="shared" si="15"/>
        <v>2.0757999999999997E-5</v>
      </c>
      <c r="AD69" s="120">
        <f t="shared" si="15"/>
        <v>2.0757999999999997E-5</v>
      </c>
      <c r="AE69" s="120">
        <f t="shared" si="15"/>
        <v>2.0757999999999997E-5</v>
      </c>
      <c r="AF69" s="120">
        <f t="shared" si="15"/>
        <v>2.0757999999999997E-5</v>
      </c>
      <c r="AG69" s="120">
        <f t="shared" si="15"/>
        <v>2.0757999999999997E-5</v>
      </c>
      <c r="AH69" s="120">
        <f t="shared" si="15"/>
        <v>2.0757999999999997E-5</v>
      </c>
      <c r="AI69" s="120">
        <f t="shared" si="15"/>
        <v>2.0757999999999997E-5</v>
      </c>
      <c r="AJ69" s="120">
        <f t="shared" si="15"/>
        <v>2.0757999999999997E-5</v>
      </c>
      <c r="AK69" s="120">
        <f t="shared" si="15"/>
        <v>2.0757999999999997E-5</v>
      </c>
      <c r="AL69" s="168">
        <f t="shared" si="15"/>
        <v>2.0757999999999997E-5</v>
      </c>
      <c r="AM69" s="120">
        <f t="shared" si="15"/>
        <v>0.16180335800000001</v>
      </c>
      <c r="AN69" s="120">
        <f t="shared" si="15"/>
        <v>3.1816357999999996E-2</v>
      </c>
      <c r="AO69" s="120">
        <f t="shared" si="15"/>
        <v>3.1816357999999996E-2</v>
      </c>
      <c r="AP69" s="168">
        <f t="shared" si="15"/>
        <v>1.1109220000000001E-3</v>
      </c>
      <c r="AQ69" s="120">
        <f t="shared" si="15"/>
        <v>1.2999999999999999E-3</v>
      </c>
      <c r="AR69" s="120">
        <f t="shared" si="15"/>
        <v>1.2999999999999999E-3</v>
      </c>
      <c r="AS69" s="120">
        <f t="shared" si="15"/>
        <v>1.2999999999999999E-3</v>
      </c>
      <c r="AT69" s="120">
        <f t="shared" si="15"/>
        <v>1.2999999999999999E-3</v>
      </c>
      <c r="AU69" s="120">
        <f t="shared" si="15"/>
        <v>1.1905760999999999E-3</v>
      </c>
      <c r="AV69" s="120">
        <f t="shared" si="15"/>
        <v>1.1905760999999999E-3</v>
      </c>
      <c r="AW69" s="120">
        <f t="shared" si="15"/>
        <v>1.1905760999999999E-3</v>
      </c>
      <c r="AX69" s="120">
        <f t="shared" si="15"/>
        <v>1.1905760999999999E-3</v>
      </c>
      <c r="AY69" s="120">
        <v>3.3E-3</v>
      </c>
      <c r="AZ69" s="120">
        <v>3.3E-3</v>
      </c>
      <c r="BA69" s="120">
        <f t="shared" si="15"/>
        <v>1.2999999999999999E-3</v>
      </c>
      <c r="BB69" s="120">
        <f t="shared" si="15"/>
        <v>1.1905760999999999E-3</v>
      </c>
      <c r="BC69" s="120">
        <f t="shared" si="15"/>
        <v>1.1905760999999999E-3</v>
      </c>
      <c r="BD69" s="120">
        <f t="shared" si="15"/>
        <v>3.3E-3</v>
      </c>
      <c r="BE69" s="168">
        <f t="shared" si="15"/>
        <v>1.1905760999999999E-3</v>
      </c>
      <c r="BF69" s="120">
        <f t="shared" si="15"/>
        <v>6.9819999999999995E-4</v>
      </c>
      <c r="BG69" s="120">
        <f t="shared" si="15"/>
        <v>6.9819999999999995E-4</v>
      </c>
      <c r="BH69" s="120">
        <f t="shared" si="15"/>
        <v>6.9819999999999995E-4</v>
      </c>
      <c r="BI69" s="120">
        <f t="shared" si="15"/>
        <v>6.9819999999999995E-4</v>
      </c>
      <c r="BJ69" s="120">
        <f t="shared" si="15"/>
        <v>6.9819999999999995E-4</v>
      </c>
      <c r="BK69" s="120">
        <f t="shared" si="15"/>
        <v>6.9819999999999995E-4</v>
      </c>
      <c r="BL69" s="120">
        <f t="shared" si="15"/>
        <v>6.9819999999999995E-4</v>
      </c>
      <c r="BM69" s="120">
        <f t="shared" si="15"/>
        <v>6.9819999999999995E-4</v>
      </c>
      <c r="BN69" s="120">
        <f t="shared" si="15"/>
        <v>6.9819999999999995E-4</v>
      </c>
      <c r="BO69" s="168">
        <f t="shared" si="15"/>
        <v>6.9819999999999995E-4</v>
      </c>
      <c r="BP69" s="120">
        <f t="shared" si="15"/>
        <v>6.9819999999999995E-4</v>
      </c>
      <c r="BQ69" s="120">
        <f t="shared" si="15"/>
        <v>6.9819999999999995E-4</v>
      </c>
      <c r="BR69" s="120">
        <f t="shared" si="15"/>
        <v>6.9819999999999995E-4</v>
      </c>
      <c r="BS69" s="168">
        <f t="shared" ref="BS69:CH69" si="16">BS104</f>
        <v>6.9819999999999995E-4</v>
      </c>
      <c r="BT69" s="120">
        <f t="shared" si="16"/>
        <v>1.2664069260000002E-4</v>
      </c>
      <c r="BU69" s="120">
        <f t="shared" si="16"/>
        <v>1.2664069260000002E-4</v>
      </c>
      <c r="BV69" s="120">
        <f t="shared" si="16"/>
        <v>1.2664069260000002E-4</v>
      </c>
      <c r="BW69" s="120">
        <f t="shared" si="16"/>
        <v>1.2664069260000002E-4</v>
      </c>
      <c r="BX69" s="120">
        <f t="shared" si="16"/>
        <v>1.2664069260000002E-4</v>
      </c>
      <c r="BY69" s="120">
        <f t="shared" si="16"/>
        <v>1.2664069260000002E-4</v>
      </c>
      <c r="BZ69" s="120">
        <f t="shared" si="16"/>
        <v>1.2664069260000002E-4</v>
      </c>
      <c r="CA69" s="120">
        <f t="shared" si="16"/>
        <v>1.2664069260000002E-4</v>
      </c>
      <c r="CB69" s="120">
        <f t="shared" si="16"/>
        <v>1.2664069260000002E-4</v>
      </c>
      <c r="CC69" s="120">
        <f t="shared" si="16"/>
        <v>1.2664069260000002E-4</v>
      </c>
      <c r="CD69" s="120">
        <f t="shared" si="16"/>
        <v>1.2664069260000002E-4</v>
      </c>
      <c r="CE69" s="120">
        <f t="shared" si="16"/>
        <v>1.2664069260000002E-4</v>
      </c>
      <c r="CF69" s="120">
        <f t="shared" si="16"/>
        <v>1.2664069260000002E-4</v>
      </c>
      <c r="CG69" s="120">
        <f t="shared" si="16"/>
        <v>1.2664069260000002E-4</v>
      </c>
      <c r="CH69" s="169">
        <f t="shared" si="16"/>
        <v>1.2664069260000002E-4</v>
      </c>
    </row>
    <row r="70" spans="1:86">
      <c r="A70" s="166" t="s">
        <v>583</v>
      </c>
      <c r="B70" s="120">
        <v>3.8000000000000002E-4</v>
      </c>
      <c r="C70" s="120">
        <v>3.8000000000000002E-4</v>
      </c>
      <c r="D70" s="120">
        <v>3.8000000000000002E-4</v>
      </c>
      <c r="E70" s="120">
        <v>3.8000000000000002E-4</v>
      </c>
      <c r="F70" s="120">
        <v>3.8000000000000002E-4</v>
      </c>
      <c r="G70" s="120">
        <v>3.8000000000000002E-4</v>
      </c>
      <c r="H70" s="120">
        <v>3.8000000000000002E-4</v>
      </c>
      <c r="I70" s="120">
        <v>3.8000000000000002E-4</v>
      </c>
      <c r="J70" s="120">
        <v>3.8000000000000002E-4</v>
      </c>
      <c r="K70" s="120">
        <v>3.8000000000000002E-4</v>
      </c>
      <c r="L70" s="120">
        <v>3.8000000000000002E-4</v>
      </c>
      <c r="M70" s="120">
        <v>3.8000000000000002E-4</v>
      </c>
      <c r="N70" s="120">
        <v>3.8000000000000002E-4</v>
      </c>
      <c r="O70" s="120">
        <v>3.8000000000000002E-4</v>
      </c>
      <c r="P70" s="120">
        <v>3.8000000000000002E-4</v>
      </c>
      <c r="Q70" s="120">
        <v>3.8000000000000002E-4</v>
      </c>
      <c r="R70" s="120">
        <v>3.8000000000000002E-4</v>
      </c>
      <c r="S70" s="120">
        <v>3.8000000000000002E-4</v>
      </c>
      <c r="T70" s="120">
        <v>3.8000000000000002E-4</v>
      </c>
      <c r="U70" s="120">
        <v>3.8000000000000002E-4</v>
      </c>
      <c r="V70" s="120">
        <v>3.8000000000000002E-4</v>
      </c>
      <c r="W70" s="120">
        <v>3.8000000000000002E-4</v>
      </c>
      <c r="X70" s="120">
        <v>3.8000000000000002E-4</v>
      </c>
      <c r="Y70" s="120">
        <v>3.8000000000000002E-4</v>
      </c>
      <c r="Z70" s="120">
        <v>3.8000000000000002E-4</v>
      </c>
      <c r="AA70" s="120">
        <v>3.8000000000000002E-4</v>
      </c>
      <c r="AB70" s="120">
        <v>3.8000000000000002E-4</v>
      </c>
      <c r="AC70" s="120">
        <v>3.8000000000000002E-4</v>
      </c>
      <c r="AD70" s="120">
        <v>3.8000000000000002E-4</v>
      </c>
      <c r="AE70" s="120">
        <v>3.8000000000000002E-4</v>
      </c>
      <c r="AF70" s="120">
        <v>3.8000000000000002E-4</v>
      </c>
      <c r="AG70" s="120">
        <v>3.8000000000000002E-4</v>
      </c>
      <c r="AH70" s="120">
        <v>3.8000000000000002E-4</v>
      </c>
      <c r="AI70" s="120">
        <v>3.8000000000000002E-4</v>
      </c>
      <c r="AJ70" s="120">
        <v>3.8000000000000002E-4</v>
      </c>
      <c r="AK70" s="120">
        <v>3.8000000000000002E-4</v>
      </c>
      <c r="AL70" s="168">
        <v>3.8000000000000002E-4</v>
      </c>
      <c r="AM70" s="120">
        <v>3.8000000000000002E-4</v>
      </c>
      <c r="AN70" s="120">
        <v>3.8000000000000002E-4</v>
      </c>
      <c r="AO70" s="120">
        <v>3.8000000000000002E-4</v>
      </c>
      <c r="AP70" s="168">
        <v>3.8000000000000002E-4</v>
      </c>
      <c r="AQ70" s="120"/>
      <c r="AR70" s="120"/>
      <c r="AS70" s="120"/>
      <c r="AT70" s="120"/>
      <c r="AU70" s="120"/>
      <c r="AV70" s="120"/>
      <c r="AW70" s="120"/>
      <c r="AX70" s="120"/>
      <c r="AY70" s="120"/>
      <c r="AZ70" s="120"/>
      <c r="BA70" s="120"/>
      <c r="BB70" s="120"/>
      <c r="BC70" s="120"/>
      <c r="BD70" s="120"/>
      <c r="BE70" s="168"/>
      <c r="BF70" s="151"/>
      <c r="BG70" s="151"/>
      <c r="BH70" s="151"/>
      <c r="BI70" s="151"/>
      <c r="BJ70" s="151"/>
      <c r="BK70" s="151"/>
      <c r="BL70" s="151"/>
      <c r="BM70" s="151"/>
      <c r="BN70" s="151"/>
      <c r="BO70" s="158"/>
      <c r="BP70" s="151"/>
      <c r="BQ70" s="151"/>
      <c r="BR70" s="151"/>
      <c r="BS70" s="151"/>
      <c r="BT70" s="167">
        <v>3.1999999999999999E-5</v>
      </c>
      <c r="BU70" s="120">
        <v>3.1999999999999999E-5</v>
      </c>
      <c r="BV70" s="120">
        <v>3.1999999999999999E-5</v>
      </c>
      <c r="BW70" s="120">
        <v>3.1999999999999999E-5</v>
      </c>
      <c r="BX70" s="120">
        <v>3.1999999999999999E-5</v>
      </c>
      <c r="BY70" s="120">
        <v>3.1999999999999999E-5</v>
      </c>
      <c r="BZ70" s="120">
        <v>3.1999999999999999E-5</v>
      </c>
      <c r="CA70" s="120">
        <v>3.1999999999999999E-5</v>
      </c>
      <c r="CB70" s="120">
        <v>3.1999999999999999E-5</v>
      </c>
      <c r="CC70" s="120">
        <v>3.1999999999999999E-5</v>
      </c>
      <c r="CD70" s="120">
        <v>3.1999999999999999E-5</v>
      </c>
      <c r="CE70" s="120">
        <v>3.1999999999999999E-5</v>
      </c>
      <c r="CF70" s="120">
        <v>3.1999999999999999E-5</v>
      </c>
      <c r="CG70" s="120">
        <v>3.1999999999999999E-5</v>
      </c>
      <c r="CH70" s="169">
        <v>3.1999999999999999E-5</v>
      </c>
    </row>
    <row r="71" spans="1:86">
      <c r="A71" s="166" t="s">
        <v>103</v>
      </c>
      <c r="B71" s="120">
        <v>1.2999999999999999E-3</v>
      </c>
      <c r="C71" s="120">
        <v>1.2999999999999999E-3</v>
      </c>
      <c r="D71" s="120">
        <v>1.2999999999999999E-3</v>
      </c>
      <c r="E71" s="120">
        <v>1.2999999999999999E-3</v>
      </c>
      <c r="F71" s="120">
        <v>1.2999999999999999E-3</v>
      </c>
      <c r="G71" s="120">
        <v>1.2999999999999999E-3</v>
      </c>
      <c r="H71" s="120">
        <v>1.2999999999999999E-3</v>
      </c>
      <c r="I71" s="120">
        <v>1.2999999999999999E-3</v>
      </c>
      <c r="J71" s="120">
        <v>1.2999999999999999E-3</v>
      </c>
      <c r="K71" s="120">
        <v>1.2999999999999999E-3</v>
      </c>
      <c r="L71" s="120">
        <v>1.2999999999999999E-3</v>
      </c>
      <c r="M71" s="120">
        <v>1.2999999999999999E-3</v>
      </c>
      <c r="N71" s="120">
        <v>1.2999999999999999E-3</v>
      </c>
      <c r="O71" s="120">
        <v>1.2999999999999999E-3</v>
      </c>
      <c r="P71" s="120">
        <v>1.2999999999999999E-3</v>
      </c>
      <c r="Q71" s="120">
        <v>1.2999999999999999E-3</v>
      </c>
      <c r="R71" s="120">
        <v>1.2999999999999999E-3</v>
      </c>
      <c r="S71" s="120">
        <v>1.2999999999999999E-3</v>
      </c>
      <c r="T71" s="120">
        <v>1.2999999999999999E-3</v>
      </c>
      <c r="U71" s="120">
        <v>1.2999999999999999E-3</v>
      </c>
      <c r="V71" s="120">
        <v>1.2999999999999999E-3</v>
      </c>
      <c r="W71" s="120">
        <v>1.2999999999999999E-3</v>
      </c>
      <c r="X71" s="120">
        <v>1.2999999999999999E-3</v>
      </c>
      <c r="Y71" s="120">
        <v>1.2999999999999999E-3</v>
      </c>
      <c r="Z71" s="120">
        <v>1.2999999999999999E-3</v>
      </c>
      <c r="AA71" s="120">
        <v>1.2999999999999999E-3</v>
      </c>
      <c r="AB71" s="120">
        <v>1.2999999999999999E-3</v>
      </c>
      <c r="AC71" s="120">
        <v>1.2999999999999999E-3</v>
      </c>
      <c r="AD71" s="120">
        <v>1.2999999999999999E-3</v>
      </c>
      <c r="AE71" s="120">
        <v>1.2999999999999999E-3</v>
      </c>
      <c r="AF71" s="120">
        <v>1.2999999999999999E-3</v>
      </c>
      <c r="AG71" s="120">
        <v>1.2999999999999999E-3</v>
      </c>
      <c r="AH71" s="120">
        <v>1.2999999999999999E-3</v>
      </c>
      <c r="AI71" s="120">
        <v>1.2999999999999999E-3</v>
      </c>
      <c r="AJ71" s="120">
        <v>1.2999999999999999E-3</v>
      </c>
      <c r="AK71" s="120">
        <v>1.2999999999999999E-3</v>
      </c>
      <c r="AL71" s="168">
        <v>1.2999999999999999E-3</v>
      </c>
      <c r="AM71" s="120">
        <v>1.2999999999999999E-3</v>
      </c>
      <c r="AN71" s="120">
        <v>1.2999999999999999E-3</v>
      </c>
      <c r="AO71" s="120">
        <v>1.2999999999999999E-3</v>
      </c>
      <c r="AP71" s="168">
        <v>1.2999999999999999E-3</v>
      </c>
      <c r="AQ71" s="120">
        <v>6.8300000000000001E-4</v>
      </c>
      <c r="AR71" s="120">
        <v>6.8300000000000001E-4</v>
      </c>
      <c r="AS71" s="120">
        <v>6.8300000000000001E-4</v>
      </c>
      <c r="AT71" s="120">
        <v>6.8300000000000001E-4</v>
      </c>
      <c r="AU71" s="120">
        <v>1.4999999999999999E-8</v>
      </c>
      <c r="AV71" s="120">
        <v>1.4999999999999999E-8</v>
      </c>
      <c r="AW71" s="120">
        <v>1.4999999999999999E-8</v>
      </c>
      <c r="AX71" s="120">
        <v>1.4999999999999999E-8</v>
      </c>
      <c r="AY71" s="120">
        <v>1.4999999999999999E-8</v>
      </c>
      <c r="AZ71" s="120">
        <v>1.4999999999999999E-8</v>
      </c>
      <c r="BA71" s="120">
        <v>6.8300000000000001E-4</v>
      </c>
      <c r="BB71" s="120">
        <v>1.4999999999999999E-8</v>
      </c>
      <c r="BC71" s="120">
        <v>1.4999999999999999E-8</v>
      </c>
      <c r="BD71" s="120">
        <v>1.4999999999999999E-8</v>
      </c>
      <c r="BE71" s="168">
        <v>1.4999999999999999E-8</v>
      </c>
      <c r="BF71" s="120">
        <v>2.4000000000000001E-5</v>
      </c>
      <c r="BG71" s="120">
        <v>2.4000000000000001E-5</v>
      </c>
      <c r="BH71" s="120">
        <v>2.4000000000000001E-5</v>
      </c>
      <c r="BI71" s="120">
        <v>2.4000000000000001E-5</v>
      </c>
      <c r="BJ71" s="120">
        <v>2.4000000000000001E-5</v>
      </c>
      <c r="BK71" s="120">
        <v>2.4000000000000001E-5</v>
      </c>
      <c r="BL71" s="120">
        <v>2.4000000000000001E-5</v>
      </c>
      <c r="BM71" s="120">
        <v>2.4000000000000001E-5</v>
      </c>
      <c r="BN71" s="120">
        <v>2.4000000000000001E-5</v>
      </c>
      <c r="BO71" s="168">
        <v>2.4000000000000001E-5</v>
      </c>
      <c r="BP71" s="120">
        <v>2.4000000000000001E-5</v>
      </c>
      <c r="BQ71" s="120">
        <v>2.4000000000000001E-5</v>
      </c>
      <c r="BR71" s="120">
        <v>2.4000000000000001E-5</v>
      </c>
      <c r="BS71" s="120">
        <v>2.4000000000000001E-5</v>
      </c>
      <c r="BT71" s="167">
        <v>2.7999999999999999E-6</v>
      </c>
      <c r="BU71" s="120">
        <v>2.7999999999999999E-6</v>
      </c>
      <c r="BV71" s="120">
        <v>2.7999999999999999E-6</v>
      </c>
      <c r="BW71" s="120">
        <v>2.7999999999999999E-6</v>
      </c>
      <c r="BX71" s="120">
        <v>2.7999999999999999E-6</v>
      </c>
      <c r="BY71" s="120">
        <v>2.7999999999999999E-6</v>
      </c>
      <c r="BZ71" s="120">
        <v>2.7999999999999999E-6</v>
      </c>
      <c r="CA71" s="120">
        <v>2.7999999999999999E-6</v>
      </c>
      <c r="CB71" s="120">
        <v>2.7999999999999999E-6</v>
      </c>
      <c r="CC71" s="120">
        <v>2.7999999999999999E-6</v>
      </c>
      <c r="CD71" s="120">
        <v>2.7999999999999999E-6</v>
      </c>
      <c r="CE71" s="120">
        <v>2.7999999999999999E-6</v>
      </c>
      <c r="CF71" s="120">
        <v>2.7999999999999999E-6</v>
      </c>
      <c r="CG71" s="120">
        <v>2.7999999999999999E-6</v>
      </c>
      <c r="CH71" s="169">
        <v>2.7999999999999999E-6</v>
      </c>
    </row>
    <row r="72" spans="1:86">
      <c r="A72" s="166" t="s">
        <v>584</v>
      </c>
      <c r="B72" s="120">
        <v>2.5000000000000001E-5</v>
      </c>
      <c r="C72" s="120">
        <v>2.5000000000000001E-5</v>
      </c>
      <c r="D72" s="120">
        <v>2.5000000000000001E-5</v>
      </c>
      <c r="E72" s="120">
        <v>2.5000000000000001E-5</v>
      </c>
      <c r="F72" s="120">
        <v>2.5000000000000001E-5</v>
      </c>
      <c r="G72" s="120">
        <v>2.5000000000000001E-5</v>
      </c>
      <c r="H72" s="120">
        <v>2.5000000000000001E-5</v>
      </c>
      <c r="I72" s="120">
        <v>2.5000000000000001E-5</v>
      </c>
      <c r="J72" s="120">
        <v>2.5000000000000001E-5</v>
      </c>
      <c r="K72" s="120">
        <v>2.5000000000000001E-5</v>
      </c>
      <c r="L72" s="120">
        <v>2.5000000000000001E-5</v>
      </c>
      <c r="M72" s="120">
        <v>2.5000000000000001E-5</v>
      </c>
      <c r="N72" s="120">
        <v>2.5000000000000001E-5</v>
      </c>
      <c r="O72" s="120">
        <v>2.5000000000000001E-5</v>
      </c>
      <c r="P72" s="120">
        <v>2.5000000000000001E-5</v>
      </c>
      <c r="Q72" s="120">
        <v>2.5000000000000001E-5</v>
      </c>
      <c r="R72" s="120">
        <v>2.5000000000000001E-5</v>
      </c>
      <c r="S72" s="120">
        <v>2.5000000000000001E-5</v>
      </c>
      <c r="T72" s="120">
        <v>2.5000000000000001E-5</v>
      </c>
      <c r="U72" s="120">
        <v>2.5000000000000001E-5</v>
      </c>
      <c r="V72" s="120">
        <v>2.5000000000000001E-5</v>
      </c>
      <c r="W72" s="120">
        <v>2.5000000000000001E-5</v>
      </c>
      <c r="X72" s="120">
        <v>2.5000000000000001E-5</v>
      </c>
      <c r="Y72" s="120">
        <v>2.5000000000000001E-5</v>
      </c>
      <c r="Z72" s="120">
        <v>2.5000000000000001E-5</v>
      </c>
      <c r="AA72" s="120">
        <v>2.5000000000000001E-5</v>
      </c>
      <c r="AB72" s="120">
        <v>2.5000000000000001E-5</v>
      </c>
      <c r="AC72" s="120">
        <v>2.5000000000000001E-5</v>
      </c>
      <c r="AD72" s="120">
        <v>2.5000000000000001E-5</v>
      </c>
      <c r="AE72" s="120">
        <v>2.5000000000000001E-5</v>
      </c>
      <c r="AF72" s="120">
        <v>2.5000000000000001E-5</v>
      </c>
      <c r="AG72" s="120">
        <v>2.5000000000000001E-5</v>
      </c>
      <c r="AH72" s="120">
        <v>2.5000000000000001E-5</v>
      </c>
      <c r="AI72" s="120">
        <v>2.5000000000000001E-5</v>
      </c>
      <c r="AJ72" s="120">
        <v>2.5000000000000001E-5</v>
      </c>
      <c r="AK72" s="120">
        <v>2.5000000000000001E-5</v>
      </c>
      <c r="AL72" s="168">
        <v>2.5000000000000001E-5</v>
      </c>
      <c r="AM72" s="120">
        <v>2.5000000000000001E-5</v>
      </c>
      <c r="AN72" s="120">
        <v>2.5000000000000001E-5</v>
      </c>
      <c r="AO72" s="120">
        <v>2.5000000000000001E-5</v>
      </c>
      <c r="AP72" s="168">
        <v>2.5000000000000001E-5</v>
      </c>
      <c r="AQ72" s="120"/>
      <c r="AR72" s="120"/>
      <c r="AS72" s="120"/>
      <c r="AT72" s="120"/>
      <c r="AU72" s="120"/>
      <c r="AV72" s="120"/>
      <c r="AW72" s="120"/>
      <c r="AX72" s="120"/>
      <c r="AY72" s="120"/>
      <c r="AZ72" s="120"/>
      <c r="BA72" s="120"/>
      <c r="BB72" s="120"/>
      <c r="BC72" s="120"/>
      <c r="BD72" s="120"/>
      <c r="BE72" s="168"/>
      <c r="BF72" s="151"/>
      <c r="BG72" s="151"/>
      <c r="BH72" s="151"/>
      <c r="BI72" s="151"/>
      <c r="BJ72" s="151"/>
      <c r="BK72" s="151"/>
      <c r="BL72" s="151"/>
      <c r="BM72" s="151"/>
      <c r="BN72" s="151"/>
      <c r="BO72" s="158"/>
      <c r="BP72" s="151"/>
      <c r="BQ72" s="151"/>
      <c r="BR72" s="151"/>
      <c r="BS72" s="151"/>
      <c r="BT72" s="167">
        <v>1.9E-3</v>
      </c>
      <c r="BU72" s="120">
        <v>1.9E-3</v>
      </c>
      <c r="BV72" s="120">
        <v>1.9E-3</v>
      </c>
      <c r="BW72" s="120">
        <v>1.9E-3</v>
      </c>
      <c r="BX72" s="120">
        <v>1.9E-3</v>
      </c>
      <c r="BY72" s="120">
        <v>1.9E-3</v>
      </c>
      <c r="BZ72" s="120">
        <v>1.9E-3</v>
      </c>
      <c r="CA72" s="120">
        <v>1.9E-3</v>
      </c>
      <c r="CB72" s="120">
        <v>1.9E-3</v>
      </c>
      <c r="CC72" s="120">
        <v>1.9E-3</v>
      </c>
      <c r="CD72" s="120">
        <v>1.9E-3</v>
      </c>
      <c r="CE72" s="120">
        <v>1.9E-3</v>
      </c>
      <c r="CF72" s="120">
        <v>1.9E-3</v>
      </c>
      <c r="CG72" s="120">
        <v>1.9E-3</v>
      </c>
      <c r="CH72" s="169">
        <v>1.9E-3</v>
      </c>
    </row>
    <row r="73" spans="1:86">
      <c r="A73" s="166" t="s">
        <v>585</v>
      </c>
      <c r="B73" s="120">
        <v>4.3000000000000002E-5</v>
      </c>
      <c r="C73" s="120">
        <v>4.3000000000000002E-5</v>
      </c>
      <c r="D73" s="120">
        <v>4.3000000000000002E-5</v>
      </c>
      <c r="E73" s="120">
        <v>4.3000000000000002E-5</v>
      </c>
      <c r="F73" s="120">
        <v>4.3000000000000002E-5</v>
      </c>
      <c r="G73" s="120">
        <v>4.3000000000000002E-5</v>
      </c>
      <c r="H73" s="120">
        <v>4.3000000000000002E-5</v>
      </c>
      <c r="I73" s="120">
        <v>4.3000000000000002E-5</v>
      </c>
      <c r="J73" s="120">
        <v>4.3000000000000002E-5</v>
      </c>
      <c r="K73" s="120">
        <v>4.3000000000000002E-5</v>
      </c>
      <c r="L73" s="120">
        <v>4.3000000000000002E-5</v>
      </c>
      <c r="M73" s="120">
        <v>4.3000000000000002E-5</v>
      </c>
      <c r="N73" s="120">
        <v>4.3000000000000002E-5</v>
      </c>
      <c r="O73" s="120">
        <v>4.3000000000000002E-5</v>
      </c>
      <c r="P73" s="120">
        <v>4.3000000000000002E-5</v>
      </c>
      <c r="Q73" s="120">
        <v>4.3000000000000002E-5</v>
      </c>
      <c r="R73" s="120">
        <v>4.3000000000000002E-5</v>
      </c>
      <c r="S73" s="120">
        <v>4.3000000000000002E-5</v>
      </c>
      <c r="T73" s="120">
        <v>4.3000000000000002E-5</v>
      </c>
      <c r="U73" s="120">
        <v>4.3000000000000002E-5</v>
      </c>
      <c r="V73" s="120">
        <v>4.3000000000000002E-5</v>
      </c>
      <c r="W73" s="120">
        <v>4.3000000000000002E-5</v>
      </c>
      <c r="X73" s="120">
        <v>4.3000000000000002E-5</v>
      </c>
      <c r="Y73" s="120">
        <v>4.3000000000000002E-5</v>
      </c>
      <c r="Z73" s="120">
        <v>4.3000000000000002E-5</v>
      </c>
      <c r="AA73" s="120">
        <v>4.3000000000000002E-5</v>
      </c>
      <c r="AB73" s="120">
        <v>4.3000000000000002E-5</v>
      </c>
      <c r="AC73" s="120">
        <v>4.3000000000000002E-5</v>
      </c>
      <c r="AD73" s="120">
        <v>4.3000000000000002E-5</v>
      </c>
      <c r="AE73" s="120">
        <v>4.3000000000000002E-5</v>
      </c>
      <c r="AF73" s="120">
        <v>4.3000000000000002E-5</v>
      </c>
      <c r="AG73" s="120">
        <v>4.3000000000000002E-5</v>
      </c>
      <c r="AH73" s="120">
        <v>4.3000000000000002E-5</v>
      </c>
      <c r="AI73" s="120">
        <v>4.3000000000000002E-5</v>
      </c>
      <c r="AJ73" s="120">
        <v>4.3000000000000002E-5</v>
      </c>
      <c r="AK73" s="120">
        <v>4.3000000000000002E-5</v>
      </c>
      <c r="AL73" s="168">
        <v>4.3000000000000002E-5</v>
      </c>
      <c r="AM73" s="120">
        <v>4.3000000000000002E-5</v>
      </c>
      <c r="AN73" s="120">
        <v>4.3000000000000002E-5</v>
      </c>
      <c r="AO73" s="120">
        <v>4.3000000000000002E-5</v>
      </c>
      <c r="AP73" s="168">
        <v>4.3000000000000002E-5</v>
      </c>
      <c r="AQ73" s="120"/>
      <c r="AR73" s="120"/>
      <c r="AS73" s="120"/>
      <c r="AT73" s="120"/>
      <c r="AU73" s="120"/>
      <c r="AV73" s="120"/>
      <c r="AW73" s="120"/>
      <c r="AX73" s="120"/>
      <c r="AY73" s="120"/>
      <c r="AZ73" s="120"/>
      <c r="BA73" s="120"/>
      <c r="BB73" s="120"/>
      <c r="BC73" s="120"/>
      <c r="BD73" s="120"/>
      <c r="BE73" s="168"/>
      <c r="BF73" s="151"/>
      <c r="BG73" s="151"/>
      <c r="BH73" s="151"/>
      <c r="BI73" s="151"/>
      <c r="BJ73" s="151"/>
      <c r="BK73" s="151"/>
      <c r="BL73" s="151"/>
      <c r="BM73" s="151"/>
      <c r="BN73" s="151"/>
      <c r="BO73" s="158"/>
      <c r="BP73" s="151"/>
      <c r="BQ73" s="151"/>
      <c r="BR73" s="151"/>
      <c r="BS73" s="151"/>
      <c r="BT73" s="167"/>
      <c r="BU73" s="120"/>
      <c r="BV73" s="120"/>
      <c r="BW73" s="120"/>
      <c r="BX73" s="120"/>
      <c r="BY73" s="120"/>
      <c r="BZ73" s="120"/>
      <c r="CA73" s="120"/>
      <c r="CB73" s="120"/>
      <c r="CC73" s="120"/>
      <c r="CD73" s="120"/>
      <c r="CE73" s="120"/>
      <c r="CF73" s="120"/>
      <c r="CG73" s="120"/>
      <c r="CH73" s="169"/>
    </row>
    <row r="74" spans="1:86">
      <c r="A74" s="166" t="s">
        <v>104</v>
      </c>
      <c r="B74" s="120">
        <v>2.4000000000000001E-4</v>
      </c>
      <c r="C74" s="120">
        <v>2.4000000000000001E-4</v>
      </c>
      <c r="D74" s="120">
        <v>2.4000000000000001E-4</v>
      </c>
      <c r="E74" s="120">
        <v>2.4000000000000001E-4</v>
      </c>
      <c r="F74" s="120">
        <v>2.4000000000000001E-4</v>
      </c>
      <c r="G74" s="120">
        <v>2.4000000000000001E-4</v>
      </c>
      <c r="H74" s="120">
        <v>2.4000000000000001E-4</v>
      </c>
      <c r="I74" s="120">
        <v>2.4000000000000001E-4</v>
      </c>
      <c r="J74" s="120">
        <v>2.4000000000000001E-4</v>
      </c>
      <c r="K74" s="120">
        <v>2.4000000000000001E-4</v>
      </c>
      <c r="L74" s="120">
        <v>2.4000000000000001E-4</v>
      </c>
      <c r="M74" s="120">
        <v>2.4000000000000001E-4</v>
      </c>
      <c r="N74" s="120">
        <v>2.4000000000000001E-4</v>
      </c>
      <c r="O74" s="120">
        <v>2.4000000000000001E-4</v>
      </c>
      <c r="P74" s="120">
        <v>2.4000000000000001E-4</v>
      </c>
      <c r="Q74" s="120">
        <v>2.4000000000000001E-4</v>
      </c>
      <c r="R74" s="120">
        <v>2.4000000000000001E-4</v>
      </c>
      <c r="S74" s="120">
        <v>2.4000000000000001E-4</v>
      </c>
      <c r="T74" s="120">
        <v>2.4000000000000001E-4</v>
      </c>
      <c r="U74" s="120">
        <v>2.4000000000000001E-4</v>
      </c>
      <c r="V74" s="120">
        <v>2.4000000000000001E-4</v>
      </c>
      <c r="W74" s="120">
        <v>2.4000000000000001E-4</v>
      </c>
      <c r="X74" s="120">
        <v>2.4000000000000001E-4</v>
      </c>
      <c r="Y74" s="120">
        <v>2.4000000000000001E-4</v>
      </c>
      <c r="Z74" s="120">
        <v>2.4000000000000001E-4</v>
      </c>
      <c r="AA74" s="120">
        <v>2.4000000000000001E-4</v>
      </c>
      <c r="AB74" s="120">
        <v>2.4000000000000001E-4</v>
      </c>
      <c r="AC74" s="120">
        <v>2.4000000000000001E-4</v>
      </c>
      <c r="AD74" s="120">
        <v>2.4000000000000001E-4</v>
      </c>
      <c r="AE74" s="120">
        <v>2.4000000000000001E-4</v>
      </c>
      <c r="AF74" s="120">
        <v>2.4000000000000001E-4</v>
      </c>
      <c r="AG74" s="120">
        <v>2.4000000000000001E-4</v>
      </c>
      <c r="AH74" s="120">
        <v>2.4000000000000001E-4</v>
      </c>
      <c r="AI74" s="120">
        <v>2.4000000000000001E-4</v>
      </c>
      <c r="AJ74" s="120">
        <v>2.4000000000000001E-4</v>
      </c>
      <c r="AK74" s="120">
        <v>2.4000000000000001E-4</v>
      </c>
      <c r="AL74" s="168">
        <v>2.4000000000000001E-4</v>
      </c>
      <c r="AM74" s="120">
        <v>2.4000000000000001E-4</v>
      </c>
      <c r="AN74" s="120">
        <v>2.4000000000000001E-4</v>
      </c>
      <c r="AO74" s="120">
        <v>2.4000000000000001E-4</v>
      </c>
      <c r="AP74" s="168">
        <v>2.4000000000000001E-4</v>
      </c>
      <c r="AQ74" s="120">
        <v>6.1999999999999998E-3</v>
      </c>
      <c r="AR74" s="120">
        <v>6.1999999999999998E-3</v>
      </c>
      <c r="AS74" s="120">
        <v>6.1999999999999998E-3</v>
      </c>
      <c r="AT74" s="120">
        <v>6.1999999999999998E-3</v>
      </c>
      <c r="AU74" s="120">
        <v>6.1999999999999998E-3</v>
      </c>
      <c r="AV74" s="120">
        <v>6.1999999999999998E-3</v>
      </c>
      <c r="AW74" s="120">
        <v>6.1999999999999998E-3</v>
      </c>
      <c r="AX74" s="120">
        <v>6.1999999999999998E-3</v>
      </c>
      <c r="AY74" s="120">
        <v>6.1999999999999998E-3</v>
      </c>
      <c r="AZ74" s="120">
        <v>6.1999999999999998E-3</v>
      </c>
      <c r="BA74" s="120">
        <v>6.1999999999999998E-3</v>
      </c>
      <c r="BB74" s="120">
        <v>6.1999999999999998E-3</v>
      </c>
      <c r="BC74" s="120">
        <v>6.1999999999999998E-3</v>
      </c>
      <c r="BD74" s="120">
        <v>6.1999999999999998E-3</v>
      </c>
      <c r="BE74" s="168">
        <v>6.1999999999999998E-3</v>
      </c>
      <c r="BF74" s="120">
        <v>3.3999999999999998E-3</v>
      </c>
      <c r="BG74" s="120">
        <v>3.3999999999999998E-3</v>
      </c>
      <c r="BH74" s="120">
        <v>3.3999999999999998E-3</v>
      </c>
      <c r="BI74" s="120">
        <v>3.3999999999999998E-3</v>
      </c>
      <c r="BJ74" s="120">
        <v>3.3999999999999998E-3</v>
      </c>
      <c r="BK74" s="120">
        <v>3.3999999999999998E-3</v>
      </c>
      <c r="BL74" s="120">
        <v>3.3999999999999998E-3</v>
      </c>
      <c r="BM74" s="120">
        <v>3.3999999999999998E-3</v>
      </c>
      <c r="BN74" s="120">
        <v>3.3999999999999998E-3</v>
      </c>
      <c r="BO74" s="168">
        <v>3.3999999999999998E-3</v>
      </c>
      <c r="BP74" s="120">
        <v>3.3999999999999998E-3</v>
      </c>
      <c r="BQ74" s="120">
        <v>3.3999999999999998E-3</v>
      </c>
      <c r="BR74" s="120">
        <v>3.3999999999999998E-3</v>
      </c>
      <c r="BS74" s="120">
        <v>3.3999999999999998E-3</v>
      </c>
      <c r="BT74" s="167">
        <v>9.2000000000000003E-4</v>
      </c>
      <c r="BU74" s="120">
        <v>9.2000000000000003E-4</v>
      </c>
      <c r="BV74" s="120">
        <v>9.2000000000000003E-4</v>
      </c>
      <c r="BW74" s="120">
        <v>9.2000000000000003E-4</v>
      </c>
      <c r="BX74" s="120">
        <v>9.2000000000000003E-4</v>
      </c>
      <c r="BY74" s="120">
        <v>9.2000000000000003E-4</v>
      </c>
      <c r="BZ74" s="120">
        <v>9.2000000000000003E-4</v>
      </c>
      <c r="CA74" s="120">
        <v>9.2000000000000003E-4</v>
      </c>
      <c r="CB74" s="120">
        <v>9.2000000000000003E-4</v>
      </c>
      <c r="CC74" s="120">
        <v>9.2000000000000003E-4</v>
      </c>
      <c r="CD74" s="120">
        <v>9.2000000000000003E-4</v>
      </c>
      <c r="CE74" s="120">
        <v>9.2000000000000003E-4</v>
      </c>
      <c r="CF74" s="120">
        <v>9.2000000000000003E-4</v>
      </c>
      <c r="CG74" s="120">
        <v>9.2000000000000003E-4</v>
      </c>
      <c r="CH74" s="169">
        <v>9.2000000000000003E-4</v>
      </c>
    </row>
    <row r="75" spans="1:86">
      <c r="A75" s="166" t="s">
        <v>586</v>
      </c>
      <c r="B75" s="120">
        <v>7.6000000000000001E-6</v>
      </c>
      <c r="C75" s="120">
        <v>7.6000000000000001E-6</v>
      </c>
      <c r="D75" s="120">
        <v>7.6000000000000001E-6</v>
      </c>
      <c r="E75" s="120">
        <v>7.6000000000000001E-6</v>
      </c>
      <c r="F75" s="120">
        <v>7.6000000000000001E-6</v>
      </c>
      <c r="G75" s="120">
        <v>7.6000000000000001E-6</v>
      </c>
      <c r="H75" s="120">
        <v>7.6000000000000001E-6</v>
      </c>
      <c r="I75" s="120">
        <v>7.6000000000000001E-6</v>
      </c>
      <c r="J75" s="120">
        <v>7.6000000000000001E-6</v>
      </c>
      <c r="K75" s="120">
        <v>7.6000000000000001E-6</v>
      </c>
      <c r="L75" s="120">
        <v>7.6000000000000001E-6</v>
      </c>
      <c r="M75" s="120">
        <v>7.6000000000000001E-6</v>
      </c>
      <c r="N75" s="120">
        <v>7.6000000000000001E-6</v>
      </c>
      <c r="O75" s="120">
        <v>7.6000000000000001E-6</v>
      </c>
      <c r="P75" s="120">
        <v>7.6000000000000001E-6</v>
      </c>
      <c r="Q75" s="120">
        <v>7.6000000000000001E-6</v>
      </c>
      <c r="R75" s="120">
        <v>7.6000000000000001E-6</v>
      </c>
      <c r="S75" s="120">
        <v>7.6000000000000001E-6</v>
      </c>
      <c r="T75" s="120">
        <v>7.6000000000000001E-6</v>
      </c>
      <c r="U75" s="120">
        <v>7.6000000000000001E-6</v>
      </c>
      <c r="V75" s="120">
        <v>7.6000000000000001E-6</v>
      </c>
      <c r="W75" s="120">
        <v>7.6000000000000001E-6</v>
      </c>
      <c r="X75" s="120">
        <v>7.6000000000000001E-6</v>
      </c>
      <c r="Y75" s="120">
        <v>7.6000000000000001E-6</v>
      </c>
      <c r="Z75" s="120">
        <v>7.6000000000000001E-6</v>
      </c>
      <c r="AA75" s="120">
        <v>7.6000000000000001E-6</v>
      </c>
      <c r="AB75" s="120">
        <v>7.6000000000000001E-6</v>
      </c>
      <c r="AC75" s="120">
        <v>7.6000000000000001E-6</v>
      </c>
      <c r="AD75" s="120">
        <v>7.6000000000000001E-6</v>
      </c>
      <c r="AE75" s="120">
        <v>7.6000000000000001E-6</v>
      </c>
      <c r="AF75" s="120">
        <v>7.6000000000000001E-6</v>
      </c>
      <c r="AG75" s="120">
        <v>7.6000000000000001E-6</v>
      </c>
      <c r="AH75" s="120">
        <v>7.6000000000000001E-6</v>
      </c>
      <c r="AI75" s="120">
        <v>7.6000000000000001E-6</v>
      </c>
      <c r="AJ75" s="120">
        <v>7.6000000000000001E-6</v>
      </c>
      <c r="AK75" s="120">
        <v>7.6000000000000001E-6</v>
      </c>
      <c r="AL75" s="168">
        <v>7.6000000000000001E-6</v>
      </c>
      <c r="AM75" s="120">
        <v>7.6000000000000001E-6</v>
      </c>
      <c r="AN75" s="120">
        <v>7.6000000000000001E-6</v>
      </c>
      <c r="AO75" s="120">
        <v>7.6000000000000001E-6</v>
      </c>
      <c r="AP75" s="168">
        <v>7.6000000000000001E-6</v>
      </c>
      <c r="AQ75" s="120"/>
      <c r="AR75" s="120"/>
      <c r="AS75" s="120"/>
      <c r="AT75" s="120"/>
      <c r="AU75" s="120"/>
      <c r="AV75" s="120"/>
      <c r="AW75" s="120"/>
      <c r="AX75" s="120"/>
      <c r="AY75" s="120"/>
      <c r="AZ75" s="120"/>
      <c r="BA75" s="120"/>
      <c r="BB75" s="120"/>
      <c r="BC75" s="120"/>
      <c r="BD75" s="120"/>
      <c r="BE75" s="168"/>
      <c r="BF75" s="151"/>
      <c r="BG75" s="151"/>
      <c r="BH75" s="151"/>
      <c r="BI75" s="151"/>
      <c r="BJ75" s="151"/>
      <c r="BK75" s="151"/>
      <c r="BL75" s="151"/>
      <c r="BM75" s="151"/>
      <c r="BN75" s="151"/>
      <c r="BO75" s="158"/>
      <c r="BP75" s="151"/>
      <c r="BQ75" s="151"/>
      <c r="BR75" s="151"/>
      <c r="BS75" s="151"/>
      <c r="BT75" s="167"/>
      <c r="BU75" s="120"/>
      <c r="BV75" s="120"/>
      <c r="BW75" s="120"/>
      <c r="BX75" s="120"/>
      <c r="BY75" s="120"/>
      <c r="BZ75" s="120"/>
      <c r="CA75" s="120"/>
      <c r="CB75" s="120"/>
      <c r="CC75" s="120"/>
      <c r="CD75" s="120"/>
      <c r="CE75" s="120"/>
      <c r="CF75" s="120"/>
      <c r="CG75" s="120"/>
      <c r="CH75" s="169"/>
    </row>
    <row r="76" spans="1:86">
      <c r="A76" s="166" t="s">
        <v>587</v>
      </c>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68"/>
      <c r="AM76" s="120"/>
      <c r="AN76" s="120"/>
      <c r="AO76" s="120"/>
      <c r="AP76" s="168"/>
      <c r="AQ76" s="120"/>
      <c r="AR76" s="120"/>
      <c r="AS76" s="120"/>
      <c r="AT76" s="120"/>
      <c r="AU76" s="120"/>
      <c r="AV76" s="120"/>
      <c r="AW76" s="120"/>
      <c r="AX76" s="120"/>
      <c r="AY76" s="120"/>
      <c r="AZ76" s="120"/>
      <c r="BA76" s="120"/>
      <c r="BB76" s="120"/>
      <c r="BC76" s="120"/>
      <c r="BD76" s="120"/>
      <c r="BE76" s="168"/>
      <c r="BF76" s="151"/>
      <c r="BG76" s="151"/>
      <c r="BH76" s="151"/>
      <c r="BI76" s="151"/>
      <c r="BJ76" s="151"/>
      <c r="BK76" s="151"/>
      <c r="BL76" s="151"/>
      <c r="BM76" s="151"/>
      <c r="BN76" s="151"/>
      <c r="BO76" s="158"/>
      <c r="BP76" s="151"/>
      <c r="BQ76" s="151"/>
      <c r="BR76" s="151"/>
      <c r="BS76" s="151"/>
      <c r="BT76" s="167">
        <v>1.8E-5</v>
      </c>
      <c r="BU76" s="120">
        <v>1.8E-5</v>
      </c>
      <c r="BV76" s="120">
        <v>1.8E-5</v>
      </c>
      <c r="BW76" s="120">
        <v>1.8E-5</v>
      </c>
      <c r="BX76" s="120">
        <v>1.8E-5</v>
      </c>
      <c r="BY76" s="120">
        <v>1.8E-5</v>
      </c>
      <c r="BZ76" s="120">
        <v>1.8E-5</v>
      </c>
      <c r="CA76" s="120">
        <v>1.8E-5</v>
      </c>
      <c r="CB76" s="120">
        <v>1.8E-5</v>
      </c>
      <c r="CC76" s="120">
        <v>1.8E-5</v>
      </c>
      <c r="CD76" s="120">
        <v>1.8E-5</v>
      </c>
      <c r="CE76" s="120">
        <v>1.8E-5</v>
      </c>
      <c r="CF76" s="120">
        <v>1.8E-5</v>
      </c>
      <c r="CG76" s="120">
        <v>1.8E-5</v>
      </c>
      <c r="CH76" s="169">
        <v>1.8E-5</v>
      </c>
    </row>
    <row r="77" spans="1:86">
      <c r="A77" s="166" t="s">
        <v>588</v>
      </c>
      <c r="B77" s="120">
        <v>3.6999999999999998E-5</v>
      </c>
      <c r="C77" s="120">
        <v>3.6999999999999998E-5</v>
      </c>
      <c r="D77" s="120">
        <v>3.6999999999999998E-5</v>
      </c>
      <c r="E77" s="120">
        <v>3.6999999999999998E-5</v>
      </c>
      <c r="F77" s="120">
        <v>3.6999999999999998E-5</v>
      </c>
      <c r="G77" s="120">
        <v>3.6999999999999998E-5</v>
      </c>
      <c r="H77" s="120">
        <v>3.6999999999999998E-5</v>
      </c>
      <c r="I77" s="120">
        <v>3.6999999999999998E-5</v>
      </c>
      <c r="J77" s="120">
        <v>3.6999999999999998E-5</v>
      </c>
      <c r="K77" s="120">
        <v>3.6999999999999998E-5</v>
      </c>
      <c r="L77" s="120">
        <v>3.6999999999999998E-5</v>
      </c>
      <c r="M77" s="120">
        <v>3.6999999999999998E-5</v>
      </c>
      <c r="N77" s="120">
        <v>3.6999999999999998E-5</v>
      </c>
      <c r="O77" s="120">
        <v>3.6999999999999998E-5</v>
      </c>
      <c r="P77" s="120">
        <v>3.6999999999999998E-5</v>
      </c>
      <c r="Q77" s="120">
        <v>3.6999999999999998E-5</v>
      </c>
      <c r="R77" s="120">
        <v>3.6999999999999998E-5</v>
      </c>
      <c r="S77" s="120">
        <v>3.6999999999999998E-5</v>
      </c>
      <c r="T77" s="120">
        <v>3.6999999999999998E-5</v>
      </c>
      <c r="U77" s="120">
        <v>3.6999999999999998E-5</v>
      </c>
      <c r="V77" s="120">
        <v>3.6999999999999998E-5</v>
      </c>
      <c r="W77" s="120">
        <v>3.6999999999999998E-5</v>
      </c>
      <c r="X77" s="120">
        <v>3.6999999999999998E-5</v>
      </c>
      <c r="Y77" s="120">
        <v>3.6999999999999998E-5</v>
      </c>
      <c r="Z77" s="120">
        <v>3.6999999999999998E-5</v>
      </c>
      <c r="AA77" s="120">
        <v>3.6999999999999998E-5</v>
      </c>
      <c r="AB77" s="120">
        <v>3.6999999999999998E-5</v>
      </c>
      <c r="AC77" s="120">
        <v>3.6999999999999998E-5</v>
      </c>
      <c r="AD77" s="120">
        <v>3.6999999999999998E-5</v>
      </c>
      <c r="AE77" s="120">
        <v>3.6999999999999998E-5</v>
      </c>
      <c r="AF77" s="120">
        <v>3.6999999999999998E-5</v>
      </c>
      <c r="AG77" s="120">
        <v>3.6999999999999998E-5</v>
      </c>
      <c r="AH77" s="120">
        <v>3.6999999999999998E-5</v>
      </c>
      <c r="AI77" s="120">
        <v>3.6999999999999998E-5</v>
      </c>
      <c r="AJ77" s="120">
        <v>3.6999999999999998E-5</v>
      </c>
      <c r="AK77" s="120">
        <v>3.6999999999999998E-5</v>
      </c>
      <c r="AL77" s="168">
        <v>3.6999999999999998E-5</v>
      </c>
      <c r="AM77" s="120">
        <v>3.6999999999999998E-5</v>
      </c>
      <c r="AN77" s="120">
        <v>3.6999999999999998E-5</v>
      </c>
      <c r="AO77" s="120">
        <v>3.6999999999999998E-5</v>
      </c>
      <c r="AP77" s="168">
        <v>3.6999999999999998E-5</v>
      </c>
      <c r="AQ77" s="120">
        <v>1.0900000000000001E-4</v>
      </c>
      <c r="AR77" s="120">
        <v>1.0900000000000001E-4</v>
      </c>
      <c r="AS77" s="120">
        <v>1.0900000000000001E-4</v>
      </c>
      <c r="AT77" s="120">
        <v>1.0900000000000001E-4</v>
      </c>
      <c r="AU77" s="120">
        <v>1.0900000000000001E-4</v>
      </c>
      <c r="AV77" s="120">
        <v>1.0900000000000001E-4</v>
      </c>
      <c r="AW77" s="120">
        <v>1.0900000000000001E-4</v>
      </c>
      <c r="AX77" s="120">
        <v>1.0900000000000001E-4</v>
      </c>
      <c r="AY77" s="120">
        <v>1.0900000000000001E-4</v>
      </c>
      <c r="AZ77" s="120">
        <v>1.0900000000000001E-4</v>
      </c>
      <c r="BA77" s="120">
        <v>1.0900000000000001E-4</v>
      </c>
      <c r="BB77" s="120">
        <v>1.0900000000000001E-4</v>
      </c>
      <c r="BC77" s="120">
        <v>1.0900000000000001E-4</v>
      </c>
      <c r="BD77" s="120">
        <v>1.0900000000000001E-4</v>
      </c>
      <c r="BE77" s="168">
        <v>1.0900000000000001E-4</v>
      </c>
      <c r="BF77" s="151"/>
      <c r="BG77" s="151"/>
      <c r="BH77" s="151"/>
      <c r="BI77" s="151"/>
      <c r="BJ77" s="151"/>
      <c r="BK77" s="151"/>
      <c r="BL77" s="151"/>
      <c r="BM77" s="151"/>
      <c r="BN77" s="151"/>
      <c r="BO77" s="158"/>
      <c r="BP77" s="151"/>
      <c r="BQ77" s="151"/>
      <c r="BR77" s="151"/>
      <c r="BS77" s="151"/>
      <c r="BT77" s="167">
        <v>2.5000000000000001E-5</v>
      </c>
      <c r="BU77" s="120">
        <v>2.5000000000000001E-5</v>
      </c>
      <c r="BV77" s="120">
        <v>2.5000000000000001E-5</v>
      </c>
      <c r="BW77" s="120">
        <v>2.5000000000000001E-5</v>
      </c>
      <c r="BX77" s="120">
        <v>2.5000000000000001E-5</v>
      </c>
      <c r="BY77" s="120">
        <v>2.5000000000000001E-5</v>
      </c>
      <c r="BZ77" s="120">
        <v>2.5000000000000001E-5</v>
      </c>
      <c r="CA77" s="120">
        <v>2.5000000000000001E-5</v>
      </c>
      <c r="CB77" s="120">
        <v>2.5000000000000001E-5</v>
      </c>
      <c r="CC77" s="120">
        <v>2.5000000000000001E-5</v>
      </c>
      <c r="CD77" s="120">
        <v>2.5000000000000001E-5</v>
      </c>
      <c r="CE77" s="120">
        <v>2.5000000000000001E-5</v>
      </c>
      <c r="CF77" s="120">
        <v>2.5000000000000001E-5</v>
      </c>
      <c r="CG77" s="120">
        <v>2.5000000000000001E-5</v>
      </c>
      <c r="CH77" s="169">
        <v>2.5000000000000001E-5</v>
      </c>
    </row>
    <row r="78" spans="1:86">
      <c r="A78" s="174" t="s">
        <v>589</v>
      </c>
      <c r="B78" s="151"/>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8"/>
      <c r="AM78" s="120"/>
      <c r="AN78" s="120"/>
      <c r="AO78" s="120"/>
      <c r="AP78" s="168"/>
      <c r="AQ78" s="151"/>
      <c r="AR78" s="151"/>
      <c r="AS78" s="151"/>
      <c r="AT78" s="151"/>
      <c r="AU78" s="151"/>
      <c r="AV78" s="151"/>
      <c r="AW78" s="151"/>
      <c r="AX78" s="151"/>
      <c r="AY78" s="151"/>
      <c r="AZ78" s="151"/>
      <c r="BA78" s="151"/>
      <c r="BB78" s="151"/>
      <c r="BC78" s="151"/>
      <c r="BD78" s="151"/>
      <c r="BE78" s="158"/>
      <c r="BF78" s="151"/>
      <c r="BG78" s="151"/>
      <c r="BH78" s="151"/>
      <c r="BI78" s="151"/>
      <c r="BJ78" s="151"/>
      <c r="BK78" s="151"/>
      <c r="BL78" s="151"/>
      <c r="BM78" s="151"/>
      <c r="BN78" s="151"/>
      <c r="BO78" s="158"/>
      <c r="BP78" s="151"/>
      <c r="BQ78" s="151"/>
      <c r="BR78" s="151"/>
      <c r="BS78" s="158"/>
      <c r="BT78" s="151"/>
      <c r="BU78" s="151"/>
      <c r="BV78" s="151"/>
      <c r="BW78" s="151"/>
      <c r="BX78" s="151"/>
      <c r="BY78" s="151"/>
      <c r="BZ78" s="151"/>
      <c r="CA78" s="151"/>
      <c r="CB78" s="151"/>
      <c r="CC78" s="151"/>
      <c r="CD78" s="151"/>
      <c r="CE78" s="151"/>
      <c r="CF78" s="151"/>
      <c r="CG78" s="151"/>
      <c r="CH78" s="161"/>
    </row>
    <row r="79" spans="1:86">
      <c r="A79" s="166" t="s">
        <v>407</v>
      </c>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68"/>
      <c r="AM79" s="120"/>
      <c r="AN79" s="120"/>
      <c r="AO79" s="120"/>
      <c r="AP79" s="168"/>
      <c r="AQ79" s="120"/>
      <c r="AR79" s="120"/>
      <c r="AS79" s="120"/>
      <c r="AT79" s="120"/>
      <c r="AU79" s="120"/>
      <c r="AV79" s="120"/>
      <c r="AW79" s="120"/>
      <c r="AX79" s="120"/>
      <c r="AY79" s="120"/>
      <c r="AZ79" s="120"/>
      <c r="BA79" s="120"/>
      <c r="BB79" s="120"/>
      <c r="BC79" s="120"/>
      <c r="BD79" s="120"/>
      <c r="BE79" s="168"/>
      <c r="BF79" s="120">
        <v>2.4000000000000001E-5</v>
      </c>
      <c r="BG79" s="120">
        <v>2.4000000000000001E-5</v>
      </c>
      <c r="BH79" s="120">
        <v>2.4000000000000001E-5</v>
      </c>
      <c r="BI79" s="120">
        <v>2.4000000000000001E-5</v>
      </c>
      <c r="BJ79" s="120">
        <v>2.4000000000000001E-5</v>
      </c>
      <c r="BK79" s="120">
        <v>2.4000000000000001E-5</v>
      </c>
      <c r="BL79" s="120">
        <v>2.4000000000000001E-5</v>
      </c>
      <c r="BM79" s="120">
        <v>2.4000000000000001E-5</v>
      </c>
      <c r="BN79" s="120">
        <v>2.4000000000000001E-5</v>
      </c>
      <c r="BO79" s="168">
        <v>2.4000000000000001E-5</v>
      </c>
      <c r="BP79" s="120">
        <v>2.4000000000000001E-5</v>
      </c>
      <c r="BQ79" s="120">
        <v>2.4000000000000001E-5</v>
      </c>
      <c r="BR79" s="120">
        <v>2.4000000000000001E-5</v>
      </c>
      <c r="BS79" s="120">
        <v>2.4000000000000001E-5</v>
      </c>
      <c r="BT79" s="167">
        <v>1.6E-7</v>
      </c>
      <c r="BU79" s="120">
        <v>1.6E-7</v>
      </c>
      <c r="BV79" s="120">
        <v>1.6E-7</v>
      </c>
      <c r="BW79" s="120">
        <v>1.6E-7</v>
      </c>
      <c r="BX79" s="120">
        <v>1.6E-7</v>
      </c>
      <c r="BY79" s="120">
        <v>1.6E-7</v>
      </c>
      <c r="BZ79" s="120">
        <v>1.6E-7</v>
      </c>
      <c r="CA79" s="120">
        <v>1.6E-7</v>
      </c>
      <c r="CB79" s="120">
        <v>1.6E-7</v>
      </c>
      <c r="CC79" s="120">
        <v>1.6E-7</v>
      </c>
      <c r="CD79" s="120">
        <v>1.6E-7</v>
      </c>
      <c r="CE79" s="120">
        <v>1.6E-7</v>
      </c>
      <c r="CF79" s="120">
        <v>1.6E-7</v>
      </c>
      <c r="CG79" s="120">
        <v>1.6E-7</v>
      </c>
      <c r="CH79" s="169">
        <v>1.6E-7</v>
      </c>
    </row>
    <row r="80" spans="1:86">
      <c r="A80" s="166" t="s">
        <v>590</v>
      </c>
      <c r="B80" s="120">
        <v>2.1999999999999998E-8</v>
      </c>
      <c r="C80" s="120">
        <v>2.1999999999999998E-8</v>
      </c>
      <c r="D80" s="120">
        <v>2.1999999999999998E-8</v>
      </c>
      <c r="E80" s="120">
        <v>2.1999999999999998E-8</v>
      </c>
      <c r="F80" s="120">
        <v>2.1999999999999998E-8</v>
      </c>
      <c r="G80" s="120">
        <v>2.1999999999999998E-8</v>
      </c>
      <c r="H80" s="120">
        <v>2.1999999999999998E-8</v>
      </c>
      <c r="I80" s="120">
        <v>2.1999999999999998E-8</v>
      </c>
      <c r="J80" s="120">
        <v>2.1999999999999998E-8</v>
      </c>
      <c r="K80" s="120">
        <v>2.1999999999999998E-8</v>
      </c>
      <c r="L80" s="120">
        <v>2.1999999999999998E-8</v>
      </c>
      <c r="M80" s="120">
        <v>2.1999999999999998E-8</v>
      </c>
      <c r="N80" s="120">
        <v>2.1999999999999998E-8</v>
      </c>
      <c r="O80" s="120">
        <v>2.1999999999999998E-8</v>
      </c>
      <c r="P80" s="120">
        <v>2.1999999999999998E-8</v>
      </c>
      <c r="Q80" s="120">
        <v>2.1999999999999998E-8</v>
      </c>
      <c r="R80" s="120">
        <v>2.1999999999999998E-8</v>
      </c>
      <c r="S80" s="120">
        <v>2.1999999999999998E-8</v>
      </c>
      <c r="T80" s="120">
        <v>2.1999999999999998E-8</v>
      </c>
      <c r="U80" s="120">
        <v>2.1999999999999998E-8</v>
      </c>
      <c r="V80" s="120">
        <v>2.1999999999999998E-8</v>
      </c>
      <c r="W80" s="120">
        <v>2.1999999999999998E-8</v>
      </c>
      <c r="X80" s="120">
        <v>2.1999999999999998E-8</v>
      </c>
      <c r="Y80" s="120">
        <v>2.1999999999999998E-8</v>
      </c>
      <c r="Z80" s="120">
        <v>2.1999999999999998E-8</v>
      </c>
      <c r="AA80" s="120">
        <v>2.1999999999999998E-8</v>
      </c>
      <c r="AB80" s="120">
        <v>2.1999999999999998E-8</v>
      </c>
      <c r="AC80" s="120">
        <v>2.1999999999999998E-8</v>
      </c>
      <c r="AD80" s="120">
        <v>2.1999999999999998E-8</v>
      </c>
      <c r="AE80" s="120">
        <v>2.1999999999999998E-8</v>
      </c>
      <c r="AF80" s="120">
        <v>2.1999999999999998E-8</v>
      </c>
      <c r="AG80" s="120">
        <v>2.1999999999999998E-8</v>
      </c>
      <c r="AH80" s="120">
        <v>2.1999999999999998E-8</v>
      </c>
      <c r="AI80" s="120">
        <v>2.1999999999999998E-8</v>
      </c>
      <c r="AJ80" s="120">
        <v>2.1999999999999998E-8</v>
      </c>
      <c r="AK80" s="120">
        <v>2.1999999999999998E-8</v>
      </c>
      <c r="AL80" s="168">
        <v>2.1999999999999998E-8</v>
      </c>
      <c r="AM80" s="120">
        <v>2.1999999999999998E-8</v>
      </c>
      <c r="AN80" s="120">
        <v>2.1999999999999998E-8</v>
      </c>
      <c r="AO80" s="120">
        <v>2.1999999999999998E-8</v>
      </c>
      <c r="AP80" s="168">
        <v>2.1999999999999998E-8</v>
      </c>
      <c r="AQ80" s="120"/>
      <c r="AR80" s="120"/>
      <c r="AS80" s="120"/>
      <c r="AT80" s="120"/>
      <c r="AU80" s="120"/>
      <c r="AV80" s="120"/>
      <c r="AW80" s="120"/>
      <c r="AX80" s="120"/>
      <c r="AY80" s="120"/>
      <c r="AZ80" s="120"/>
      <c r="BA80" s="120"/>
      <c r="BB80" s="120"/>
      <c r="BC80" s="120"/>
      <c r="BD80" s="120"/>
      <c r="BE80" s="168"/>
      <c r="BF80" s="175">
        <v>1.7999999999999999E-6</v>
      </c>
      <c r="BG80" s="175">
        <v>1.7999999999999999E-6</v>
      </c>
      <c r="BH80" s="175">
        <v>1.7999999999999999E-6</v>
      </c>
      <c r="BI80" s="175">
        <v>1.7999999999999999E-6</v>
      </c>
      <c r="BJ80" s="175">
        <v>1.7999999999999999E-6</v>
      </c>
      <c r="BK80" s="175">
        <v>1.7999999999999999E-6</v>
      </c>
      <c r="BL80" s="175">
        <v>1.7999999999999999E-6</v>
      </c>
      <c r="BM80" s="175">
        <v>1.7999999999999999E-6</v>
      </c>
      <c r="BN80" s="175">
        <v>1.7999999999999999E-6</v>
      </c>
      <c r="BO80" s="176">
        <v>1.7999999999999999E-6</v>
      </c>
      <c r="BP80" s="175">
        <v>1.7999999999999999E-6</v>
      </c>
      <c r="BQ80" s="175">
        <v>1.7999999999999999E-6</v>
      </c>
      <c r="BR80" s="175">
        <v>1.7999999999999999E-6</v>
      </c>
      <c r="BS80" s="175">
        <v>1.7999999999999999E-6</v>
      </c>
      <c r="BT80" s="167"/>
      <c r="BU80" s="120"/>
      <c r="BV80" s="120"/>
      <c r="BW80" s="120"/>
      <c r="BX80" s="120"/>
      <c r="BY80" s="120"/>
      <c r="BZ80" s="120"/>
      <c r="CA80" s="120"/>
      <c r="CB80" s="120"/>
      <c r="CC80" s="120"/>
      <c r="CD80" s="120"/>
      <c r="CE80" s="120"/>
      <c r="CF80" s="120"/>
      <c r="CG80" s="120"/>
      <c r="CH80" s="169"/>
    </row>
    <row r="81" spans="1:192">
      <c r="A81" s="166" t="s">
        <v>591</v>
      </c>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68"/>
      <c r="AM81" s="120"/>
      <c r="AN81" s="120"/>
      <c r="AO81" s="120"/>
      <c r="AP81" s="168"/>
      <c r="AQ81" s="120"/>
      <c r="AR81" s="120"/>
      <c r="AS81" s="120"/>
      <c r="AT81" s="120"/>
      <c r="AU81" s="120"/>
      <c r="AV81" s="120"/>
      <c r="AW81" s="120"/>
      <c r="AX81" s="120"/>
      <c r="AY81" s="120"/>
      <c r="AZ81" s="120"/>
      <c r="BA81" s="120"/>
      <c r="BB81" s="120"/>
      <c r="BC81" s="120"/>
      <c r="BD81" s="120"/>
      <c r="BE81" s="168"/>
      <c r="BF81" s="120">
        <v>1.5999999999999999E-5</v>
      </c>
      <c r="BG81" s="120">
        <v>1.5999999999999999E-5</v>
      </c>
      <c r="BH81" s="120">
        <v>1.5999999999999999E-5</v>
      </c>
      <c r="BI81" s="120">
        <v>1.5999999999999999E-5</v>
      </c>
      <c r="BJ81" s="120">
        <v>1.5999999999999999E-5</v>
      </c>
      <c r="BK81" s="120">
        <v>1.5999999999999999E-5</v>
      </c>
      <c r="BL81" s="120">
        <v>1.5999999999999999E-5</v>
      </c>
      <c r="BM81" s="120">
        <v>1.5999999999999999E-5</v>
      </c>
      <c r="BN81" s="120">
        <v>1.5999999999999999E-5</v>
      </c>
      <c r="BO81" s="168">
        <v>1.5999999999999999E-5</v>
      </c>
      <c r="BP81" s="120">
        <v>1.5999999999999999E-5</v>
      </c>
      <c r="BQ81" s="120">
        <v>1.5999999999999999E-5</v>
      </c>
      <c r="BR81" s="120">
        <v>1.5999999999999999E-5</v>
      </c>
      <c r="BS81" s="120">
        <v>1.5999999999999999E-5</v>
      </c>
      <c r="BT81" s="167"/>
      <c r="BU81" s="120"/>
      <c r="BV81" s="120"/>
      <c r="BW81" s="120"/>
      <c r="BX81" s="120"/>
      <c r="BY81" s="120"/>
      <c r="BZ81" s="120"/>
      <c r="CA81" s="120"/>
      <c r="CB81" s="120"/>
      <c r="CC81" s="120"/>
      <c r="CD81" s="120"/>
      <c r="CE81" s="120"/>
      <c r="CF81" s="120"/>
      <c r="CG81" s="120"/>
      <c r="CH81" s="169"/>
    </row>
    <row r="82" spans="1:192">
      <c r="A82" s="166" t="s">
        <v>408</v>
      </c>
      <c r="B82" s="120">
        <v>5.0999999999999999E-7</v>
      </c>
      <c r="C82" s="120">
        <v>5.0999999999999999E-7</v>
      </c>
      <c r="D82" s="120">
        <v>5.0999999999999999E-7</v>
      </c>
      <c r="E82" s="120">
        <v>5.0999999999999999E-7</v>
      </c>
      <c r="F82" s="120">
        <v>5.0999999999999999E-7</v>
      </c>
      <c r="G82" s="120">
        <v>5.0999999999999999E-7</v>
      </c>
      <c r="H82" s="120">
        <v>5.0999999999999999E-7</v>
      </c>
      <c r="I82" s="120">
        <v>5.0999999999999999E-7</v>
      </c>
      <c r="J82" s="120">
        <v>5.0999999999999999E-7</v>
      </c>
      <c r="K82" s="120">
        <v>5.0999999999999999E-7</v>
      </c>
      <c r="L82" s="120">
        <v>5.0999999999999999E-7</v>
      </c>
      <c r="M82" s="120">
        <v>5.0999999999999999E-7</v>
      </c>
      <c r="N82" s="120">
        <v>5.0999999999999999E-7</v>
      </c>
      <c r="O82" s="120">
        <v>5.0999999999999999E-7</v>
      </c>
      <c r="P82" s="120">
        <v>5.0999999999999999E-7</v>
      </c>
      <c r="Q82" s="120">
        <v>5.0999999999999999E-7</v>
      </c>
      <c r="R82" s="120">
        <v>5.0999999999999999E-7</v>
      </c>
      <c r="S82" s="120">
        <v>5.0999999999999999E-7</v>
      </c>
      <c r="T82" s="120">
        <v>5.0999999999999999E-7</v>
      </c>
      <c r="U82" s="120">
        <v>5.0999999999999999E-7</v>
      </c>
      <c r="V82" s="120">
        <v>5.0999999999999999E-7</v>
      </c>
      <c r="W82" s="120">
        <v>5.0999999999999999E-7</v>
      </c>
      <c r="X82" s="120">
        <v>5.0999999999999999E-7</v>
      </c>
      <c r="Y82" s="120">
        <v>5.0999999999999999E-7</v>
      </c>
      <c r="Z82" s="120">
        <v>5.0999999999999999E-7</v>
      </c>
      <c r="AA82" s="120">
        <v>5.0999999999999999E-7</v>
      </c>
      <c r="AB82" s="120">
        <v>5.0999999999999999E-7</v>
      </c>
      <c r="AC82" s="120">
        <v>5.0999999999999999E-7</v>
      </c>
      <c r="AD82" s="120">
        <v>5.0999999999999999E-7</v>
      </c>
      <c r="AE82" s="120">
        <v>5.0999999999999999E-7</v>
      </c>
      <c r="AF82" s="120">
        <v>5.0999999999999999E-7</v>
      </c>
      <c r="AG82" s="120">
        <v>5.0999999999999999E-7</v>
      </c>
      <c r="AH82" s="120">
        <v>5.0999999999999999E-7</v>
      </c>
      <c r="AI82" s="120">
        <v>5.0999999999999999E-7</v>
      </c>
      <c r="AJ82" s="120">
        <v>5.0999999999999999E-7</v>
      </c>
      <c r="AK82" s="120">
        <v>5.0999999999999999E-7</v>
      </c>
      <c r="AL82" s="168">
        <v>5.0999999999999999E-7</v>
      </c>
      <c r="AM82" s="120">
        <v>5.0999999999999999E-7</v>
      </c>
      <c r="AN82" s="120">
        <v>5.0999999999999999E-7</v>
      </c>
      <c r="AO82" s="120">
        <v>5.0999999999999999E-7</v>
      </c>
      <c r="AP82" s="168">
        <v>2.1999999999999999E-5</v>
      </c>
      <c r="AQ82" s="120">
        <v>2.1100000000000001E-5</v>
      </c>
      <c r="AR82" s="120">
        <v>2.1100000000000001E-5</v>
      </c>
      <c r="AS82" s="120">
        <v>2.1100000000000001E-5</v>
      </c>
      <c r="AT82" s="120">
        <v>2.1100000000000001E-5</v>
      </c>
      <c r="AU82" s="120">
        <v>2.1100000000000001E-5</v>
      </c>
      <c r="AV82" s="120">
        <v>2.1100000000000001E-5</v>
      </c>
      <c r="AW82" s="120">
        <v>2.1100000000000001E-5</v>
      </c>
      <c r="AX82" s="120">
        <v>2.1100000000000001E-5</v>
      </c>
      <c r="AY82" s="120">
        <v>2.1100000000000001E-5</v>
      </c>
      <c r="AZ82" s="120">
        <v>2.1100000000000001E-5</v>
      </c>
      <c r="BA82" s="120">
        <v>2.1100000000000001E-5</v>
      </c>
      <c r="BB82" s="120">
        <v>2.1100000000000001E-5</v>
      </c>
      <c r="BC82" s="120">
        <v>2.1100000000000001E-5</v>
      </c>
      <c r="BD82" s="120">
        <v>2.1100000000000001E-5</v>
      </c>
      <c r="BE82" s="168">
        <v>2.1100000000000001E-5</v>
      </c>
      <c r="BF82" s="120">
        <v>1.7999999999999999E-6</v>
      </c>
      <c r="BG82" s="120">
        <v>1.7999999999999999E-6</v>
      </c>
      <c r="BH82" s="120">
        <v>1.7999999999999999E-6</v>
      </c>
      <c r="BI82" s="120">
        <v>1.7999999999999999E-6</v>
      </c>
      <c r="BJ82" s="120">
        <v>1.7999999999999999E-6</v>
      </c>
      <c r="BK82" s="120">
        <v>1.7999999999999999E-6</v>
      </c>
      <c r="BL82" s="120">
        <v>1.7999999999999999E-6</v>
      </c>
      <c r="BM82" s="120">
        <v>1.7999999999999999E-6</v>
      </c>
      <c r="BN82" s="120">
        <v>1.7999999999999999E-6</v>
      </c>
      <c r="BO82" s="168">
        <v>1.7999999999999999E-6</v>
      </c>
      <c r="BP82" s="120">
        <v>1.7999999999999999E-6</v>
      </c>
      <c r="BQ82" s="120">
        <v>1.7999999999999999E-6</v>
      </c>
      <c r="BR82" s="120">
        <v>1.7999999999999999E-6</v>
      </c>
      <c r="BS82" s="120">
        <v>1.7999999999999999E-6</v>
      </c>
      <c r="BT82" s="167">
        <v>9.0999999999999997E-7</v>
      </c>
      <c r="BU82" s="120">
        <v>9.0999999999999997E-7</v>
      </c>
      <c r="BV82" s="120">
        <v>9.0999999999999997E-7</v>
      </c>
      <c r="BW82" s="120">
        <v>9.0999999999999997E-7</v>
      </c>
      <c r="BX82" s="120">
        <v>9.0999999999999997E-7</v>
      </c>
      <c r="BY82" s="120">
        <v>9.0999999999999997E-7</v>
      </c>
      <c r="BZ82" s="120">
        <v>9.0999999999999997E-7</v>
      </c>
      <c r="CA82" s="120">
        <v>9.0999999999999997E-7</v>
      </c>
      <c r="CB82" s="120">
        <v>9.0999999999999997E-7</v>
      </c>
      <c r="CC82" s="120">
        <v>9.0999999999999997E-7</v>
      </c>
      <c r="CD82" s="120">
        <v>9.0999999999999997E-7</v>
      </c>
      <c r="CE82" s="120">
        <v>9.0999999999999997E-7</v>
      </c>
      <c r="CF82" s="120">
        <v>9.0999999999999997E-7</v>
      </c>
      <c r="CG82" s="120">
        <v>9.0999999999999997E-7</v>
      </c>
      <c r="CH82" s="169">
        <v>9.0999999999999997E-7</v>
      </c>
    </row>
    <row r="83" spans="1:192">
      <c r="A83" s="166" t="s">
        <v>409</v>
      </c>
      <c r="B83" s="120">
        <v>2.4999999999999999E-7</v>
      </c>
      <c r="C83" s="120">
        <v>2.4999999999999999E-7</v>
      </c>
      <c r="D83" s="120">
        <v>2.4999999999999999E-7</v>
      </c>
      <c r="E83" s="120">
        <v>2.4999999999999999E-7</v>
      </c>
      <c r="F83" s="120">
        <v>2.4999999999999999E-7</v>
      </c>
      <c r="G83" s="120">
        <v>2.4999999999999999E-7</v>
      </c>
      <c r="H83" s="120">
        <v>2.4999999999999999E-7</v>
      </c>
      <c r="I83" s="120">
        <v>2.4999999999999999E-7</v>
      </c>
      <c r="J83" s="120">
        <v>2.4999999999999999E-7</v>
      </c>
      <c r="K83" s="120">
        <v>2.4999999999999999E-7</v>
      </c>
      <c r="L83" s="120">
        <v>2.4999999999999999E-7</v>
      </c>
      <c r="M83" s="120">
        <v>2.4999999999999999E-7</v>
      </c>
      <c r="N83" s="120">
        <v>2.4999999999999999E-7</v>
      </c>
      <c r="O83" s="120">
        <v>2.4999999999999999E-7</v>
      </c>
      <c r="P83" s="120">
        <v>2.4999999999999999E-7</v>
      </c>
      <c r="Q83" s="120">
        <v>2.4999999999999999E-7</v>
      </c>
      <c r="R83" s="120">
        <v>2.4999999999999999E-7</v>
      </c>
      <c r="S83" s="120">
        <v>2.4999999999999999E-7</v>
      </c>
      <c r="T83" s="120">
        <v>2.4999999999999999E-7</v>
      </c>
      <c r="U83" s="120">
        <v>2.4999999999999999E-7</v>
      </c>
      <c r="V83" s="120">
        <v>2.4999999999999999E-7</v>
      </c>
      <c r="W83" s="120">
        <v>2.4999999999999999E-7</v>
      </c>
      <c r="X83" s="120">
        <v>2.4999999999999999E-7</v>
      </c>
      <c r="Y83" s="120">
        <v>2.4999999999999999E-7</v>
      </c>
      <c r="Z83" s="120">
        <v>2.4999999999999999E-7</v>
      </c>
      <c r="AA83" s="120">
        <v>2.4999999999999999E-7</v>
      </c>
      <c r="AB83" s="120">
        <v>2.4999999999999999E-7</v>
      </c>
      <c r="AC83" s="120">
        <v>2.4999999999999999E-7</v>
      </c>
      <c r="AD83" s="120">
        <v>2.4999999999999999E-7</v>
      </c>
      <c r="AE83" s="120">
        <v>2.4999999999999999E-7</v>
      </c>
      <c r="AF83" s="120">
        <v>2.4999999999999999E-7</v>
      </c>
      <c r="AG83" s="120">
        <v>2.4999999999999999E-7</v>
      </c>
      <c r="AH83" s="120">
        <v>2.4999999999999999E-7</v>
      </c>
      <c r="AI83" s="120">
        <v>2.4999999999999999E-7</v>
      </c>
      <c r="AJ83" s="120">
        <v>2.4999999999999999E-7</v>
      </c>
      <c r="AK83" s="120">
        <v>2.4999999999999999E-7</v>
      </c>
      <c r="AL83" s="168">
        <v>2.4999999999999999E-7</v>
      </c>
      <c r="AM83" s="120">
        <v>2.4999999999999999E-7</v>
      </c>
      <c r="AN83" s="120">
        <v>2.4999999999999999E-7</v>
      </c>
      <c r="AO83" s="120">
        <v>2.4999999999999999E-7</v>
      </c>
      <c r="AP83" s="168">
        <v>8.6000000000000003E-5</v>
      </c>
      <c r="AQ83" s="120">
        <v>2.53E-7</v>
      </c>
      <c r="AR83" s="120">
        <v>2.53E-7</v>
      </c>
      <c r="AS83" s="120">
        <v>2.53E-7</v>
      </c>
      <c r="AT83" s="120">
        <v>2.53E-7</v>
      </c>
      <c r="AU83" s="120">
        <v>2.53E-7</v>
      </c>
      <c r="AV83" s="120">
        <v>2.53E-7</v>
      </c>
      <c r="AW83" s="120">
        <v>2.53E-7</v>
      </c>
      <c r="AX83" s="120">
        <v>2.53E-7</v>
      </c>
      <c r="AY83" s="120">
        <v>2.53E-7</v>
      </c>
      <c r="AZ83" s="120">
        <v>2.53E-7</v>
      </c>
      <c r="BA83" s="120">
        <v>2.53E-7</v>
      </c>
      <c r="BB83" s="120">
        <v>2.53E-7</v>
      </c>
      <c r="BC83" s="120">
        <v>2.53E-7</v>
      </c>
      <c r="BD83" s="120">
        <v>2.53E-7</v>
      </c>
      <c r="BE83" s="168">
        <v>2.53E-7</v>
      </c>
      <c r="BF83" s="120">
        <v>1.7999999999999999E-6</v>
      </c>
      <c r="BG83" s="120">
        <v>1.7999999999999999E-6</v>
      </c>
      <c r="BH83" s="120">
        <v>1.7999999999999999E-6</v>
      </c>
      <c r="BI83" s="120">
        <v>1.7999999999999999E-6</v>
      </c>
      <c r="BJ83" s="120">
        <v>1.7999999999999999E-6</v>
      </c>
      <c r="BK83" s="120">
        <v>1.7999999999999999E-6</v>
      </c>
      <c r="BL83" s="120">
        <v>1.7999999999999999E-6</v>
      </c>
      <c r="BM83" s="120">
        <v>1.7999999999999999E-6</v>
      </c>
      <c r="BN83" s="120">
        <v>1.7999999999999999E-6</v>
      </c>
      <c r="BO83" s="168">
        <v>1.7999999999999999E-6</v>
      </c>
      <c r="BP83" s="120">
        <v>1.7999999999999999E-6</v>
      </c>
      <c r="BQ83" s="120">
        <v>1.7999999999999999E-6</v>
      </c>
      <c r="BR83" s="120">
        <v>1.7999999999999999E-6</v>
      </c>
      <c r="BS83" s="120">
        <v>1.7999999999999999E-6</v>
      </c>
      <c r="BT83" s="167">
        <v>5.0000000000000004E-6</v>
      </c>
      <c r="BU83" s="120">
        <v>5.0000000000000004E-6</v>
      </c>
      <c r="BV83" s="120">
        <v>5.0000000000000004E-6</v>
      </c>
      <c r="BW83" s="120">
        <v>5.0000000000000004E-6</v>
      </c>
      <c r="BX83" s="120">
        <v>5.0000000000000004E-6</v>
      </c>
      <c r="BY83" s="120">
        <v>5.0000000000000004E-6</v>
      </c>
      <c r="BZ83" s="120">
        <v>5.0000000000000004E-6</v>
      </c>
      <c r="CA83" s="120">
        <v>5.0000000000000004E-6</v>
      </c>
      <c r="CB83" s="120">
        <v>5.0000000000000004E-6</v>
      </c>
      <c r="CC83" s="120">
        <v>5.0000000000000004E-6</v>
      </c>
      <c r="CD83" s="120">
        <v>5.0000000000000004E-6</v>
      </c>
      <c r="CE83" s="120">
        <v>5.0000000000000004E-6</v>
      </c>
      <c r="CF83" s="120">
        <v>5.0000000000000004E-6</v>
      </c>
      <c r="CG83" s="120">
        <v>5.0000000000000004E-6</v>
      </c>
      <c r="CH83" s="169">
        <v>5.0000000000000004E-6</v>
      </c>
    </row>
    <row r="84" spans="1:192">
      <c r="A84" s="166" t="s">
        <v>410</v>
      </c>
      <c r="B84" s="120">
        <v>2.1E-7</v>
      </c>
      <c r="C84" s="120">
        <v>2.1E-7</v>
      </c>
      <c r="D84" s="120">
        <v>2.1E-7</v>
      </c>
      <c r="E84" s="120">
        <v>2.1E-7</v>
      </c>
      <c r="F84" s="120">
        <v>2.1E-7</v>
      </c>
      <c r="G84" s="120">
        <v>2.1E-7</v>
      </c>
      <c r="H84" s="120">
        <v>2.1E-7</v>
      </c>
      <c r="I84" s="120">
        <v>2.1E-7</v>
      </c>
      <c r="J84" s="120">
        <v>2.1E-7</v>
      </c>
      <c r="K84" s="120">
        <v>2.1E-7</v>
      </c>
      <c r="L84" s="120">
        <v>2.1E-7</v>
      </c>
      <c r="M84" s="120">
        <v>2.1E-7</v>
      </c>
      <c r="N84" s="120">
        <v>2.1E-7</v>
      </c>
      <c r="O84" s="120">
        <v>2.1E-7</v>
      </c>
      <c r="P84" s="120">
        <v>2.1E-7</v>
      </c>
      <c r="Q84" s="120">
        <v>2.1E-7</v>
      </c>
      <c r="R84" s="120">
        <v>2.1E-7</v>
      </c>
      <c r="S84" s="120">
        <v>2.1E-7</v>
      </c>
      <c r="T84" s="120">
        <v>2.1E-7</v>
      </c>
      <c r="U84" s="120">
        <v>2.1E-7</v>
      </c>
      <c r="V84" s="120">
        <v>2.1E-7</v>
      </c>
      <c r="W84" s="120">
        <v>2.1E-7</v>
      </c>
      <c r="X84" s="120">
        <v>2.1E-7</v>
      </c>
      <c r="Y84" s="120">
        <v>2.1E-7</v>
      </c>
      <c r="Z84" s="120">
        <v>2.1E-7</v>
      </c>
      <c r="AA84" s="120">
        <v>2.1E-7</v>
      </c>
      <c r="AB84" s="120">
        <v>2.1E-7</v>
      </c>
      <c r="AC84" s="120">
        <v>2.1E-7</v>
      </c>
      <c r="AD84" s="120">
        <v>2.1E-7</v>
      </c>
      <c r="AE84" s="120">
        <v>2.1E-7</v>
      </c>
      <c r="AF84" s="120">
        <v>2.1E-7</v>
      </c>
      <c r="AG84" s="120">
        <v>2.1E-7</v>
      </c>
      <c r="AH84" s="120">
        <v>2.1E-7</v>
      </c>
      <c r="AI84" s="120">
        <v>2.1E-7</v>
      </c>
      <c r="AJ84" s="120">
        <v>2.1E-7</v>
      </c>
      <c r="AK84" s="120">
        <v>2.1E-7</v>
      </c>
      <c r="AL84" s="168">
        <v>2.1E-7</v>
      </c>
      <c r="AM84" s="120">
        <v>2.1E-7</v>
      </c>
      <c r="AN84" s="120">
        <v>2.1E-7</v>
      </c>
      <c r="AO84" s="120">
        <v>2.1E-7</v>
      </c>
      <c r="AP84" s="168">
        <v>2.5000000000000001E-5</v>
      </c>
      <c r="AQ84" s="120">
        <v>1.22E-6</v>
      </c>
      <c r="AR84" s="120">
        <v>1.22E-6</v>
      </c>
      <c r="AS84" s="120">
        <v>1.22E-6</v>
      </c>
      <c r="AT84" s="120">
        <v>1.22E-6</v>
      </c>
      <c r="AU84" s="120">
        <v>1.22E-6</v>
      </c>
      <c r="AV84" s="120">
        <v>1.22E-6</v>
      </c>
      <c r="AW84" s="120">
        <v>1.22E-6</v>
      </c>
      <c r="AX84" s="120">
        <v>1.22E-6</v>
      </c>
      <c r="AY84" s="120">
        <v>1.22E-6</v>
      </c>
      <c r="AZ84" s="120">
        <v>1.22E-6</v>
      </c>
      <c r="BA84" s="120">
        <v>1.22E-6</v>
      </c>
      <c r="BB84" s="120">
        <v>1.22E-6</v>
      </c>
      <c r="BC84" s="120">
        <v>1.22E-6</v>
      </c>
      <c r="BD84" s="120">
        <v>1.22E-6</v>
      </c>
      <c r="BE84" s="168">
        <v>1.22E-6</v>
      </c>
      <c r="BF84" s="120">
        <v>2.3999999999999999E-6</v>
      </c>
      <c r="BG84" s="120">
        <v>2.3999999999999999E-6</v>
      </c>
      <c r="BH84" s="120">
        <v>2.3999999999999999E-6</v>
      </c>
      <c r="BI84" s="120">
        <v>2.3999999999999999E-6</v>
      </c>
      <c r="BJ84" s="120">
        <v>2.3999999999999999E-6</v>
      </c>
      <c r="BK84" s="120">
        <v>2.3999999999999999E-6</v>
      </c>
      <c r="BL84" s="120">
        <v>2.3999999999999999E-6</v>
      </c>
      <c r="BM84" s="120">
        <v>2.3999999999999999E-6</v>
      </c>
      <c r="BN84" s="120">
        <v>2.3999999999999999E-6</v>
      </c>
      <c r="BO84" s="168">
        <v>2.3999999999999999E-6</v>
      </c>
      <c r="BP84" s="120">
        <v>2.3999999999999999E-6</v>
      </c>
      <c r="BQ84" s="120">
        <v>2.3999999999999999E-6</v>
      </c>
      <c r="BR84" s="120">
        <v>2.3999999999999999E-6</v>
      </c>
      <c r="BS84" s="120">
        <v>2.3999999999999999E-6</v>
      </c>
      <c r="BT84" s="167">
        <v>3.0000000000000001E-6</v>
      </c>
      <c r="BU84" s="120">
        <v>3.0000000000000001E-6</v>
      </c>
      <c r="BV84" s="120">
        <v>3.0000000000000001E-6</v>
      </c>
      <c r="BW84" s="120">
        <v>3.0000000000000001E-6</v>
      </c>
      <c r="BX84" s="120">
        <v>3.0000000000000001E-6</v>
      </c>
      <c r="BY84" s="120">
        <v>3.0000000000000001E-6</v>
      </c>
      <c r="BZ84" s="120">
        <v>3.0000000000000001E-6</v>
      </c>
      <c r="CA84" s="120">
        <v>3.0000000000000001E-6</v>
      </c>
      <c r="CB84" s="120">
        <v>3.0000000000000001E-6</v>
      </c>
      <c r="CC84" s="120">
        <v>3.0000000000000001E-6</v>
      </c>
      <c r="CD84" s="120">
        <v>3.0000000000000001E-6</v>
      </c>
      <c r="CE84" s="120">
        <v>3.0000000000000001E-6</v>
      </c>
      <c r="CF84" s="120">
        <v>3.0000000000000001E-6</v>
      </c>
      <c r="CG84" s="120">
        <v>3.0000000000000001E-6</v>
      </c>
      <c r="CH84" s="169">
        <v>3.0000000000000001E-6</v>
      </c>
    </row>
    <row r="85" spans="1:192">
      <c r="A85" s="166" t="s">
        <v>592</v>
      </c>
      <c r="B85" s="120">
        <v>8.0000000000000002E-8</v>
      </c>
      <c r="C85" s="120">
        <v>8.0000000000000002E-8</v>
      </c>
      <c r="D85" s="120">
        <v>8.0000000000000002E-8</v>
      </c>
      <c r="E85" s="120">
        <v>8.0000000000000002E-8</v>
      </c>
      <c r="F85" s="120">
        <v>8.0000000000000002E-8</v>
      </c>
      <c r="G85" s="120">
        <v>8.0000000000000002E-8</v>
      </c>
      <c r="H85" s="120">
        <v>8.0000000000000002E-8</v>
      </c>
      <c r="I85" s="120">
        <v>8.0000000000000002E-8</v>
      </c>
      <c r="J85" s="120">
        <v>8.0000000000000002E-8</v>
      </c>
      <c r="K85" s="120">
        <v>8.0000000000000002E-8</v>
      </c>
      <c r="L85" s="120">
        <v>8.0000000000000002E-8</v>
      </c>
      <c r="M85" s="120">
        <v>8.0000000000000002E-8</v>
      </c>
      <c r="N85" s="120">
        <v>8.0000000000000002E-8</v>
      </c>
      <c r="O85" s="120">
        <v>8.0000000000000002E-8</v>
      </c>
      <c r="P85" s="120">
        <v>8.0000000000000002E-8</v>
      </c>
      <c r="Q85" s="120">
        <v>8.0000000000000002E-8</v>
      </c>
      <c r="R85" s="120">
        <v>8.0000000000000002E-8</v>
      </c>
      <c r="S85" s="120">
        <v>8.0000000000000002E-8</v>
      </c>
      <c r="T85" s="120">
        <v>8.0000000000000002E-8</v>
      </c>
      <c r="U85" s="120">
        <v>8.0000000000000002E-8</v>
      </c>
      <c r="V85" s="120">
        <v>8.0000000000000002E-8</v>
      </c>
      <c r="W85" s="120">
        <v>8.0000000000000002E-8</v>
      </c>
      <c r="X85" s="120">
        <v>8.0000000000000002E-8</v>
      </c>
      <c r="Y85" s="120">
        <v>8.0000000000000002E-8</v>
      </c>
      <c r="Z85" s="120">
        <v>8.0000000000000002E-8</v>
      </c>
      <c r="AA85" s="120">
        <v>8.0000000000000002E-8</v>
      </c>
      <c r="AB85" s="120">
        <v>8.0000000000000002E-8</v>
      </c>
      <c r="AC85" s="120">
        <v>8.0000000000000002E-8</v>
      </c>
      <c r="AD85" s="120">
        <v>8.0000000000000002E-8</v>
      </c>
      <c r="AE85" s="120">
        <v>8.0000000000000002E-8</v>
      </c>
      <c r="AF85" s="120">
        <v>8.0000000000000002E-8</v>
      </c>
      <c r="AG85" s="120">
        <v>8.0000000000000002E-8</v>
      </c>
      <c r="AH85" s="120">
        <v>8.0000000000000002E-8</v>
      </c>
      <c r="AI85" s="120">
        <v>8.0000000000000002E-8</v>
      </c>
      <c r="AJ85" s="120">
        <v>8.0000000000000002E-8</v>
      </c>
      <c r="AK85" s="120">
        <v>8.0000000000000002E-8</v>
      </c>
      <c r="AL85" s="168">
        <v>8.0000000000000002E-8</v>
      </c>
      <c r="AM85" s="120">
        <v>8.0000000000000002E-8</v>
      </c>
      <c r="AN85" s="120">
        <v>8.0000000000000002E-8</v>
      </c>
      <c r="AO85" s="120">
        <v>8.0000000000000002E-8</v>
      </c>
      <c r="AP85" s="168">
        <v>7.1000000000000005E-5</v>
      </c>
      <c r="AQ85" s="120">
        <v>4.0099999999999997E-6</v>
      </c>
      <c r="AR85" s="120">
        <v>4.0099999999999997E-6</v>
      </c>
      <c r="AS85" s="120">
        <v>4.0099999999999997E-6</v>
      </c>
      <c r="AT85" s="120">
        <v>4.0099999999999997E-6</v>
      </c>
      <c r="AU85" s="120">
        <v>4.0099999999999997E-6</v>
      </c>
      <c r="AV85" s="120">
        <v>4.0099999999999997E-6</v>
      </c>
      <c r="AW85" s="120">
        <v>4.0099999999999997E-6</v>
      </c>
      <c r="AX85" s="120">
        <v>4.0099999999999997E-6</v>
      </c>
      <c r="AY85" s="120">
        <v>4.0099999999999997E-6</v>
      </c>
      <c r="AZ85" s="120">
        <v>4.0099999999999997E-6</v>
      </c>
      <c r="BA85" s="120">
        <v>4.0099999999999997E-6</v>
      </c>
      <c r="BB85" s="120">
        <v>4.0099999999999997E-6</v>
      </c>
      <c r="BC85" s="120">
        <v>4.0099999999999997E-6</v>
      </c>
      <c r="BD85" s="120">
        <v>4.0099999999999997E-6</v>
      </c>
      <c r="BE85" s="168">
        <v>4.0099999999999997E-6</v>
      </c>
      <c r="BF85" s="120">
        <v>1.7999999999999999E-6</v>
      </c>
      <c r="BG85" s="120">
        <v>1.7999999999999999E-6</v>
      </c>
      <c r="BH85" s="120">
        <v>1.7999999999999999E-6</v>
      </c>
      <c r="BI85" s="120">
        <v>1.7999999999999999E-6</v>
      </c>
      <c r="BJ85" s="120">
        <v>1.7999999999999999E-6</v>
      </c>
      <c r="BK85" s="120">
        <v>1.7999999999999999E-6</v>
      </c>
      <c r="BL85" s="120">
        <v>1.7999999999999999E-6</v>
      </c>
      <c r="BM85" s="120">
        <v>1.7999999999999999E-6</v>
      </c>
      <c r="BN85" s="120">
        <v>1.7999999999999999E-6</v>
      </c>
      <c r="BO85" s="168">
        <v>1.7999999999999999E-6</v>
      </c>
      <c r="BP85" s="120">
        <v>1.7999999999999999E-6</v>
      </c>
      <c r="BQ85" s="120">
        <v>1.7999999999999999E-6</v>
      </c>
      <c r="BR85" s="120">
        <v>1.7999999999999999E-6</v>
      </c>
      <c r="BS85" s="120">
        <v>1.7999999999999999E-6</v>
      </c>
      <c r="BT85" s="167">
        <v>6.5E-8</v>
      </c>
      <c r="BU85" s="120">
        <v>6.5E-8</v>
      </c>
      <c r="BV85" s="120">
        <v>6.5E-8</v>
      </c>
      <c r="BW85" s="120">
        <v>6.5E-8</v>
      </c>
      <c r="BX85" s="120">
        <v>6.5E-8</v>
      </c>
      <c r="BY85" s="120">
        <v>6.5E-8</v>
      </c>
      <c r="BZ85" s="120">
        <v>6.5E-8</v>
      </c>
      <c r="CA85" s="120">
        <v>6.5E-8</v>
      </c>
      <c r="CB85" s="120">
        <v>6.5E-8</v>
      </c>
      <c r="CC85" s="120">
        <v>6.5E-8</v>
      </c>
      <c r="CD85" s="120">
        <v>6.5E-8</v>
      </c>
      <c r="CE85" s="120">
        <v>6.5E-8</v>
      </c>
      <c r="CF85" s="120">
        <v>6.5E-8</v>
      </c>
      <c r="CG85" s="120">
        <v>6.5E-8</v>
      </c>
      <c r="CH85" s="169">
        <v>6.5E-8</v>
      </c>
    </row>
    <row r="86" spans="1:192">
      <c r="A86" s="177" t="s">
        <v>411</v>
      </c>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68"/>
      <c r="AM86" s="120"/>
      <c r="AN86" s="120"/>
      <c r="AO86" s="120"/>
      <c r="AP86" s="168"/>
      <c r="AQ86" s="120"/>
      <c r="AR86" s="120"/>
      <c r="AS86" s="120"/>
      <c r="AT86" s="120"/>
      <c r="AU86" s="120"/>
      <c r="AV86" s="120"/>
      <c r="AW86" s="120"/>
      <c r="AX86" s="120"/>
      <c r="AY86" s="120"/>
      <c r="AZ86" s="120"/>
      <c r="BA86" s="120"/>
      <c r="BB86" s="120"/>
      <c r="BC86" s="120"/>
      <c r="BD86" s="120"/>
      <c r="BE86" s="168"/>
      <c r="BF86" s="151"/>
      <c r="BG86" s="120"/>
      <c r="BH86" s="120"/>
      <c r="BI86" s="120"/>
      <c r="BJ86" s="120"/>
      <c r="BK86" s="120"/>
      <c r="BL86" s="120"/>
      <c r="BM86" s="120"/>
      <c r="BN86" s="120"/>
      <c r="BO86" s="168"/>
      <c r="BP86" s="120"/>
      <c r="BQ86" s="120"/>
      <c r="BR86" s="120"/>
      <c r="BS86" s="120"/>
      <c r="BT86" s="167">
        <v>9.9999999999999995E-8</v>
      </c>
      <c r="BU86" s="120">
        <v>9.9999999999999995E-8</v>
      </c>
      <c r="BV86" s="120">
        <v>9.9999999999999995E-8</v>
      </c>
      <c r="BW86" s="120">
        <v>9.9999999999999995E-8</v>
      </c>
      <c r="BX86" s="120">
        <v>9.9999999999999995E-8</v>
      </c>
      <c r="BY86" s="120">
        <v>9.9999999999999995E-8</v>
      </c>
      <c r="BZ86" s="120">
        <v>9.9999999999999995E-8</v>
      </c>
      <c r="CA86" s="120">
        <v>9.9999999999999995E-8</v>
      </c>
      <c r="CB86" s="120">
        <v>9.9999999999999995E-8</v>
      </c>
      <c r="CC86" s="120">
        <v>9.9999999999999995E-8</v>
      </c>
      <c r="CD86" s="120">
        <v>9.9999999999999995E-8</v>
      </c>
      <c r="CE86" s="120">
        <v>9.9999999999999995E-8</v>
      </c>
      <c r="CF86" s="120">
        <v>9.9999999999999995E-8</v>
      </c>
      <c r="CG86" s="120">
        <v>9.9999999999999995E-8</v>
      </c>
      <c r="CH86" s="169">
        <v>9.9999999999999995E-8</v>
      </c>
    </row>
    <row r="87" spans="1:192">
      <c r="A87" s="177" t="s">
        <v>593</v>
      </c>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68"/>
      <c r="AM87" s="120"/>
      <c r="AN87" s="120"/>
      <c r="AO87" s="120"/>
      <c r="AP87" s="168">
        <v>6.1999999999999999E-6</v>
      </c>
      <c r="AQ87" s="120"/>
      <c r="AR87" s="120"/>
      <c r="AS87" s="120"/>
      <c r="AT87" s="120"/>
      <c r="AU87" s="120"/>
      <c r="AV87" s="120"/>
      <c r="AW87" s="120"/>
      <c r="AX87" s="120"/>
      <c r="AY87" s="120"/>
      <c r="AZ87" s="120"/>
      <c r="BA87" s="120"/>
      <c r="BB87" s="120"/>
      <c r="BC87" s="120"/>
      <c r="BD87" s="120"/>
      <c r="BE87" s="168"/>
      <c r="BF87" s="151"/>
      <c r="BG87" s="120"/>
      <c r="BH87" s="120"/>
      <c r="BI87" s="120"/>
      <c r="BJ87" s="120"/>
      <c r="BK87" s="120"/>
      <c r="BL87" s="120"/>
      <c r="BM87" s="120"/>
      <c r="BN87" s="120"/>
      <c r="BO87" s="168"/>
      <c r="BP87" s="120"/>
      <c r="BQ87" s="120"/>
      <c r="BR87" s="120"/>
      <c r="BS87" s="120"/>
      <c r="BT87" s="167">
        <v>2.6000000000000001E-9</v>
      </c>
      <c r="BU87" s="120">
        <v>2.6000000000000001E-9</v>
      </c>
      <c r="BV87" s="120">
        <v>2.6000000000000001E-9</v>
      </c>
      <c r="BW87" s="120">
        <v>2.6000000000000001E-9</v>
      </c>
      <c r="BX87" s="120">
        <v>2.6000000000000001E-9</v>
      </c>
      <c r="BY87" s="120">
        <v>2.6000000000000001E-9</v>
      </c>
      <c r="BZ87" s="120">
        <v>2.6000000000000001E-9</v>
      </c>
      <c r="CA87" s="120">
        <v>2.6000000000000001E-9</v>
      </c>
      <c r="CB87" s="120">
        <v>2.6000000000000001E-9</v>
      </c>
      <c r="CC87" s="120">
        <v>2.6000000000000001E-9</v>
      </c>
      <c r="CD87" s="120">
        <v>2.6000000000000001E-9</v>
      </c>
      <c r="CE87" s="120">
        <v>2.6000000000000001E-9</v>
      </c>
      <c r="CF87" s="120">
        <v>2.6000000000000001E-9</v>
      </c>
      <c r="CG87" s="120">
        <v>2.6000000000000001E-9</v>
      </c>
      <c r="CH87" s="169">
        <v>2.6000000000000001E-9</v>
      </c>
    </row>
    <row r="88" spans="1:192">
      <c r="A88" s="166" t="s">
        <v>594</v>
      </c>
      <c r="B88" s="120">
        <v>2.7E-8</v>
      </c>
      <c r="C88" s="120">
        <v>2.7E-8</v>
      </c>
      <c r="D88" s="120">
        <v>2.7E-8</v>
      </c>
      <c r="E88" s="120">
        <v>2.7E-8</v>
      </c>
      <c r="F88" s="120">
        <v>2.7E-8</v>
      </c>
      <c r="G88" s="120">
        <v>2.7E-8</v>
      </c>
      <c r="H88" s="120">
        <v>2.7E-8</v>
      </c>
      <c r="I88" s="120">
        <v>2.7E-8</v>
      </c>
      <c r="J88" s="120">
        <v>2.7E-8</v>
      </c>
      <c r="K88" s="120">
        <v>2.7E-8</v>
      </c>
      <c r="L88" s="120">
        <v>2.7E-8</v>
      </c>
      <c r="M88" s="120">
        <v>2.7E-8</v>
      </c>
      <c r="N88" s="120">
        <v>2.7E-8</v>
      </c>
      <c r="O88" s="120">
        <v>2.7E-8</v>
      </c>
      <c r="P88" s="120">
        <v>2.7E-8</v>
      </c>
      <c r="Q88" s="120">
        <v>2.7E-8</v>
      </c>
      <c r="R88" s="120">
        <v>2.7E-8</v>
      </c>
      <c r="S88" s="120">
        <v>2.7E-8</v>
      </c>
      <c r="T88" s="120">
        <v>2.7E-8</v>
      </c>
      <c r="U88" s="120">
        <v>2.7E-8</v>
      </c>
      <c r="V88" s="120">
        <v>2.7E-8</v>
      </c>
      <c r="W88" s="120">
        <v>2.7E-8</v>
      </c>
      <c r="X88" s="120">
        <v>2.7E-8</v>
      </c>
      <c r="Y88" s="120">
        <v>2.7E-8</v>
      </c>
      <c r="Z88" s="120">
        <v>2.7E-8</v>
      </c>
      <c r="AA88" s="120">
        <v>2.7E-8</v>
      </c>
      <c r="AB88" s="120">
        <v>2.7E-8</v>
      </c>
      <c r="AC88" s="120">
        <v>2.7E-8</v>
      </c>
      <c r="AD88" s="120">
        <v>2.7E-8</v>
      </c>
      <c r="AE88" s="120">
        <v>2.7E-8</v>
      </c>
      <c r="AF88" s="120">
        <v>2.7E-8</v>
      </c>
      <c r="AG88" s="120">
        <v>2.7E-8</v>
      </c>
      <c r="AH88" s="120">
        <v>2.7E-8</v>
      </c>
      <c r="AI88" s="120">
        <v>2.7E-8</v>
      </c>
      <c r="AJ88" s="120">
        <v>2.7E-8</v>
      </c>
      <c r="AK88" s="120">
        <v>2.7E-8</v>
      </c>
      <c r="AL88" s="168">
        <v>2.7E-8</v>
      </c>
      <c r="AM88" s="120">
        <v>2.7E-8</v>
      </c>
      <c r="AN88" s="120">
        <v>2.7E-8</v>
      </c>
      <c r="AO88" s="120">
        <v>2.7E-8</v>
      </c>
      <c r="AP88" s="168">
        <v>5.4999999999999999E-6</v>
      </c>
      <c r="AQ88" s="120">
        <v>2.26E-6</v>
      </c>
      <c r="AR88" s="120">
        <v>2.26E-6</v>
      </c>
      <c r="AS88" s="120">
        <v>2.26E-6</v>
      </c>
      <c r="AT88" s="120">
        <v>2.26E-6</v>
      </c>
      <c r="AU88" s="120">
        <v>2.26E-6</v>
      </c>
      <c r="AV88" s="120">
        <v>2.26E-6</v>
      </c>
      <c r="AW88" s="120">
        <v>2.26E-6</v>
      </c>
      <c r="AX88" s="120">
        <v>2.26E-6</v>
      </c>
      <c r="AY88" s="120">
        <v>2.26E-6</v>
      </c>
      <c r="AZ88" s="120">
        <v>2.26E-6</v>
      </c>
      <c r="BA88" s="120">
        <v>2.26E-6</v>
      </c>
      <c r="BB88" s="120">
        <v>2.26E-6</v>
      </c>
      <c r="BC88" s="120">
        <v>2.26E-6</v>
      </c>
      <c r="BD88" s="120">
        <v>2.26E-6</v>
      </c>
      <c r="BE88" s="168">
        <v>2.26E-6</v>
      </c>
      <c r="BF88" s="120">
        <v>1.1999999999999999E-6</v>
      </c>
      <c r="BG88" s="120">
        <v>1.1999999999999999E-6</v>
      </c>
      <c r="BH88" s="120">
        <v>1.1999999999999999E-6</v>
      </c>
      <c r="BI88" s="120">
        <v>1.1999999999999999E-6</v>
      </c>
      <c r="BJ88" s="120">
        <v>1.1999999999999999E-6</v>
      </c>
      <c r="BK88" s="120">
        <v>1.1999999999999999E-6</v>
      </c>
      <c r="BL88" s="120">
        <v>1.1999999999999999E-6</v>
      </c>
      <c r="BM88" s="120">
        <v>1.1999999999999999E-6</v>
      </c>
      <c r="BN88" s="120">
        <v>1.1999999999999999E-6</v>
      </c>
      <c r="BO88" s="168">
        <v>1.1999999999999999E-6</v>
      </c>
      <c r="BP88" s="120">
        <v>1.1999999999999999E-6</v>
      </c>
      <c r="BQ88" s="120">
        <v>1.1999999999999999E-6</v>
      </c>
      <c r="BR88" s="120">
        <v>1.1999999999999999E-6</v>
      </c>
      <c r="BS88" s="120">
        <v>1.1999999999999999E-6</v>
      </c>
      <c r="BT88" s="167">
        <v>9.2999999999999999E-8</v>
      </c>
      <c r="BU88" s="120">
        <v>9.2999999999999999E-8</v>
      </c>
      <c r="BV88" s="120">
        <v>9.2999999999999999E-8</v>
      </c>
      <c r="BW88" s="120">
        <v>9.2999999999999999E-8</v>
      </c>
      <c r="BX88" s="120">
        <v>9.2999999999999999E-8</v>
      </c>
      <c r="BY88" s="120">
        <v>9.2999999999999999E-8</v>
      </c>
      <c r="BZ88" s="120">
        <v>9.2999999999999999E-8</v>
      </c>
      <c r="CA88" s="120">
        <v>9.2999999999999999E-8</v>
      </c>
      <c r="CB88" s="120">
        <v>9.2999999999999999E-8</v>
      </c>
      <c r="CC88" s="120">
        <v>9.2999999999999999E-8</v>
      </c>
      <c r="CD88" s="120">
        <v>9.2999999999999999E-8</v>
      </c>
      <c r="CE88" s="120">
        <v>9.2999999999999999E-8</v>
      </c>
      <c r="CF88" s="120">
        <v>9.2999999999999999E-8</v>
      </c>
      <c r="CG88" s="120">
        <v>9.2999999999999999E-8</v>
      </c>
      <c r="CH88" s="169">
        <v>9.2999999999999999E-8</v>
      </c>
    </row>
    <row r="89" spans="1:192">
      <c r="A89" s="177" t="s">
        <v>411</v>
      </c>
      <c r="B89" s="120">
        <v>1.1000000000000001E-7</v>
      </c>
      <c r="C89" s="120">
        <v>1.1000000000000001E-7</v>
      </c>
      <c r="D89" s="120">
        <v>1.1000000000000001E-7</v>
      </c>
      <c r="E89" s="120">
        <v>1.1000000000000001E-7</v>
      </c>
      <c r="F89" s="120">
        <v>1.1000000000000001E-7</v>
      </c>
      <c r="G89" s="120">
        <v>1.1000000000000001E-7</v>
      </c>
      <c r="H89" s="120">
        <v>1.1000000000000001E-7</v>
      </c>
      <c r="I89" s="120">
        <v>1.1000000000000001E-7</v>
      </c>
      <c r="J89" s="120">
        <v>1.1000000000000001E-7</v>
      </c>
      <c r="K89" s="120">
        <v>1.1000000000000001E-7</v>
      </c>
      <c r="L89" s="120">
        <v>1.1000000000000001E-7</v>
      </c>
      <c r="M89" s="120">
        <v>1.1000000000000001E-7</v>
      </c>
      <c r="N89" s="120">
        <v>1.1000000000000001E-7</v>
      </c>
      <c r="O89" s="120">
        <v>1.1000000000000001E-7</v>
      </c>
      <c r="P89" s="120">
        <v>1.1000000000000001E-7</v>
      </c>
      <c r="Q89" s="120">
        <v>1.1000000000000001E-7</v>
      </c>
      <c r="R89" s="120">
        <v>1.1000000000000001E-7</v>
      </c>
      <c r="S89" s="120">
        <v>1.1000000000000001E-7</v>
      </c>
      <c r="T89" s="120">
        <v>1.1000000000000001E-7</v>
      </c>
      <c r="U89" s="120">
        <v>1.1000000000000001E-7</v>
      </c>
      <c r="V89" s="120">
        <v>1.1000000000000001E-7</v>
      </c>
      <c r="W89" s="120">
        <v>1.1000000000000001E-7</v>
      </c>
      <c r="X89" s="120">
        <v>1.1000000000000001E-7</v>
      </c>
      <c r="Y89" s="120">
        <v>1.1000000000000001E-7</v>
      </c>
      <c r="Z89" s="120">
        <v>1.1000000000000001E-7</v>
      </c>
      <c r="AA89" s="120">
        <v>1.1000000000000001E-7</v>
      </c>
      <c r="AB89" s="120">
        <v>1.1000000000000001E-7</v>
      </c>
      <c r="AC89" s="120">
        <v>1.1000000000000001E-7</v>
      </c>
      <c r="AD89" s="120">
        <v>1.1000000000000001E-7</v>
      </c>
      <c r="AE89" s="120">
        <v>1.1000000000000001E-7</v>
      </c>
      <c r="AF89" s="120">
        <v>1.1000000000000001E-7</v>
      </c>
      <c r="AG89" s="120">
        <v>1.1000000000000001E-7</v>
      </c>
      <c r="AH89" s="120">
        <v>1.1000000000000001E-7</v>
      </c>
      <c r="AI89" s="120">
        <v>1.1000000000000001E-7</v>
      </c>
      <c r="AJ89" s="120">
        <v>1.1000000000000001E-7</v>
      </c>
      <c r="AK89" s="120">
        <v>1.1000000000000001E-7</v>
      </c>
      <c r="AL89" s="168">
        <v>1.1000000000000001E-7</v>
      </c>
      <c r="AM89" s="120">
        <v>1.1000000000000001E-7</v>
      </c>
      <c r="AN89" s="120">
        <v>1.1000000000000001E-7</v>
      </c>
      <c r="AO89" s="120">
        <v>1.1000000000000001E-7</v>
      </c>
      <c r="AP89" s="168">
        <v>2.5000000000000001E-5</v>
      </c>
      <c r="AQ89" s="120">
        <v>1.48E-6</v>
      </c>
      <c r="AR89" s="120">
        <v>1.48E-6</v>
      </c>
      <c r="AS89" s="120">
        <v>1.48E-6</v>
      </c>
      <c r="AT89" s="120">
        <v>1.48E-6</v>
      </c>
      <c r="AU89" s="120">
        <v>1.48E-6</v>
      </c>
      <c r="AV89" s="120">
        <v>1.48E-6</v>
      </c>
      <c r="AW89" s="120">
        <v>1.48E-6</v>
      </c>
      <c r="AX89" s="120">
        <v>1.48E-6</v>
      </c>
      <c r="AY89" s="120">
        <v>1.48E-6</v>
      </c>
      <c r="AZ89" s="120">
        <v>1.48E-6</v>
      </c>
      <c r="BA89" s="120">
        <v>1.48E-6</v>
      </c>
      <c r="BB89" s="120">
        <v>1.48E-6</v>
      </c>
      <c r="BC89" s="120">
        <v>1.48E-6</v>
      </c>
      <c r="BD89" s="120">
        <v>1.48E-6</v>
      </c>
      <c r="BE89" s="168">
        <v>1.48E-6</v>
      </c>
      <c r="BF89" s="120">
        <v>1.7999999999999999E-6</v>
      </c>
      <c r="BG89" s="120">
        <v>1.7999999999999999E-6</v>
      </c>
      <c r="BH89" s="120">
        <v>1.7999999999999999E-6</v>
      </c>
      <c r="BI89" s="120">
        <v>1.7999999999999999E-6</v>
      </c>
      <c r="BJ89" s="120">
        <v>1.7999999999999999E-6</v>
      </c>
      <c r="BK89" s="120">
        <v>1.7999999999999999E-6</v>
      </c>
      <c r="BL89" s="120">
        <v>1.7999999999999999E-6</v>
      </c>
      <c r="BM89" s="120">
        <v>1.7999999999999999E-6</v>
      </c>
      <c r="BN89" s="120">
        <v>1.7999999999999999E-6</v>
      </c>
      <c r="BO89" s="168">
        <v>1.7999999999999999E-6</v>
      </c>
      <c r="BP89" s="120">
        <v>1.7999999999999999E-6</v>
      </c>
      <c r="BQ89" s="120">
        <v>1.7999999999999999E-6</v>
      </c>
      <c r="BR89" s="120">
        <v>1.7999999999999999E-6</v>
      </c>
      <c r="BS89" s="120">
        <v>1.7999999999999999E-6</v>
      </c>
      <c r="BT89" s="167">
        <v>1.6E-7</v>
      </c>
      <c r="BU89" s="120">
        <v>1.6E-7</v>
      </c>
      <c r="BV89" s="120">
        <v>1.6E-7</v>
      </c>
      <c r="BW89" s="120">
        <v>1.6E-7</v>
      </c>
      <c r="BX89" s="120">
        <v>1.6E-7</v>
      </c>
      <c r="BY89" s="120">
        <v>1.6E-7</v>
      </c>
      <c r="BZ89" s="120">
        <v>1.6E-7</v>
      </c>
      <c r="CA89" s="120">
        <v>1.6E-7</v>
      </c>
      <c r="CB89" s="120">
        <v>1.6E-7</v>
      </c>
      <c r="CC89" s="120">
        <v>1.6E-7</v>
      </c>
      <c r="CD89" s="120">
        <v>1.6E-7</v>
      </c>
      <c r="CE89" s="120">
        <v>1.6E-7</v>
      </c>
      <c r="CF89" s="120">
        <v>1.6E-7</v>
      </c>
      <c r="CG89" s="120">
        <v>1.6E-7</v>
      </c>
      <c r="CH89" s="169">
        <v>1.6E-7</v>
      </c>
    </row>
    <row r="90" spans="1:192">
      <c r="A90" s="166" t="s">
        <v>412</v>
      </c>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68"/>
      <c r="AM90" s="120"/>
      <c r="AN90" s="120"/>
      <c r="AO90" s="120"/>
      <c r="AP90" s="168"/>
      <c r="AQ90" s="120"/>
      <c r="AR90" s="120"/>
      <c r="AS90" s="120"/>
      <c r="AT90" s="120"/>
      <c r="AU90" s="120"/>
      <c r="AV90" s="120"/>
      <c r="AW90" s="120"/>
      <c r="AX90" s="120"/>
      <c r="AY90" s="120"/>
      <c r="AZ90" s="120"/>
      <c r="BA90" s="120"/>
      <c r="BB90" s="120"/>
      <c r="BC90" s="120"/>
      <c r="BD90" s="120"/>
      <c r="BE90" s="168"/>
      <c r="BF90" s="120">
        <v>1.7999999999999999E-6</v>
      </c>
      <c r="BG90" s="120">
        <v>1.7999999999999999E-6</v>
      </c>
      <c r="BH90" s="120">
        <v>1.7999999999999999E-6</v>
      </c>
      <c r="BI90" s="120">
        <v>1.7999999999999999E-6</v>
      </c>
      <c r="BJ90" s="120">
        <v>1.7999999999999999E-6</v>
      </c>
      <c r="BK90" s="120">
        <v>1.7999999999999999E-6</v>
      </c>
      <c r="BL90" s="120">
        <v>1.7999999999999999E-6</v>
      </c>
      <c r="BM90" s="120">
        <v>1.7999999999999999E-6</v>
      </c>
      <c r="BN90" s="120">
        <v>1.7999999999999999E-6</v>
      </c>
      <c r="BO90" s="168">
        <v>1.7999999999999999E-6</v>
      </c>
      <c r="BP90" s="120">
        <v>1.7999999999999999E-6</v>
      </c>
      <c r="BQ90" s="120">
        <v>1.7999999999999999E-6</v>
      </c>
      <c r="BR90" s="120">
        <v>1.7999999999999999E-6</v>
      </c>
      <c r="BS90" s="120">
        <v>1.7999999999999999E-6</v>
      </c>
      <c r="BT90" s="167">
        <v>3.5999999999999998E-8</v>
      </c>
      <c r="BU90" s="120">
        <v>3.5999999999999998E-8</v>
      </c>
      <c r="BV90" s="120">
        <v>3.5999999999999998E-8</v>
      </c>
      <c r="BW90" s="120">
        <v>3.5999999999999998E-8</v>
      </c>
      <c r="BX90" s="120">
        <v>3.5999999999999998E-8</v>
      </c>
      <c r="BY90" s="120">
        <v>3.5999999999999998E-8</v>
      </c>
      <c r="BZ90" s="120">
        <v>3.5999999999999998E-8</v>
      </c>
      <c r="CA90" s="120">
        <v>3.5999999999999998E-8</v>
      </c>
      <c r="CB90" s="120">
        <v>3.5999999999999998E-8</v>
      </c>
      <c r="CC90" s="120">
        <v>3.5999999999999998E-8</v>
      </c>
      <c r="CD90" s="120">
        <v>3.5999999999999998E-8</v>
      </c>
      <c r="CE90" s="120">
        <v>3.5999999999999998E-8</v>
      </c>
      <c r="CF90" s="120">
        <v>3.5999999999999998E-8</v>
      </c>
      <c r="CG90" s="120">
        <v>3.5999999999999998E-8</v>
      </c>
      <c r="CH90" s="169">
        <v>3.5999999999999998E-8</v>
      </c>
    </row>
    <row r="91" spans="1:192">
      <c r="A91" s="166" t="s">
        <v>595</v>
      </c>
      <c r="B91" s="120">
        <v>3.8000000000000003E-8</v>
      </c>
      <c r="C91" s="120">
        <v>3.8000000000000003E-8</v>
      </c>
      <c r="D91" s="120">
        <v>3.8000000000000003E-8</v>
      </c>
      <c r="E91" s="120">
        <v>3.8000000000000003E-8</v>
      </c>
      <c r="F91" s="120">
        <v>3.8000000000000003E-8</v>
      </c>
      <c r="G91" s="120">
        <v>3.8000000000000003E-8</v>
      </c>
      <c r="H91" s="120">
        <v>3.8000000000000003E-8</v>
      </c>
      <c r="I91" s="120">
        <v>3.8000000000000003E-8</v>
      </c>
      <c r="J91" s="120">
        <v>3.8000000000000003E-8</v>
      </c>
      <c r="K91" s="120">
        <v>3.8000000000000003E-8</v>
      </c>
      <c r="L91" s="120">
        <v>3.8000000000000003E-8</v>
      </c>
      <c r="M91" s="120">
        <v>3.8000000000000003E-8</v>
      </c>
      <c r="N91" s="120">
        <v>3.8000000000000003E-8</v>
      </c>
      <c r="O91" s="120">
        <v>3.8000000000000003E-8</v>
      </c>
      <c r="P91" s="120">
        <v>3.8000000000000003E-8</v>
      </c>
      <c r="Q91" s="120">
        <v>3.8000000000000003E-8</v>
      </c>
      <c r="R91" s="120">
        <v>3.8000000000000003E-8</v>
      </c>
      <c r="S91" s="120">
        <v>3.8000000000000003E-8</v>
      </c>
      <c r="T91" s="120">
        <v>3.8000000000000003E-8</v>
      </c>
      <c r="U91" s="120">
        <v>3.8000000000000003E-8</v>
      </c>
      <c r="V91" s="120">
        <v>3.8000000000000003E-8</v>
      </c>
      <c r="W91" s="120">
        <v>3.8000000000000003E-8</v>
      </c>
      <c r="X91" s="120">
        <v>3.8000000000000003E-8</v>
      </c>
      <c r="Y91" s="120">
        <v>3.8000000000000003E-8</v>
      </c>
      <c r="Z91" s="120">
        <v>3.8000000000000003E-8</v>
      </c>
      <c r="AA91" s="120">
        <v>3.8000000000000003E-8</v>
      </c>
      <c r="AB91" s="120">
        <v>3.8000000000000003E-8</v>
      </c>
      <c r="AC91" s="120">
        <v>3.8000000000000003E-8</v>
      </c>
      <c r="AD91" s="120">
        <v>3.8000000000000003E-8</v>
      </c>
      <c r="AE91" s="120">
        <v>3.8000000000000003E-8</v>
      </c>
      <c r="AF91" s="120">
        <v>3.8000000000000003E-8</v>
      </c>
      <c r="AG91" s="120">
        <v>3.8000000000000003E-8</v>
      </c>
      <c r="AH91" s="120">
        <v>3.8000000000000003E-8</v>
      </c>
      <c r="AI91" s="120">
        <v>3.8000000000000003E-8</v>
      </c>
      <c r="AJ91" s="120">
        <v>3.8000000000000003E-8</v>
      </c>
      <c r="AK91" s="120">
        <v>3.8000000000000003E-8</v>
      </c>
      <c r="AL91" s="168">
        <v>3.8000000000000003E-8</v>
      </c>
      <c r="AM91" s="120">
        <v>3.8000000000000003E-8</v>
      </c>
      <c r="AN91" s="120">
        <v>3.8000000000000003E-8</v>
      </c>
      <c r="AO91" s="120">
        <v>3.8000000000000003E-8</v>
      </c>
      <c r="AP91" s="168">
        <v>5.3000000000000001E-6</v>
      </c>
      <c r="AQ91" s="120"/>
      <c r="AR91" s="120"/>
      <c r="AS91" s="120"/>
      <c r="AT91" s="120"/>
      <c r="AU91" s="120"/>
      <c r="AV91" s="120"/>
      <c r="AW91" s="120"/>
      <c r="AX91" s="120"/>
      <c r="AY91" s="120"/>
      <c r="AZ91" s="120"/>
      <c r="BA91" s="120"/>
      <c r="BB91" s="120"/>
      <c r="BC91" s="120"/>
      <c r="BD91" s="120"/>
      <c r="BE91" s="168"/>
      <c r="BF91" s="120">
        <v>1.1999999999999999E-6</v>
      </c>
      <c r="BG91" s="120">
        <v>1.1999999999999999E-6</v>
      </c>
      <c r="BH91" s="120">
        <v>1.1999999999999999E-6</v>
      </c>
      <c r="BI91" s="120">
        <v>1.1999999999999999E-6</v>
      </c>
      <c r="BJ91" s="120">
        <v>1.1999999999999999E-6</v>
      </c>
      <c r="BK91" s="120">
        <v>1.1999999999999999E-6</v>
      </c>
      <c r="BL91" s="120">
        <v>1.1999999999999999E-6</v>
      </c>
      <c r="BM91" s="120">
        <v>1.1999999999999999E-6</v>
      </c>
      <c r="BN91" s="120">
        <v>1.1999999999999999E-6</v>
      </c>
      <c r="BO91" s="168">
        <v>1.1999999999999999E-6</v>
      </c>
      <c r="BP91" s="120">
        <v>1.1999999999999999E-6</v>
      </c>
      <c r="BQ91" s="120">
        <v>1.1999999999999999E-6</v>
      </c>
      <c r="BR91" s="120">
        <v>1.1999999999999999E-6</v>
      </c>
      <c r="BS91" s="120">
        <v>1.1999999999999999E-6</v>
      </c>
      <c r="BT91" s="167">
        <v>2.6000000000000001E-6</v>
      </c>
      <c r="BU91" s="120">
        <v>2.6000000000000001E-6</v>
      </c>
      <c r="BV91" s="120">
        <v>2.6000000000000001E-6</v>
      </c>
      <c r="BW91" s="120">
        <v>2.6000000000000001E-6</v>
      </c>
      <c r="BX91" s="120">
        <v>2.6000000000000001E-6</v>
      </c>
      <c r="BY91" s="120">
        <v>2.6000000000000001E-6</v>
      </c>
      <c r="BZ91" s="120">
        <v>2.6000000000000001E-6</v>
      </c>
      <c r="CA91" s="120">
        <v>2.6000000000000001E-6</v>
      </c>
      <c r="CB91" s="120">
        <v>2.6000000000000001E-6</v>
      </c>
      <c r="CC91" s="120">
        <v>2.6000000000000001E-6</v>
      </c>
      <c r="CD91" s="120">
        <v>2.6000000000000001E-6</v>
      </c>
      <c r="CE91" s="120">
        <v>2.6000000000000001E-6</v>
      </c>
      <c r="CF91" s="120">
        <v>2.6000000000000001E-6</v>
      </c>
      <c r="CG91" s="120">
        <v>2.6000000000000001E-6</v>
      </c>
      <c r="CH91" s="169">
        <v>2.6000000000000001E-6</v>
      </c>
    </row>
    <row r="92" spans="1:192">
      <c r="A92" s="166" t="s">
        <v>596</v>
      </c>
      <c r="B92" s="120">
        <v>1.7E-6</v>
      </c>
      <c r="C92" s="120">
        <v>1.7E-6</v>
      </c>
      <c r="D92" s="120">
        <v>1.7E-6</v>
      </c>
      <c r="E92" s="120">
        <v>1.7E-6</v>
      </c>
      <c r="F92" s="120">
        <v>1.7E-6</v>
      </c>
      <c r="G92" s="120">
        <v>1.7E-6</v>
      </c>
      <c r="H92" s="120">
        <v>1.7E-6</v>
      </c>
      <c r="I92" s="120">
        <v>1.7E-6</v>
      </c>
      <c r="J92" s="120">
        <v>1.7E-6</v>
      </c>
      <c r="K92" s="120">
        <v>1.7E-6</v>
      </c>
      <c r="L92" s="120">
        <v>1.7E-6</v>
      </c>
      <c r="M92" s="120">
        <v>1.7E-6</v>
      </c>
      <c r="N92" s="120">
        <v>1.7E-6</v>
      </c>
      <c r="O92" s="120">
        <v>1.7E-6</v>
      </c>
      <c r="P92" s="120">
        <v>1.7E-6</v>
      </c>
      <c r="Q92" s="120">
        <v>1.7E-6</v>
      </c>
      <c r="R92" s="120">
        <v>1.7E-6</v>
      </c>
      <c r="S92" s="120">
        <v>1.7E-6</v>
      </c>
      <c r="T92" s="120">
        <v>1.7E-6</v>
      </c>
      <c r="U92" s="120">
        <v>1.7E-6</v>
      </c>
      <c r="V92" s="120">
        <v>1.7E-6</v>
      </c>
      <c r="W92" s="120">
        <v>1.7E-6</v>
      </c>
      <c r="X92" s="120">
        <v>1.7E-6</v>
      </c>
      <c r="Y92" s="120">
        <v>1.7E-6</v>
      </c>
      <c r="Z92" s="120">
        <v>1.7E-6</v>
      </c>
      <c r="AA92" s="120">
        <v>1.7E-6</v>
      </c>
      <c r="AB92" s="120">
        <v>1.7E-6</v>
      </c>
      <c r="AC92" s="120">
        <v>1.7E-6</v>
      </c>
      <c r="AD92" s="120">
        <v>1.7E-6</v>
      </c>
      <c r="AE92" s="120">
        <v>1.7E-6</v>
      </c>
      <c r="AF92" s="120">
        <v>1.7E-6</v>
      </c>
      <c r="AG92" s="120">
        <v>1.7E-6</v>
      </c>
      <c r="AH92" s="120">
        <v>1.7E-6</v>
      </c>
      <c r="AI92" s="120">
        <v>1.7E-6</v>
      </c>
      <c r="AJ92" s="120">
        <v>1.7E-6</v>
      </c>
      <c r="AK92" s="120">
        <v>1.7E-6</v>
      </c>
      <c r="AL92" s="168">
        <v>1.7E-6</v>
      </c>
      <c r="AM92" s="120">
        <v>2.5000000000000001E-2</v>
      </c>
      <c r="AN92" s="120">
        <v>2.5000000000000001E-2</v>
      </c>
      <c r="AO92" s="120">
        <v>2.5000000000000001E-2</v>
      </c>
      <c r="AP92" s="168"/>
      <c r="AQ92" s="120"/>
      <c r="AR92" s="120"/>
      <c r="AS92" s="120"/>
      <c r="AT92" s="120"/>
      <c r="AU92" s="120"/>
      <c r="AV92" s="120"/>
      <c r="AW92" s="120"/>
      <c r="AX92" s="120"/>
      <c r="AY92" s="120"/>
      <c r="AZ92" s="120"/>
      <c r="BA92" s="120"/>
      <c r="BB92" s="120"/>
      <c r="BC92" s="120"/>
      <c r="BD92" s="120"/>
      <c r="BE92" s="168"/>
      <c r="BF92" s="151"/>
      <c r="BG92" s="120"/>
      <c r="BH92" s="120"/>
      <c r="BI92" s="120"/>
      <c r="BJ92" s="120"/>
      <c r="BK92" s="120"/>
      <c r="BL92" s="120"/>
      <c r="BM92" s="120"/>
      <c r="BN92" s="120"/>
      <c r="BO92" s="168"/>
      <c r="BP92" s="120"/>
      <c r="BQ92" s="120"/>
      <c r="BR92" s="120"/>
      <c r="BS92" s="120"/>
      <c r="BT92" s="167"/>
      <c r="BU92" s="120"/>
      <c r="BV92" s="120"/>
      <c r="BW92" s="120"/>
      <c r="BX92" s="120"/>
      <c r="BY92" s="120"/>
      <c r="BZ92" s="120"/>
      <c r="CA92" s="120"/>
      <c r="CB92" s="120"/>
      <c r="CC92" s="120"/>
      <c r="CD92" s="120"/>
      <c r="CE92" s="120"/>
      <c r="CF92" s="120"/>
      <c r="CG92" s="120"/>
      <c r="CH92" s="169"/>
    </row>
    <row r="93" spans="1:192">
      <c r="A93" s="166" t="s">
        <v>413</v>
      </c>
      <c r="B93" s="120">
        <v>9.9999999999999995E-8</v>
      </c>
      <c r="C93" s="120">
        <v>9.9999999999999995E-8</v>
      </c>
      <c r="D93" s="120">
        <v>9.9999999999999995E-8</v>
      </c>
      <c r="E93" s="120">
        <v>9.9999999999999995E-8</v>
      </c>
      <c r="F93" s="120">
        <v>9.9999999999999995E-8</v>
      </c>
      <c r="G93" s="120">
        <v>9.9999999999999995E-8</v>
      </c>
      <c r="H93" s="120">
        <v>9.9999999999999995E-8</v>
      </c>
      <c r="I93" s="120">
        <v>9.9999999999999995E-8</v>
      </c>
      <c r="J93" s="120">
        <v>9.9999999999999995E-8</v>
      </c>
      <c r="K93" s="120">
        <v>9.9999999999999995E-8</v>
      </c>
      <c r="L93" s="120">
        <v>9.9999999999999995E-8</v>
      </c>
      <c r="M93" s="120">
        <v>9.9999999999999995E-8</v>
      </c>
      <c r="N93" s="120">
        <v>9.9999999999999995E-8</v>
      </c>
      <c r="O93" s="120">
        <v>9.9999999999999995E-8</v>
      </c>
      <c r="P93" s="120">
        <v>9.9999999999999995E-8</v>
      </c>
      <c r="Q93" s="120">
        <v>9.9999999999999995E-8</v>
      </c>
      <c r="R93" s="120">
        <v>9.9999999999999995E-8</v>
      </c>
      <c r="S93" s="120">
        <v>9.9999999999999995E-8</v>
      </c>
      <c r="T93" s="120">
        <v>9.9999999999999995E-8</v>
      </c>
      <c r="U93" s="120">
        <v>9.9999999999999995E-8</v>
      </c>
      <c r="V93" s="120">
        <v>9.9999999999999995E-8</v>
      </c>
      <c r="W93" s="120">
        <v>9.9999999999999995E-8</v>
      </c>
      <c r="X93" s="120">
        <v>9.9999999999999995E-8</v>
      </c>
      <c r="Y93" s="120">
        <v>9.9999999999999995E-8</v>
      </c>
      <c r="Z93" s="120">
        <v>9.9999999999999995E-8</v>
      </c>
      <c r="AA93" s="120">
        <v>9.9999999999999995E-8</v>
      </c>
      <c r="AB93" s="120">
        <v>9.9999999999999995E-8</v>
      </c>
      <c r="AC93" s="120">
        <v>9.9999999999999995E-8</v>
      </c>
      <c r="AD93" s="120">
        <v>9.9999999999999995E-8</v>
      </c>
      <c r="AE93" s="120">
        <v>9.9999999999999995E-8</v>
      </c>
      <c r="AF93" s="120">
        <v>9.9999999999999995E-8</v>
      </c>
      <c r="AG93" s="120">
        <v>9.9999999999999995E-8</v>
      </c>
      <c r="AH93" s="120">
        <v>9.9999999999999995E-8</v>
      </c>
      <c r="AI93" s="120">
        <v>9.9999999999999995E-8</v>
      </c>
      <c r="AJ93" s="120">
        <v>9.9999999999999995E-8</v>
      </c>
      <c r="AK93" s="120">
        <v>9.9999999999999995E-8</v>
      </c>
      <c r="AL93" s="168">
        <v>9.9999999999999995E-8</v>
      </c>
      <c r="AM93" s="120">
        <v>9.9999999999999995E-8</v>
      </c>
      <c r="AN93" s="120">
        <v>9.9999999999999995E-8</v>
      </c>
      <c r="AO93" s="120">
        <v>9.9999999999999995E-8</v>
      </c>
      <c r="AP93" s="168">
        <v>8.2999999999999998E-5</v>
      </c>
      <c r="AQ93" s="120">
        <v>2.3800000000000001E-6</v>
      </c>
      <c r="AR93" s="120">
        <v>2.3800000000000001E-6</v>
      </c>
      <c r="AS93" s="120">
        <v>2.3800000000000001E-6</v>
      </c>
      <c r="AT93" s="120">
        <v>2.3800000000000001E-6</v>
      </c>
      <c r="AU93" s="120">
        <v>2.3800000000000001E-6</v>
      </c>
      <c r="AV93" s="120">
        <v>2.3800000000000001E-6</v>
      </c>
      <c r="AW93" s="120">
        <v>2.3800000000000001E-6</v>
      </c>
      <c r="AX93" s="120">
        <v>2.3800000000000001E-6</v>
      </c>
      <c r="AY93" s="120">
        <v>2.3800000000000001E-6</v>
      </c>
      <c r="AZ93" s="120">
        <v>2.3800000000000001E-6</v>
      </c>
      <c r="BA93" s="120">
        <v>2.3800000000000001E-6</v>
      </c>
      <c r="BB93" s="120">
        <v>2.3800000000000001E-6</v>
      </c>
      <c r="BC93" s="120">
        <v>2.3800000000000001E-6</v>
      </c>
      <c r="BD93" s="120">
        <v>2.3800000000000001E-6</v>
      </c>
      <c r="BE93" s="168">
        <v>2.3800000000000001E-6</v>
      </c>
      <c r="BF93" s="120">
        <v>1.7999999999999999E-6</v>
      </c>
      <c r="BG93" s="120">
        <v>1.7999999999999999E-6</v>
      </c>
      <c r="BH93" s="120">
        <v>1.7999999999999999E-6</v>
      </c>
      <c r="BI93" s="120">
        <v>1.7999999999999999E-6</v>
      </c>
      <c r="BJ93" s="120">
        <v>1.7999999999999999E-6</v>
      </c>
      <c r="BK93" s="120">
        <v>1.7999999999999999E-6</v>
      </c>
      <c r="BL93" s="120">
        <v>1.7999999999999999E-6</v>
      </c>
      <c r="BM93" s="120">
        <v>1.7999999999999999E-6</v>
      </c>
      <c r="BN93" s="120">
        <v>1.7999999999999999E-6</v>
      </c>
      <c r="BO93" s="168">
        <v>1.7999999999999999E-6</v>
      </c>
      <c r="BP93" s="120">
        <v>1.7999999999999999E-6</v>
      </c>
      <c r="BQ93" s="120">
        <v>1.7999999999999999E-6</v>
      </c>
      <c r="BR93" s="120">
        <v>1.7999999999999999E-6</v>
      </c>
      <c r="BS93" s="120">
        <v>1.7999999999999999E-6</v>
      </c>
      <c r="BT93" s="167">
        <v>3.8000000000000003E-8</v>
      </c>
      <c r="BU93" s="120">
        <v>3.8000000000000003E-8</v>
      </c>
      <c r="BV93" s="120">
        <v>3.8000000000000003E-8</v>
      </c>
      <c r="BW93" s="120">
        <v>3.8000000000000003E-8</v>
      </c>
      <c r="BX93" s="120">
        <v>3.8000000000000003E-8</v>
      </c>
      <c r="BY93" s="120">
        <v>3.8000000000000003E-8</v>
      </c>
      <c r="BZ93" s="120">
        <v>3.8000000000000003E-8</v>
      </c>
      <c r="CA93" s="120">
        <v>3.8000000000000003E-8</v>
      </c>
      <c r="CB93" s="120">
        <v>3.8000000000000003E-8</v>
      </c>
      <c r="CC93" s="120">
        <v>3.8000000000000003E-8</v>
      </c>
      <c r="CD93" s="120">
        <v>3.8000000000000003E-8</v>
      </c>
      <c r="CE93" s="120">
        <v>3.8000000000000003E-8</v>
      </c>
      <c r="CF93" s="120">
        <v>3.8000000000000003E-8</v>
      </c>
      <c r="CG93" s="120">
        <v>3.8000000000000003E-8</v>
      </c>
      <c r="CH93" s="169">
        <v>3.8000000000000003E-8</v>
      </c>
    </row>
    <row r="94" spans="1:192" s="178" customFormat="1">
      <c r="A94" s="166" t="s">
        <v>597</v>
      </c>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68"/>
      <c r="AM94" s="120"/>
      <c r="AN94" s="120"/>
      <c r="AO94" s="120"/>
      <c r="AP94" s="168"/>
      <c r="AQ94" s="120">
        <v>1.6700000000000001E-6</v>
      </c>
      <c r="AR94" s="120">
        <v>1.6700000000000001E-6</v>
      </c>
      <c r="AS94" s="120">
        <v>1.6700000000000001E-6</v>
      </c>
      <c r="AT94" s="120">
        <v>1.6700000000000001E-6</v>
      </c>
      <c r="AU94" s="120">
        <v>1.6700000000000001E-6</v>
      </c>
      <c r="AV94" s="120">
        <v>1.6700000000000001E-6</v>
      </c>
      <c r="AW94" s="120">
        <v>1.6700000000000001E-6</v>
      </c>
      <c r="AX94" s="120">
        <v>1.6700000000000001E-6</v>
      </c>
      <c r="AY94" s="120">
        <v>1.6700000000000001E-6</v>
      </c>
      <c r="AZ94" s="120">
        <v>1.6700000000000001E-6</v>
      </c>
      <c r="BA94" s="120">
        <v>1.6700000000000001E-6</v>
      </c>
      <c r="BB94" s="120">
        <v>1.6700000000000001E-6</v>
      </c>
      <c r="BC94" s="120">
        <v>1.6700000000000001E-6</v>
      </c>
      <c r="BD94" s="120">
        <v>1.6700000000000001E-6</v>
      </c>
      <c r="BE94" s="168">
        <v>1.6700000000000001E-6</v>
      </c>
      <c r="BF94" s="120">
        <v>1.1999999999999999E-6</v>
      </c>
      <c r="BG94" s="120">
        <v>1.1999999999999999E-6</v>
      </c>
      <c r="BH94" s="120">
        <v>1.1999999999999999E-6</v>
      </c>
      <c r="BI94" s="120">
        <v>1.1999999999999999E-6</v>
      </c>
      <c r="BJ94" s="120">
        <v>1.1999999999999999E-6</v>
      </c>
      <c r="BK94" s="120">
        <v>1.1999999999999999E-6</v>
      </c>
      <c r="BL94" s="120">
        <v>1.1999999999999999E-6</v>
      </c>
      <c r="BM94" s="120">
        <v>1.1999999999999999E-6</v>
      </c>
      <c r="BN94" s="120">
        <v>1.1999999999999999E-6</v>
      </c>
      <c r="BO94" s="168">
        <v>1.1999999999999999E-6</v>
      </c>
      <c r="BP94" s="120">
        <v>1.1999999999999999E-6</v>
      </c>
      <c r="BQ94" s="120">
        <v>1.1999999999999999E-6</v>
      </c>
      <c r="BR94" s="120">
        <v>1.1999999999999999E-6</v>
      </c>
      <c r="BS94" s="120">
        <v>1.1999999999999999E-6</v>
      </c>
      <c r="BT94" s="167">
        <v>9.1000000000000004E-9</v>
      </c>
      <c r="BU94" s="120">
        <v>9.1000000000000004E-9</v>
      </c>
      <c r="BV94" s="120">
        <v>9.1000000000000004E-9</v>
      </c>
      <c r="BW94" s="120">
        <v>9.1000000000000004E-9</v>
      </c>
      <c r="BX94" s="120">
        <v>9.1000000000000004E-9</v>
      </c>
      <c r="BY94" s="120">
        <v>9.1000000000000004E-9</v>
      </c>
      <c r="BZ94" s="120">
        <v>9.1000000000000004E-9</v>
      </c>
      <c r="CA94" s="120">
        <v>9.1000000000000004E-9</v>
      </c>
      <c r="CB94" s="120">
        <v>9.1000000000000004E-9</v>
      </c>
      <c r="CC94" s="120">
        <v>9.1000000000000004E-9</v>
      </c>
      <c r="CD94" s="120">
        <v>9.1000000000000004E-9</v>
      </c>
      <c r="CE94" s="120">
        <v>9.1000000000000004E-9</v>
      </c>
      <c r="CF94" s="120">
        <v>9.1000000000000004E-9</v>
      </c>
      <c r="CG94" s="120">
        <v>9.1000000000000004E-9</v>
      </c>
      <c r="CH94" s="169">
        <v>9.1000000000000004E-9</v>
      </c>
      <c r="CI94" s="61"/>
      <c r="CJ94" s="61"/>
      <c r="CK94" s="61"/>
      <c r="CL94" s="61"/>
      <c r="CM94" s="61"/>
      <c r="CN94" s="61"/>
      <c r="CO94" s="61"/>
      <c r="CP94" s="61"/>
      <c r="CQ94" s="61"/>
      <c r="CR94" s="61"/>
      <c r="CS94" s="61"/>
      <c r="CT94" s="61"/>
      <c r="CU94" s="61"/>
      <c r="CV94" s="61"/>
      <c r="CW94" s="61"/>
      <c r="CX94" s="61"/>
      <c r="CY94" s="61"/>
      <c r="CZ94" s="61"/>
      <c r="DA94" s="61"/>
      <c r="DB94" s="61"/>
      <c r="DC94" s="61"/>
      <c r="DD94" s="61"/>
      <c r="DE94" s="61"/>
      <c r="DF94" s="61"/>
      <c r="DG94" s="61"/>
      <c r="DH94" s="61"/>
      <c r="DI94" s="61"/>
      <c r="DJ94" s="61"/>
      <c r="DK94" s="61"/>
      <c r="DL94" s="61"/>
      <c r="DM94" s="61"/>
      <c r="DN94" s="61"/>
      <c r="DO94" s="61"/>
      <c r="DP94" s="61"/>
      <c r="DQ94" s="61"/>
      <c r="DR94" s="61"/>
      <c r="DS94" s="61"/>
      <c r="DT94" s="61"/>
      <c r="DU94" s="61"/>
      <c r="DV94" s="61"/>
      <c r="DW94" s="61"/>
      <c r="DX94" s="61"/>
      <c r="DY94" s="61"/>
      <c r="DZ94" s="61"/>
      <c r="EA94" s="61"/>
      <c r="EB94" s="61"/>
      <c r="EC94" s="61"/>
      <c r="ED94" s="61"/>
      <c r="EE94" s="61"/>
      <c r="EF94" s="61"/>
      <c r="EG94" s="61"/>
      <c r="EH94" s="61"/>
      <c r="EI94" s="61"/>
      <c r="EJ94" s="61"/>
      <c r="EK94" s="61"/>
      <c r="EL94" s="61"/>
      <c r="EM94" s="61"/>
      <c r="EN94" s="61"/>
      <c r="EO94" s="61"/>
      <c r="EP94" s="61"/>
      <c r="EQ94" s="61"/>
      <c r="ER94" s="61"/>
      <c r="ES94" s="61"/>
      <c r="ET94" s="61"/>
      <c r="EU94" s="61"/>
      <c r="EV94" s="61"/>
      <c r="EW94" s="61"/>
      <c r="EX94" s="61"/>
      <c r="EY94" s="61"/>
      <c r="EZ94" s="61"/>
      <c r="FA94" s="61"/>
      <c r="FB94" s="61"/>
      <c r="FC94" s="61"/>
      <c r="FD94" s="61"/>
      <c r="FE94" s="61"/>
      <c r="FF94" s="61"/>
      <c r="FG94" s="61"/>
      <c r="FH94" s="61"/>
      <c r="FI94" s="61"/>
      <c r="FJ94" s="61"/>
      <c r="FK94" s="61"/>
      <c r="FL94" s="61"/>
      <c r="FM94" s="61"/>
      <c r="FN94" s="61"/>
      <c r="FO94" s="61"/>
      <c r="FP94" s="61"/>
      <c r="FQ94" s="61"/>
      <c r="FR94" s="61"/>
      <c r="FS94" s="61"/>
      <c r="FT94" s="61"/>
      <c r="FU94" s="61"/>
      <c r="FV94" s="61"/>
      <c r="FW94" s="61"/>
      <c r="FX94" s="61"/>
      <c r="FY94" s="61"/>
      <c r="FZ94" s="61"/>
      <c r="GA94" s="61"/>
      <c r="GB94" s="61"/>
      <c r="GC94" s="61"/>
      <c r="GD94" s="61"/>
      <c r="GE94" s="61"/>
      <c r="GF94" s="61"/>
      <c r="GG94" s="61"/>
      <c r="GH94" s="61"/>
      <c r="GI94" s="61"/>
      <c r="GJ94" s="61"/>
    </row>
    <row r="95" spans="1:192">
      <c r="A95" s="166" t="s">
        <v>598</v>
      </c>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68"/>
      <c r="AM95" s="120"/>
      <c r="AN95" s="120"/>
      <c r="AO95" s="120"/>
      <c r="AP95" s="168"/>
      <c r="AQ95" s="120"/>
      <c r="AR95" s="120"/>
      <c r="AS95" s="120"/>
      <c r="AT95" s="120"/>
      <c r="AU95" s="120"/>
      <c r="AV95" s="120"/>
      <c r="AW95" s="120"/>
      <c r="AX95" s="120"/>
      <c r="AY95" s="120"/>
      <c r="AZ95" s="120"/>
      <c r="BA95" s="120"/>
      <c r="BB95" s="120"/>
      <c r="BC95" s="120"/>
      <c r="BD95" s="120"/>
      <c r="BE95" s="168"/>
      <c r="BF95" s="151"/>
      <c r="BG95" s="120"/>
      <c r="BH95" s="120"/>
      <c r="BI95" s="120"/>
      <c r="BJ95" s="120"/>
      <c r="BK95" s="120"/>
      <c r="BL95" s="120"/>
      <c r="BM95" s="120"/>
      <c r="BN95" s="120"/>
      <c r="BO95" s="168"/>
      <c r="BP95" s="120"/>
      <c r="BQ95" s="120"/>
      <c r="BR95" s="120"/>
      <c r="BS95" s="120"/>
      <c r="BT95" s="167">
        <f>0.000000002+0.00000000024+0.0000016+0.00000000028+0.000000066+0.000000000088+0.0000000015+0.00000000042+0.0000000000086+0.00000000047+0.00000000009+0.00000000075</f>
        <v>1.6718466000000001E-6</v>
      </c>
      <c r="BU95" s="120">
        <v>1.6718466000000001E-6</v>
      </c>
      <c r="BV95" s="120">
        <v>1.6718466000000001E-6</v>
      </c>
      <c r="BW95" s="120">
        <v>1.6718466000000001E-6</v>
      </c>
      <c r="BX95" s="120">
        <v>1.6718466000000001E-6</v>
      </c>
      <c r="BY95" s="120">
        <v>1.6718466000000001E-6</v>
      </c>
      <c r="BZ95" s="120">
        <v>1.6718466000000001E-6</v>
      </c>
      <c r="CA95" s="120">
        <v>1.6718466000000001E-6</v>
      </c>
      <c r="CB95" s="120">
        <v>1.6718466000000001E-6</v>
      </c>
      <c r="CC95" s="120">
        <v>1.6718466000000001E-6</v>
      </c>
      <c r="CD95" s="120">
        <v>1.6718466000000001E-6</v>
      </c>
      <c r="CE95" s="120">
        <v>1.6718466000000001E-6</v>
      </c>
      <c r="CF95" s="120">
        <v>1.6718466000000001E-6</v>
      </c>
      <c r="CG95" s="120">
        <v>1.6718466000000001E-6</v>
      </c>
      <c r="CH95" s="169">
        <v>1.6718466000000001E-6</v>
      </c>
    </row>
    <row r="96" spans="1:192">
      <c r="A96" s="166" t="s">
        <v>414</v>
      </c>
      <c r="B96" s="120">
        <v>7.0999999999999998E-7</v>
      </c>
      <c r="C96" s="120">
        <v>7.0999999999999998E-7</v>
      </c>
      <c r="D96" s="120">
        <v>7.0999999999999998E-7</v>
      </c>
      <c r="E96" s="120">
        <v>7.0999999999999998E-7</v>
      </c>
      <c r="F96" s="120">
        <v>7.0999999999999998E-7</v>
      </c>
      <c r="G96" s="120">
        <v>7.0999999999999998E-7</v>
      </c>
      <c r="H96" s="120">
        <v>7.0999999999999998E-7</v>
      </c>
      <c r="I96" s="120">
        <v>7.0999999999999998E-7</v>
      </c>
      <c r="J96" s="120">
        <v>7.0999999999999998E-7</v>
      </c>
      <c r="K96" s="120">
        <v>7.0999999999999998E-7</v>
      </c>
      <c r="L96" s="120">
        <v>7.0999999999999998E-7</v>
      </c>
      <c r="M96" s="120">
        <v>7.0999999999999998E-7</v>
      </c>
      <c r="N96" s="120">
        <v>7.0999999999999998E-7</v>
      </c>
      <c r="O96" s="120">
        <v>7.0999999999999998E-7</v>
      </c>
      <c r="P96" s="120">
        <v>7.0999999999999998E-7</v>
      </c>
      <c r="Q96" s="120">
        <v>7.0999999999999998E-7</v>
      </c>
      <c r="R96" s="120">
        <v>7.0999999999999998E-7</v>
      </c>
      <c r="S96" s="120">
        <v>7.0999999999999998E-7</v>
      </c>
      <c r="T96" s="120">
        <v>7.0999999999999998E-7</v>
      </c>
      <c r="U96" s="120">
        <v>7.0999999999999998E-7</v>
      </c>
      <c r="V96" s="120">
        <v>7.0999999999999998E-7</v>
      </c>
      <c r="W96" s="120">
        <v>7.0999999999999998E-7</v>
      </c>
      <c r="X96" s="120">
        <v>7.0999999999999998E-7</v>
      </c>
      <c r="Y96" s="120">
        <v>7.0999999999999998E-7</v>
      </c>
      <c r="Z96" s="120">
        <v>7.0999999999999998E-7</v>
      </c>
      <c r="AA96" s="120">
        <v>7.0999999999999998E-7</v>
      </c>
      <c r="AB96" s="120">
        <v>7.0999999999999998E-7</v>
      </c>
      <c r="AC96" s="120">
        <v>7.0999999999999998E-7</v>
      </c>
      <c r="AD96" s="120">
        <v>7.0999999999999998E-7</v>
      </c>
      <c r="AE96" s="120">
        <v>7.0999999999999998E-7</v>
      </c>
      <c r="AF96" s="120">
        <v>7.0999999999999998E-7</v>
      </c>
      <c r="AG96" s="120">
        <v>7.0999999999999998E-7</v>
      </c>
      <c r="AH96" s="120">
        <v>7.0999999999999998E-7</v>
      </c>
      <c r="AI96" s="120">
        <v>7.0999999999999998E-7</v>
      </c>
      <c r="AJ96" s="120">
        <v>7.0999999999999998E-7</v>
      </c>
      <c r="AK96" s="120">
        <v>7.0999999999999998E-7</v>
      </c>
      <c r="AL96" s="168">
        <v>7.0999999999999998E-7</v>
      </c>
      <c r="AM96" s="120">
        <v>7.0999999999999998E-7</v>
      </c>
      <c r="AN96" s="120">
        <v>7.0999999999999998E-7</v>
      </c>
      <c r="AO96" s="120">
        <v>7.0999999999999998E-7</v>
      </c>
      <c r="AP96" s="168">
        <v>1.7000000000000001E-4</v>
      </c>
      <c r="AQ96" s="120">
        <v>4.8400000000000002E-6</v>
      </c>
      <c r="AR96" s="120">
        <v>4.8400000000000002E-6</v>
      </c>
      <c r="AS96" s="120">
        <v>4.8400000000000002E-6</v>
      </c>
      <c r="AT96" s="120">
        <v>4.8400000000000002E-6</v>
      </c>
      <c r="AU96" s="120">
        <v>4.8400000000000002E-6</v>
      </c>
      <c r="AV96" s="120">
        <v>4.8400000000000002E-6</v>
      </c>
      <c r="AW96" s="120">
        <v>4.8400000000000002E-6</v>
      </c>
      <c r="AX96" s="120">
        <v>4.8400000000000002E-6</v>
      </c>
      <c r="AY96" s="120">
        <v>4.8400000000000002E-6</v>
      </c>
      <c r="AZ96" s="120">
        <v>4.8400000000000002E-6</v>
      </c>
      <c r="BA96" s="120">
        <v>4.8400000000000002E-6</v>
      </c>
      <c r="BB96" s="120">
        <v>4.8400000000000002E-6</v>
      </c>
      <c r="BC96" s="120">
        <v>4.8400000000000002E-6</v>
      </c>
      <c r="BD96" s="120">
        <v>4.8400000000000002E-6</v>
      </c>
      <c r="BE96" s="168">
        <v>4.8400000000000002E-6</v>
      </c>
      <c r="BF96" s="120">
        <v>3.0000000000000001E-6</v>
      </c>
      <c r="BG96" s="120">
        <v>3.0000000000000001E-6</v>
      </c>
      <c r="BH96" s="120">
        <v>3.0000000000000001E-6</v>
      </c>
      <c r="BI96" s="120">
        <v>3.0000000000000001E-6</v>
      </c>
      <c r="BJ96" s="120">
        <v>3.0000000000000001E-6</v>
      </c>
      <c r="BK96" s="120">
        <v>3.0000000000000001E-6</v>
      </c>
      <c r="BL96" s="120">
        <v>3.0000000000000001E-6</v>
      </c>
      <c r="BM96" s="120">
        <v>3.0000000000000001E-6</v>
      </c>
      <c r="BN96" s="120">
        <v>3.0000000000000001E-6</v>
      </c>
      <c r="BO96" s="168">
        <v>3.0000000000000001E-6</v>
      </c>
      <c r="BP96" s="120">
        <v>3.0000000000000001E-6</v>
      </c>
      <c r="BQ96" s="120">
        <v>3.0000000000000001E-6</v>
      </c>
      <c r="BR96" s="120">
        <v>3.0000000000000001E-6</v>
      </c>
      <c r="BS96" s="120">
        <v>3.0000000000000001E-6</v>
      </c>
      <c r="BT96" s="167">
        <v>1.5999999999999999E-6</v>
      </c>
      <c r="BU96" s="120">
        <v>1.5999999999999999E-6</v>
      </c>
      <c r="BV96" s="120">
        <v>1.5999999999999999E-6</v>
      </c>
      <c r="BW96" s="120">
        <v>1.5999999999999999E-6</v>
      </c>
      <c r="BX96" s="120">
        <v>1.5999999999999999E-6</v>
      </c>
      <c r="BY96" s="120">
        <v>1.5999999999999999E-6</v>
      </c>
      <c r="BZ96" s="120">
        <v>1.5999999999999999E-6</v>
      </c>
      <c r="CA96" s="120">
        <v>1.5999999999999999E-6</v>
      </c>
      <c r="CB96" s="120">
        <v>1.5999999999999999E-6</v>
      </c>
      <c r="CC96" s="120">
        <v>1.5999999999999999E-6</v>
      </c>
      <c r="CD96" s="120">
        <v>1.5999999999999999E-6</v>
      </c>
      <c r="CE96" s="120">
        <v>1.5999999999999999E-6</v>
      </c>
      <c r="CF96" s="120">
        <v>1.5999999999999999E-6</v>
      </c>
      <c r="CG96" s="120">
        <v>1.5999999999999999E-6</v>
      </c>
      <c r="CH96" s="169">
        <v>1.5999999999999999E-6</v>
      </c>
    </row>
    <row r="97" spans="1:192">
      <c r="A97" s="166" t="s">
        <v>415</v>
      </c>
      <c r="B97" s="120">
        <v>9.0999999999999997E-7</v>
      </c>
      <c r="C97" s="120">
        <v>9.0999999999999997E-7</v>
      </c>
      <c r="D97" s="120">
        <v>9.0999999999999997E-7</v>
      </c>
      <c r="E97" s="120">
        <v>9.0999999999999997E-7</v>
      </c>
      <c r="F97" s="120">
        <v>9.0999999999999997E-7</v>
      </c>
      <c r="G97" s="120">
        <v>9.0999999999999997E-7</v>
      </c>
      <c r="H97" s="120">
        <v>9.0999999999999997E-7</v>
      </c>
      <c r="I97" s="120">
        <v>9.0999999999999997E-7</v>
      </c>
      <c r="J97" s="120">
        <v>9.0999999999999997E-7</v>
      </c>
      <c r="K97" s="120">
        <v>9.0999999999999997E-7</v>
      </c>
      <c r="L97" s="120">
        <v>9.0999999999999997E-7</v>
      </c>
      <c r="M97" s="120">
        <v>9.0999999999999997E-7</v>
      </c>
      <c r="N97" s="120">
        <v>9.0999999999999997E-7</v>
      </c>
      <c r="O97" s="120">
        <v>9.0999999999999997E-7</v>
      </c>
      <c r="P97" s="120">
        <v>9.0999999999999997E-7</v>
      </c>
      <c r="Q97" s="120">
        <v>9.0999999999999997E-7</v>
      </c>
      <c r="R97" s="120">
        <v>9.0999999999999997E-7</v>
      </c>
      <c r="S97" s="120">
        <v>9.0999999999999997E-7</v>
      </c>
      <c r="T97" s="120">
        <v>9.0999999999999997E-7</v>
      </c>
      <c r="U97" s="120">
        <v>9.0999999999999997E-7</v>
      </c>
      <c r="V97" s="120">
        <v>9.0999999999999997E-7</v>
      </c>
      <c r="W97" s="120">
        <v>9.0999999999999997E-7</v>
      </c>
      <c r="X97" s="120">
        <v>9.0999999999999997E-7</v>
      </c>
      <c r="Y97" s="120">
        <v>9.0999999999999997E-7</v>
      </c>
      <c r="Z97" s="120">
        <v>9.0999999999999997E-7</v>
      </c>
      <c r="AA97" s="120">
        <v>9.0999999999999997E-7</v>
      </c>
      <c r="AB97" s="120">
        <v>9.0999999999999997E-7</v>
      </c>
      <c r="AC97" s="120">
        <v>9.0999999999999997E-7</v>
      </c>
      <c r="AD97" s="120">
        <v>9.0999999999999997E-7</v>
      </c>
      <c r="AE97" s="120">
        <v>9.0999999999999997E-7</v>
      </c>
      <c r="AF97" s="120">
        <v>9.0999999999999997E-7</v>
      </c>
      <c r="AG97" s="120">
        <v>9.0999999999999997E-7</v>
      </c>
      <c r="AH97" s="120">
        <v>9.0999999999999997E-7</v>
      </c>
      <c r="AI97" s="120">
        <v>9.0999999999999997E-7</v>
      </c>
      <c r="AJ97" s="120">
        <v>9.0999999999999997E-7</v>
      </c>
      <c r="AK97" s="120">
        <v>9.0999999999999997E-7</v>
      </c>
      <c r="AL97" s="168">
        <v>9.0999999999999997E-7</v>
      </c>
      <c r="AM97" s="120">
        <v>9.0999999999999997E-7</v>
      </c>
      <c r="AN97" s="120">
        <v>9.0999999999999997E-7</v>
      </c>
      <c r="AO97" s="120">
        <v>9.0999999999999997E-7</v>
      </c>
      <c r="AP97" s="168">
        <v>2.5000000000000001E-5</v>
      </c>
      <c r="AQ97" s="120">
        <v>4.4700000000000004E-6</v>
      </c>
      <c r="AR97" s="120">
        <v>4.4700000000000004E-6</v>
      </c>
      <c r="AS97" s="120">
        <v>4.4700000000000004E-6</v>
      </c>
      <c r="AT97" s="120">
        <v>4.4700000000000004E-6</v>
      </c>
      <c r="AU97" s="120">
        <v>4.4700000000000004E-6</v>
      </c>
      <c r="AV97" s="120">
        <v>4.4700000000000004E-6</v>
      </c>
      <c r="AW97" s="120">
        <v>4.4700000000000004E-6</v>
      </c>
      <c r="AX97" s="120">
        <v>4.4700000000000004E-6</v>
      </c>
      <c r="AY97" s="120">
        <v>4.4700000000000004E-6</v>
      </c>
      <c r="AZ97" s="120">
        <v>4.4700000000000004E-6</v>
      </c>
      <c r="BA97" s="120">
        <v>4.4700000000000004E-6</v>
      </c>
      <c r="BB97" s="120">
        <v>4.4700000000000004E-6</v>
      </c>
      <c r="BC97" s="120">
        <v>4.4700000000000004E-6</v>
      </c>
      <c r="BD97" s="120">
        <v>4.4700000000000004E-6</v>
      </c>
      <c r="BE97" s="168">
        <v>4.4700000000000004E-6</v>
      </c>
      <c r="BF97" s="120">
        <v>2.7999999999999999E-6</v>
      </c>
      <c r="BG97" s="120">
        <v>2.7999999999999999E-6</v>
      </c>
      <c r="BH97" s="120">
        <v>2.7999999999999999E-6</v>
      </c>
      <c r="BI97" s="120">
        <v>2.7999999999999999E-6</v>
      </c>
      <c r="BJ97" s="120">
        <v>2.7999999999999999E-6</v>
      </c>
      <c r="BK97" s="120">
        <v>2.7999999999999999E-6</v>
      </c>
      <c r="BL97" s="120">
        <v>2.7999999999999999E-6</v>
      </c>
      <c r="BM97" s="120">
        <v>2.7999999999999999E-6</v>
      </c>
      <c r="BN97" s="120">
        <v>2.7999999999999999E-6</v>
      </c>
      <c r="BO97" s="168">
        <v>2.7999999999999999E-6</v>
      </c>
      <c r="BP97" s="120">
        <v>2.7999999999999999E-6</v>
      </c>
      <c r="BQ97" s="120">
        <v>2.7999999999999999E-6</v>
      </c>
      <c r="BR97" s="120">
        <v>2.7999999999999999E-6</v>
      </c>
      <c r="BS97" s="120">
        <v>2.7999999999999999E-6</v>
      </c>
      <c r="BT97" s="167">
        <v>3.4000000000000001E-6</v>
      </c>
      <c r="BU97" s="120">
        <v>3.4000000000000001E-6</v>
      </c>
      <c r="BV97" s="120">
        <v>3.4000000000000001E-6</v>
      </c>
      <c r="BW97" s="120">
        <v>3.4000000000000001E-6</v>
      </c>
      <c r="BX97" s="120">
        <v>3.4000000000000001E-6</v>
      </c>
      <c r="BY97" s="120">
        <v>3.4000000000000001E-6</v>
      </c>
      <c r="BZ97" s="120">
        <v>3.4000000000000001E-6</v>
      </c>
      <c r="CA97" s="120">
        <v>3.4000000000000001E-6</v>
      </c>
      <c r="CB97" s="120">
        <v>3.4000000000000001E-6</v>
      </c>
      <c r="CC97" s="120">
        <v>3.4000000000000001E-6</v>
      </c>
      <c r="CD97" s="120">
        <v>3.4000000000000001E-6</v>
      </c>
      <c r="CE97" s="120">
        <v>3.4000000000000001E-6</v>
      </c>
      <c r="CF97" s="120">
        <v>3.4000000000000001E-6</v>
      </c>
      <c r="CG97" s="120">
        <v>3.4000000000000001E-6</v>
      </c>
      <c r="CH97" s="169">
        <v>3.4000000000000001E-6</v>
      </c>
    </row>
    <row r="98" spans="1:192">
      <c r="A98" s="166" t="s">
        <v>416</v>
      </c>
      <c r="B98" s="120">
        <v>6.1000000000000004E-8</v>
      </c>
      <c r="C98" s="120">
        <v>6.1000000000000004E-8</v>
      </c>
      <c r="D98" s="120">
        <v>6.1000000000000004E-8</v>
      </c>
      <c r="E98" s="120">
        <v>6.1000000000000004E-8</v>
      </c>
      <c r="F98" s="120">
        <v>6.1000000000000004E-8</v>
      </c>
      <c r="G98" s="120">
        <v>6.1000000000000004E-8</v>
      </c>
      <c r="H98" s="120">
        <v>6.1000000000000004E-8</v>
      </c>
      <c r="I98" s="120">
        <v>6.1000000000000004E-8</v>
      </c>
      <c r="J98" s="120">
        <v>6.1000000000000004E-8</v>
      </c>
      <c r="K98" s="120">
        <v>6.1000000000000004E-8</v>
      </c>
      <c r="L98" s="120">
        <v>6.1000000000000004E-8</v>
      </c>
      <c r="M98" s="120">
        <v>6.1000000000000004E-8</v>
      </c>
      <c r="N98" s="120">
        <v>6.1000000000000004E-8</v>
      </c>
      <c r="O98" s="120">
        <v>6.1000000000000004E-8</v>
      </c>
      <c r="P98" s="120">
        <v>6.1000000000000004E-8</v>
      </c>
      <c r="Q98" s="120">
        <v>6.1000000000000004E-8</v>
      </c>
      <c r="R98" s="120">
        <v>6.1000000000000004E-8</v>
      </c>
      <c r="S98" s="120">
        <v>6.1000000000000004E-8</v>
      </c>
      <c r="T98" s="120">
        <v>6.1000000000000004E-8</v>
      </c>
      <c r="U98" s="120">
        <v>6.1000000000000004E-8</v>
      </c>
      <c r="V98" s="120">
        <v>6.1000000000000004E-8</v>
      </c>
      <c r="W98" s="120">
        <v>6.1000000000000004E-8</v>
      </c>
      <c r="X98" s="120">
        <v>6.1000000000000004E-8</v>
      </c>
      <c r="Y98" s="120">
        <v>6.1000000000000004E-8</v>
      </c>
      <c r="Z98" s="120">
        <v>6.1000000000000004E-8</v>
      </c>
      <c r="AA98" s="120">
        <v>6.1000000000000004E-8</v>
      </c>
      <c r="AB98" s="120">
        <v>6.1000000000000004E-8</v>
      </c>
      <c r="AC98" s="120">
        <v>6.1000000000000004E-8</v>
      </c>
      <c r="AD98" s="120">
        <v>6.1000000000000004E-8</v>
      </c>
      <c r="AE98" s="120">
        <v>6.1000000000000004E-8</v>
      </c>
      <c r="AF98" s="120">
        <v>6.1000000000000004E-8</v>
      </c>
      <c r="AG98" s="120">
        <v>6.1000000000000004E-8</v>
      </c>
      <c r="AH98" s="120">
        <v>6.1000000000000004E-8</v>
      </c>
      <c r="AI98" s="120">
        <v>6.1000000000000004E-8</v>
      </c>
      <c r="AJ98" s="120">
        <v>6.1000000000000004E-8</v>
      </c>
      <c r="AK98" s="120">
        <v>6.1000000000000004E-8</v>
      </c>
      <c r="AL98" s="168">
        <v>6.1000000000000004E-8</v>
      </c>
      <c r="AM98" s="120">
        <v>6.1000000000000004E-8</v>
      </c>
      <c r="AN98" s="120">
        <v>6.1000000000000004E-8</v>
      </c>
      <c r="AO98" s="120">
        <v>6.1000000000000004E-8</v>
      </c>
      <c r="AP98" s="168">
        <v>6.9E-6</v>
      </c>
      <c r="AQ98" s="120">
        <v>2.1399999999999998E-6</v>
      </c>
      <c r="AR98" s="120">
        <v>2.1399999999999998E-6</v>
      </c>
      <c r="AS98" s="120">
        <v>2.1399999999999998E-6</v>
      </c>
      <c r="AT98" s="120">
        <v>2.1399999999999998E-6</v>
      </c>
      <c r="AU98" s="120">
        <v>2.1399999999999998E-6</v>
      </c>
      <c r="AV98" s="120">
        <v>2.1399999999999998E-6</v>
      </c>
      <c r="AW98" s="120">
        <v>2.1399999999999998E-6</v>
      </c>
      <c r="AX98" s="120">
        <v>2.1399999999999998E-6</v>
      </c>
      <c r="AY98" s="120">
        <v>2.1399999999999998E-6</v>
      </c>
      <c r="AZ98" s="120">
        <v>2.1399999999999998E-6</v>
      </c>
      <c r="BA98" s="120">
        <v>2.1399999999999998E-6</v>
      </c>
      <c r="BB98" s="120">
        <v>2.1399999999999998E-6</v>
      </c>
      <c r="BC98" s="120">
        <v>2.1399999999999998E-6</v>
      </c>
      <c r="BD98" s="120">
        <v>2.1399999999999998E-6</v>
      </c>
      <c r="BE98" s="168">
        <v>2.1399999999999998E-6</v>
      </c>
      <c r="BF98" s="120">
        <v>1.7999999999999999E-6</v>
      </c>
      <c r="BG98" s="120">
        <v>1.7999999999999999E-6</v>
      </c>
      <c r="BH98" s="120">
        <v>1.7999999999999999E-6</v>
      </c>
      <c r="BI98" s="120">
        <v>1.7999999999999999E-6</v>
      </c>
      <c r="BJ98" s="120">
        <v>1.7999999999999999E-6</v>
      </c>
      <c r="BK98" s="120">
        <v>1.7999999999999999E-6</v>
      </c>
      <c r="BL98" s="120">
        <v>1.7999999999999999E-6</v>
      </c>
      <c r="BM98" s="120">
        <v>1.7999999999999999E-6</v>
      </c>
      <c r="BN98" s="120">
        <v>1.7999999999999999E-6</v>
      </c>
      <c r="BO98" s="168">
        <v>1.7999999999999999E-6</v>
      </c>
      <c r="BP98" s="120">
        <v>1.7999999999999999E-6</v>
      </c>
      <c r="BQ98" s="120">
        <v>1.7999999999999999E-6</v>
      </c>
      <c r="BR98" s="120">
        <v>1.7999999999999999E-6</v>
      </c>
      <c r="BS98" s="120">
        <v>1.7999999999999999E-6</v>
      </c>
      <c r="BT98" s="167">
        <v>8.6999999999999998E-8</v>
      </c>
      <c r="BU98" s="120">
        <v>8.6999999999999998E-8</v>
      </c>
      <c r="BV98" s="120">
        <v>8.6999999999999998E-8</v>
      </c>
      <c r="BW98" s="120">
        <v>8.6999999999999998E-8</v>
      </c>
      <c r="BX98" s="120">
        <v>8.6999999999999998E-8</v>
      </c>
      <c r="BY98" s="120">
        <v>8.6999999999999998E-8</v>
      </c>
      <c r="BZ98" s="120">
        <v>8.6999999999999998E-8</v>
      </c>
      <c r="CA98" s="120">
        <v>8.6999999999999998E-8</v>
      </c>
      <c r="CB98" s="120">
        <v>8.6999999999999998E-8</v>
      </c>
      <c r="CC98" s="120">
        <v>8.6999999999999998E-8</v>
      </c>
      <c r="CD98" s="120">
        <v>8.6999999999999998E-8</v>
      </c>
      <c r="CE98" s="120">
        <v>8.6999999999999998E-8</v>
      </c>
      <c r="CF98" s="120">
        <v>8.6999999999999998E-8</v>
      </c>
      <c r="CG98" s="120">
        <v>8.6999999999999998E-8</v>
      </c>
      <c r="CH98" s="169">
        <v>8.6999999999999998E-8</v>
      </c>
    </row>
    <row r="99" spans="1:192">
      <c r="A99" s="166" t="s">
        <v>100</v>
      </c>
      <c r="B99" s="120">
        <v>1.2999999999999999E-5</v>
      </c>
      <c r="C99" s="120">
        <v>1.2999999999999999E-5</v>
      </c>
      <c r="D99" s="120">
        <v>1.2999999999999999E-5</v>
      </c>
      <c r="E99" s="120">
        <v>1.2999999999999999E-5</v>
      </c>
      <c r="F99" s="120">
        <v>1.2999999999999999E-5</v>
      </c>
      <c r="G99" s="120">
        <v>1.2999999999999999E-5</v>
      </c>
      <c r="H99" s="120">
        <v>1.2999999999999999E-5</v>
      </c>
      <c r="I99" s="120">
        <v>1.2999999999999999E-5</v>
      </c>
      <c r="J99" s="120">
        <v>1.2999999999999999E-5</v>
      </c>
      <c r="K99" s="120">
        <v>1.2999999999999999E-5</v>
      </c>
      <c r="L99" s="120">
        <v>1.2999999999999999E-5</v>
      </c>
      <c r="M99" s="120">
        <v>1.2999999999999999E-5</v>
      </c>
      <c r="N99" s="120">
        <v>1.2999999999999999E-5</v>
      </c>
      <c r="O99" s="120">
        <v>1.2999999999999999E-5</v>
      </c>
      <c r="P99" s="120">
        <v>1.2999999999999999E-5</v>
      </c>
      <c r="Q99" s="120">
        <v>1.2999999999999999E-5</v>
      </c>
      <c r="R99" s="120">
        <v>1.2999999999999999E-5</v>
      </c>
      <c r="S99" s="120">
        <v>1.2999999999999999E-5</v>
      </c>
      <c r="T99" s="120">
        <v>1.2999999999999999E-5</v>
      </c>
      <c r="U99" s="120">
        <v>1.2999999999999999E-5</v>
      </c>
      <c r="V99" s="120">
        <v>1.2999999999999999E-5</v>
      </c>
      <c r="W99" s="120">
        <v>1.2999999999999999E-5</v>
      </c>
      <c r="X99" s="120">
        <v>1.2999999999999999E-5</v>
      </c>
      <c r="Y99" s="120">
        <v>1.2999999999999999E-5</v>
      </c>
      <c r="Z99" s="120">
        <v>1.2999999999999999E-5</v>
      </c>
      <c r="AA99" s="120">
        <v>1.2999999999999999E-5</v>
      </c>
      <c r="AB99" s="120">
        <v>1.2999999999999999E-5</v>
      </c>
      <c r="AC99" s="120">
        <v>1.2999999999999999E-5</v>
      </c>
      <c r="AD99" s="120">
        <v>1.2999999999999999E-5</v>
      </c>
      <c r="AE99" s="120">
        <v>1.2999999999999999E-5</v>
      </c>
      <c r="AF99" s="120">
        <v>1.2999999999999999E-5</v>
      </c>
      <c r="AG99" s="120">
        <v>1.2999999999999999E-5</v>
      </c>
      <c r="AH99" s="120">
        <v>1.2999999999999999E-5</v>
      </c>
      <c r="AI99" s="120">
        <v>1.2999999999999999E-5</v>
      </c>
      <c r="AJ99" s="120">
        <v>1.2999999999999999E-5</v>
      </c>
      <c r="AK99" s="120">
        <v>1.2999999999999999E-5</v>
      </c>
      <c r="AL99" s="168">
        <v>1.2999999999999999E-5</v>
      </c>
      <c r="AM99" s="120">
        <v>0.13</v>
      </c>
      <c r="AN99" s="120">
        <v>1.2999999999999999E-5</v>
      </c>
      <c r="AO99" s="120">
        <v>1.2999999999999999E-5</v>
      </c>
      <c r="AP99" s="168">
        <v>2.2000000000000001E-4</v>
      </c>
      <c r="AQ99" s="120">
        <v>1.1299999999999999E-3</v>
      </c>
      <c r="AR99" s="120">
        <v>1.1299999999999999E-3</v>
      </c>
      <c r="AS99" s="120">
        <v>1.1299999999999999E-3</v>
      </c>
      <c r="AT99" s="120">
        <v>1.1299999999999999E-3</v>
      </c>
      <c r="AU99" s="120">
        <v>1.1299999999999999E-3</v>
      </c>
      <c r="AV99" s="120">
        <v>1.1299999999999999E-3</v>
      </c>
      <c r="AW99" s="120">
        <v>1.1299999999999999E-3</v>
      </c>
      <c r="AX99" s="120">
        <v>1.1299999999999999E-3</v>
      </c>
      <c r="AY99" s="120">
        <v>1.1299999999999999E-3</v>
      </c>
      <c r="AZ99" s="120">
        <v>1.1299999999999999E-3</v>
      </c>
      <c r="BA99" s="120">
        <v>1.1299999999999999E-3</v>
      </c>
      <c r="BB99" s="120">
        <v>1.1299999999999999E-3</v>
      </c>
      <c r="BC99" s="120">
        <v>1.1299999999999999E-3</v>
      </c>
      <c r="BD99" s="120">
        <v>1.1299999999999999E-3</v>
      </c>
      <c r="BE99" s="168">
        <v>1.1299999999999999E-3</v>
      </c>
      <c r="BF99" s="120">
        <v>6.0999999999999997E-4</v>
      </c>
      <c r="BG99" s="120">
        <v>6.0999999999999997E-4</v>
      </c>
      <c r="BH99" s="120">
        <v>6.0999999999999997E-4</v>
      </c>
      <c r="BI99" s="120">
        <v>6.0999999999999997E-4</v>
      </c>
      <c r="BJ99" s="120">
        <v>6.0999999999999997E-4</v>
      </c>
      <c r="BK99" s="120">
        <v>6.0999999999999997E-4</v>
      </c>
      <c r="BL99" s="120">
        <v>6.0999999999999997E-4</v>
      </c>
      <c r="BM99" s="120">
        <v>6.0999999999999997E-4</v>
      </c>
      <c r="BN99" s="120">
        <v>6.0999999999999997E-4</v>
      </c>
      <c r="BO99" s="168">
        <v>6.0999999999999997E-4</v>
      </c>
      <c r="BP99" s="120">
        <v>6.0999999999999997E-4</v>
      </c>
      <c r="BQ99" s="120">
        <v>6.0999999999999997E-4</v>
      </c>
      <c r="BR99" s="120">
        <v>6.0999999999999997E-4</v>
      </c>
      <c r="BS99" s="120">
        <v>6.0999999999999997E-4</v>
      </c>
      <c r="BT99" s="167">
        <v>9.7E-5</v>
      </c>
      <c r="BU99" s="120">
        <v>9.7E-5</v>
      </c>
      <c r="BV99" s="120">
        <v>9.7E-5</v>
      </c>
      <c r="BW99" s="120">
        <v>9.7E-5</v>
      </c>
      <c r="BX99" s="120">
        <v>9.7E-5</v>
      </c>
      <c r="BY99" s="120">
        <v>9.7E-5</v>
      </c>
      <c r="BZ99" s="120">
        <v>9.7E-5</v>
      </c>
      <c r="CA99" s="120">
        <v>9.7E-5</v>
      </c>
      <c r="CB99" s="120">
        <v>9.7E-5</v>
      </c>
      <c r="CC99" s="120">
        <v>9.7E-5</v>
      </c>
      <c r="CD99" s="120">
        <v>9.7E-5</v>
      </c>
      <c r="CE99" s="120">
        <v>9.7E-5</v>
      </c>
      <c r="CF99" s="120">
        <v>9.7E-5</v>
      </c>
      <c r="CG99" s="120">
        <v>9.7E-5</v>
      </c>
      <c r="CH99" s="169">
        <v>9.7E-5</v>
      </c>
    </row>
    <row r="100" spans="1:192" s="178" customFormat="1">
      <c r="A100" s="166" t="s">
        <v>599</v>
      </c>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68"/>
      <c r="AM100" s="120"/>
      <c r="AN100" s="120"/>
      <c r="AO100" s="120"/>
      <c r="AP100" s="168"/>
      <c r="AQ100" s="120">
        <v>3.1E-9</v>
      </c>
      <c r="AR100" s="120">
        <v>3.1E-9</v>
      </c>
      <c r="AS100" s="120">
        <v>3.1E-9</v>
      </c>
      <c r="AT100" s="120">
        <v>3.1E-9</v>
      </c>
      <c r="AU100" s="120">
        <v>3.1E-9</v>
      </c>
      <c r="AV100" s="120">
        <v>3.1E-9</v>
      </c>
      <c r="AW100" s="120">
        <v>3.1E-9</v>
      </c>
      <c r="AX100" s="120">
        <v>3.1E-9</v>
      </c>
      <c r="AY100" s="120">
        <v>3.1E-9</v>
      </c>
      <c r="AZ100" s="120">
        <v>3.1E-9</v>
      </c>
      <c r="BA100" s="120">
        <v>3.1E-9</v>
      </c>
      <c r="BB100" s="120">
        <v>3.1E-9</v>
      </c>
      <c r="BC100" s="120">
        <v>3.1E-9</v>
      </c>
      <c r="BD100" s="120">
        <v>3.1E-9</v>
      </c>
      <c r="BE100" s="168">
        <v>3.1E-9</v>
      </c>
      <c r="BF100" s="151"/>
      <c r="BG100" s="120"/>
      <c r="BH100" s="120"/>
      <c r="BI100" s="120"/>
      <c r="BJ100" s="120"/>
      <c r="BK100" s="120"/>
      <c r="BL100" s="120"/>
      <c r="BM100" s="120"/>
      <c r="BN100" s="120"/>
      <c r="BO100" s="168"/>
      <c r="BP100" s="120"/>
      <c r="BQ100" s="120"/>
      <c r="BR100" s="120"/>
      <c r="BS100" s="120"/>
      <c r="BT100" s="167"/>
      <c r="BU100" s="120"/>
      <c r="BV100" s="120"/>
      <c r="BW100" s="120"/>
      <c r="BX100" s="120"/>
      <c r="BY100" s="120"/>
      <c r="BZ100" s="120"/>
      <c r="CA100" s="120"/>
      <c r="CB100" s="120"/>
      <c r="CC100" s="120"/>
      <c r="CD100" s="120"/>
      <c r="CE100" s="120"/>
      <c r="CF100" s="120"/>
      <c r="CG100" s="120"/>
      <c r="CH100" s="169"/>
      <c r="CI100" s="61"/>
      <c r="CJ100" s="61"/>
      <c r="CK100" s="61"/>
      <c r="CL100" s="61"/>
      <c r="CM100" s="61"/>
      <c r="CN100" s="61"/>
      <c r="CO100" s="61"/>
      <c r="CP100" s="61"/>
      <c r="CQ100" s="61"/>
      <c r="CR100" s="61"/>
      <c r="CS100" s="61"/>
      <c r="CT100" s="61"/>
      <c r="CU100" s="61"/>
      <c r="CV100" s="61"/>
      <c r="CW100" s="61"/>
      <c r="CX100" s="61"/>
      <c r="CY100" s="61"/>
      <c r="CZ100" s="61"/>
      <c r="DA100" s="61"/>
      <c r="DB100" s="61"/>
      <c r="DC100" s="61"/>
      <c r="DD100" s="61"/>
      <c r="DE100" s="61"/>
      <c r="DF100" s="61"/>
      <c r="DG100" s="61"/>
      <c r="DH100" s="61"/>
      <c r="DI100" s="61"/>
      <c r="DJ100" s="61"/>
      <c r="DK100" s="61"/>
      <c r="DL100" s="61"/>
      <c r="DM100" s="61"/>
      <c r="DN100" s="61"/>
      <c r="DO100" s="61"/>
      <c r="DP100" s="61"/>
      <c r="DQ100" s="61"/>
      <c r="DR100" s="61"/>
      <c r="DS100" s="61"/>
      <c r="DT100" s="61"/>
      <c r="DU100" s="61"/>
      <c r="DV100" s="61"/>
      <c r="DW100" s="61"/>
      <c r="DX100" s="61"/>
      <c r="DY100" s="61"/>
      <c r="DZ100" s="61"/>
      <c r="EA100" s="61"/>
      <c r="EB100" s="61"/>
      <c r="EC100" s="61"/>
      <c r="ED100" s="61"/>
      <c r="EE100" s="61"/>
      <c r="EF100" s="61"/>
      <c r="EG100" s="61"/>
      <c r="EH100" s="61"/>
      <c r="EI100" s="61"/>
      <c r="EJ100" s="61"/>
      <c r="EK100" s="61"/>
      <c r="EL100" s="61"/>
      <c r="EM100" s="61"/>
      <c r="EN100" s="61"/>
      <c r="EO100" s="61"/>
      <c r="EP100" s="61"/>
      <c r="EQ100" s="61"/>
      <c r="ER100" s="61"/>
      <c r="ES100" s="61"/>
      <c r="ET100" s="61"/>
      <c r="EU100" s="61"/>
      <c r="EV100" s="61"/>
      <c r="EW100" s="61"/>
      <c r="EX100" s="61"/>
      <c r="EY100" s="61"/>
      <c r="EZ100" s="61"/>
      <c r="FA100" s="61"/>
      <c r="FB100" s="61"/>
      <c r="FC100" s="61"/>
      <c r="FD100" s="61"/>
      <c r="FE100" s="61"/>
      <c r="FF100" s="61"/>
      <c r="FG100" s="61"/>
      <c r="FH100" s="61"/>
      <c r="FI100" s="61"/>
      <c r="FJ100" s="61"/>
      <c r="FK100" s="61"/>
      <c r="FL100" s="61"/>
      <c r="FM100" s="61"/>
      <c r="FN100" s="61"/>
      <c r="FO100" s="61"/>
      <c r="FP100" s="61"/>
      <c r="FQ100" s="61"/>
      <c r="FR100" s="61"/>
      <c r="FS100" s="61"/>
      <c r="FT100" s="61"/>
      <c r="FU100" s="61"/>
      <c r="FV100" s="61"/>
      <c r="FW100" s="61"/>
      <c r="FX100" s="61"/>
      <c r="FY100" s="61"/>
      <c r="FZ100" s="61"/>
      <c r="GA100" s="61"/>
      <c r="GB100" s="61"/>
      <c r="GC100" s="61"/>
      <c r="GD100" s="61"/>
      <c r="GE100" s="61"/>
      <c r="GF100" s="61"/>
      <c r="GG100" s="61"/>
      <c r="GH100" s="61"/>
      <c r="GI100" s="61"/>
      <c r="GJ100" s="61"/>
    </row>
    <row r="101" spans="1:192" s="178" customFormat="1">
      <c r="A101" s="166" t="s">
        <v>600</v>
      </c>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68"/>
      <c r="AM101" s="120"/>
      <c r="AN101" s="120"/>
      <c r="AO101" s="120"/>
      <c r="AP101" s="168"/>
      <c r="AQ101" s="120"/>
      <c r="AR101" s="120"/>
      <c r="AS101" s="120"/>
      <c r="AT101" s="120"/>
      <c r="AU101" s="120"/>
      <c r="AV101" s="120"/>
      <c r="AW101" s="120"/>
      <c r="AX101" s="120"/>
      <c r="AY101" s="120"/>
      <c r="AZ101" s="120"/>
      <c r="BA101" s="120"/>
      <c r="BB101" s="120"/>
      <c r="BC101" s="120"/>
      <c r="BD101" s="120"/>
      <c r="BE101" s="168"/>
      <c r="BF101" s="151"/>
      <c r="BG101" s="120"/>
      <c r="BH101" s="120"/>
      <c r="BI101" s="120"/>
      <c r="BJ101" s="120"/>
      <c r="BK101" s="120"/>
      <c r="BL101" s="120"/>
      <c r="BM101" s="120"/>
      <c r="BN101" s="120"/>
      <c r="BO101" s="168"/>
      <c r="BP101" s="120"/>
      <c r="BQ101" s="120"/>
      <c r="BR101" s="120"/>
      <c r="BS101" s="120"/>
      <c r="BT101" s="167">
        <f>0.00000000027+0.00000000074+0.000000000066+0.00000000055+0.00000000022+0.0000000012+0.0000000025+0.0000000026</f>
        <v>8.1460000000000006E-9</v>
      </c>
      <c r="BU101" s="120">
        <v>8.1460000000000006E-9</v>
      </c>
      <c r="BV101" s="120">
        <v>8.1460000000000006E-9</v>
      </c>
      <c r="BW101" s="120">
        <v>8.1460000000000006E-9</v>
      </c>
      <c r="BX101" s="120">
        <v>8.1460000000000006E-9</v>
      </c>
      <c r="BY101" s="120">
        <v>8.1460000000000006E-9</v>
      </c>
      <c r="BZ101" s="120">
        <v>8.1460000000000006E-9</v>
      </c>
      <c r="CA101" s="120">
        <v>8.1460000000000006E-9</v>
      </c>
      <c r="CB101" s="120">
        <v>8.1460000000000006E-9</v>
      </c>
      <c r="CC101" s="120">
        <v>8.1460000000000006E-9</v>
      </c>
      <c r="CD101" s="120">
        <v>8.1460000000000006E-9</v>
      </c>
      <c r="CE101" s="120">
        <v>8.1460000000000006E-9</v>
      </c>
      <c r="CF101" s="120">
        <v>8.1460000000000006E-9</v>
      </c>
      <c r="CG101" s="120">
        <v>8.1460000000000006E-9</v>
      </c>
      <c r="CH101" s="169">
        <v>8.1460000000000006E-9</v>
      </c>
      <c r="CI101" s="61"/>
      <c r="CJ101" s="61"/>
      <c r="CK101" s="61"/>
      <c r="CL101" s="61"/>
      <c r="CM101" s="61"/>
      <c r="CN101" s="61"/>
      <c r="CO101" s="61"/>
      <c r="CP101" s="61"/>
      <c r="CQ101" s="61"/>
      <c r="CR101" s="61"/>
      <c r="CS101" s="61"/>
      <c r="CT101" s="61"/>
      <c r="CU101" s="61"/>
      <c r="CV101" s="61"/>
      <c r="CW101" s="61"/>
      <c r="CX101" s="61"/>
      <c r="CY101" s="61"/>
      <c r="CZ101" s="61"/>
      <c r="DA101" s="61"/>
      <c r="DB101" s="61"/>
      <c r="DC101" s="61"/>
      <c r="DD101" s="61"/>
      <c r="DE101" s="61"/>
      <c r="DF101" s="61"/>
      <c r="DG101" s="61"/>
      <c r="DH101" s="61"/>
      <c r="DI101" s="61"/>
      <c r="DJ101" s="61"/>
      <c r="DK101" s="61"/>
      <c r="DL101" s="61"/>
      <c r="DM101" s="61"/>
      <c r="DN101" s="61"/>
      <c r="DO101" s="61"/>
      <c r="DP101" s="61"/>
      <c r="DQ101" s="61"/>
      <c r="DR101" s="61"/>
      <c r="DS101" s="61"/>
      <c r="DT101" s="61"/>
      <c r="DU101" s="61"/>
      <c r="DV101" s="61"/>
      <c r="DW101" s="61"/>
      <c r="DX101" s="61"/>
      <c r="DY101" s="61"/>
      <c r="DZ101" s="61"/>
      <c r="EA101" s="61"/>
      <c r="EB101" s="61"/>
      <c r="EC101" s="61"/>
      <c r="ED101" s="61"/>
      <c r="EE101" s="61"/>
      <c r="EF101" s="61"/>
      <c r="EG101" s="61"/>
      <c r="EH101" s="61"/>
      <c r="EI101" s="61"/>
      <c r="EJ101" s="61"/>
      <c r="EK101" s="61"/>
      <c r="EL101" s="61"/>
      <c r="EM101" s="61"/>
      <c r="EN101" s="61"/>
      <c r="EO101" s="61"/>
      <c r="EP101" s="61"/>
      <c r="EQ101" s="61"/>
      <c r="ER101" s="61"/>
      <c r="ES101" s="61"/>
      <c r="ET101" s="61"/>
      <c r="EU101" s="61"/>
      <c r="EV101" s="61"/>
      <c r="EW101" s="61"/>
      <c r="EX101" s="61"/>
      <c r="EY101" s="61"/>
      <c r="EZ101" s="61"/>
      <c r="FA101" s="61"/>
      <c r="FB101" s="61"/>
      <c r="FC101" s="61"/>
      <c r="FD101" s="61"/>
      <c r="FE101" s="61"/>
      <c r="FF101" s="61"/>
      <c r="FG101" s="61"/>
      <c r="FH101" s="61"/>
      <c r="FI101" s="61"/>
      <c r="FJ101" s="61"/>
      <c r="FK101" s="61"/>
      <c r="FL101" s="61"/>
      <c r="FM101" s="61"/>
      <c r="FN101" s="61"/>
      <c r="FO101" s="61"/>
      <c r="FP101" s="61"/>
      <c r="FQ101" s="61"/>
      <c r="FR101" s="61"/>
      <c r="FS101" s="61"/>
      <c r="FT101" s="61"/>
      <c r="FU101" s="61"/>
      <c r="FV101" s="61"/>
      <c r="FW101" s="61"/>
      <c r="FX101" s="61"/>
      <c r="FY101" s="61"/>
      <c r="FZ101" s="61"/>
      <c r="GA101" s="61"/>
      <c r="GB101" s="61"/>
      <c r="GC101" s="61"/>
      <c r="GD101" s="61"/>
      <c r="GE101" s="61"/>
      <c r="GF101" s="61"/>
      <c r="GG101" s="61"/>
      <c r="GH101" s="61"/>
      <c r="GI101" s="61"/>
      <c r="GJ101" s="61"/>
    </row>
    <row r="102" spans="1:192">
      <c r="A102" s="166" t="s">
        <v>601</v>
      </c>
      <c r="B102" s="120">
        <v>2.7E-6</v>
      </c>
      <c r="C102" s="120">
        <v>2.7E-6</v>
      </c>
      <c r="D102" s="120">
        <v>2.7E-6</v>
      </c>
      <c r="E102" s="120">
        <v>2.7E-6</v>
      </c>
      <c r="F102" s="120">
        <v>2.7E-6</v>
      </c>
      <c r="G102" s="120">
        <v>2.7E-6</v>
      </c>
      <c r="H102" s="120">
        <v>2.7E-6</v>
      </c>
      <c r="I102" s="120">
        <v>2.7E-6</v>
      </c>
      <c r="J102" s="120">
        <v>2.7E-6</v>
      </c>
      <c r="K102" s="120">
        <v>2.7E-6</v>
      </c>
      <c r="L102" s="120">
        <v>2.7E-6</v>
      </c>
      <c r="M102" s="120">
        <v>2.7E-6</v>
      </c>
      <c r="N102" s="120">
        <v>2.7E-6</v>
      </c>
      <c r="O102" s="120">
        <v>2.7E-6</v>
      </c>
      <c r="P102" s="120">
        <v>2.7E-6</v>
      </c>
      <c r="Q102" s="120">
        <v>2.7E-6</v>
      </c>
      <c r="R102" s="120">
        <v>2.7E-6</v>
      </c>
      <c r="S102" s="120">
        <v>2.7E-6</v>
      </c>
      <c r="T102" s="120">
        <v>2.7E-6</v>
      </c>
      <c r="U102" s="120">
        <v>2.7E-6</v>
      </c>
      <c r="V102" s="120">
        <v>2.7E-6</v>
      </c>
      <c r="W102" s="120">
        <v>2.7E-6</v>
      </c>
      <c r="X102" s="120">
        <v>2.7E-6</v>
      </c>
      <c r="Y102" s="120">
        <v>2.7E-6</v>
      </c>
      <c r="Z102" s="120">
        <v>2.7E-6</v>
      </c>
      <c r="AA102" s="120">
        <v>2.7E-6</v>
      </c>
      <c r="AB102" s="120">
        <v>2.7E-6</v>
      </c>
      <c r="AC102" s="120">
        <v>2.7E-6</v>
      </c>
      <c r="AD102" s="120">
        <v>2.7E-6</v>
      </c>
      <c r="AE102" s="120">
        <v>2.7E-6</v>
      </c>
      <c r="AF102" s="120">
        <v>2.7E-6</v>
      </c>
      <c r="AG102" s="120">
        <v>2.7E-6</v>
      </c>
      <c r="AH102" s="120">
        <v>2.7E-6</v>
      </c>
      <c r="AI102" s="120">
        <v>2.7E-6</v>
      </c>
      <c r="AJ102" s="120">
        <v>2.7E-6</v>
      </c>
      <c r="AK102" s="120">
        <v>2.7E-6</v>
      </c>
      <c r="AL102" s="168">
        <v>2.7E-6</v>
      </c>
      <c r="AM102" s="120">
        <v>6.7999999999999996E-3</v>
      </c>
      <c r="AN102" s="120">
        <v>6.7999999999999996E-3</v>
      </c>
      <c r="AO102" s="120">
        <v>6.7999999999999996E-3</v>
      </c>
      <c r="AP102" s="168">
        <v>2.4000000000000001E-4</v>
      </c>
      <c r="AQ102" s="120">
        <v>1.0499999999999999E-5</v>
      </c>
      <c r="AR102" s="120">
        <v>1.0499999999999999E-5</v>
      </c>
      <c r="AS102" s="120">
        <v>1.0499999999999999E-5</v>
      </c>
      <c r="AT102" s="120">
        <v>1.0499999999999999E-5</v>
      </c>
      <c r="AU102" s="120">
        <v>1.0499999999999999E-5</v>
      </c>
      <c r="AV102" s="120">
        <v>1.0499999999999999E-5</v>
      </c>
      <c r="AW102" s="120">
        <v>1.0499999999999999E-5</v>
      </c>
      <c r="AX102" s="120">
        <v>1.0499999999999999E-5</v>
      </c>
      <c r="AY102" s="120">
        <v>1.0499999999999999E-5</v>
      </c>
      <c r="AZ102" s="120">
        <v>1.0499999999999999E-5</v>
      </c>
      <c r="BA102" s="120">
        <v>1.0499999999999999E-5</v>
      </c>
      <c r="BB102" s="120">
        <v>1.0499999999999999E-5</v>
      </c>
      <c r="BC102" s="120">
        <v>1.0499999999999999E-5</v>
      </c>
      <c r="BD102" s="120">
        <v>1.0499999999999999E-5</v>
      </c>
      <c r="BE102" s="168">
        <v>1.0499999999999999E-5</v>
      </c>
      <c r="BF102" s="120">
        <v>1.7E-5</v>
      </c>
      <c r="BG102" s="120">
        <v>1.7E-5</v>
      </c>
      <c r="BH102" s="120">
        <v>1.7E-5</v>
      </c>
      <c r="BI102" s="120">
        <v>1.7E-5</v>
      </c>
      <c r="BJ102" s="120">
        <v>1.7E-5</v>
      </c>
      <c r="BK102" s="120">
        <v>1.7E-5</v>
      </c>
      <c r="BL102" s="120">
        <v>1.7E-5</v>
      </c>
      <c r="BM102" s="120">
        <v>1.7E-5</v>
      </c>
      <c r="BN102" s="120">
        <v>1.7E-5</v>
      </c>
      <c r="BO102" s="168">
        <v>1.7E-5</v>
      </c>
      <c r="BP102" s="120">
        <v>1.7E-5</v>
      </c>
      <c r="BQ102" s="120">
        <v>1.7E-5</v>
      </c>
      <c r="BR102" s="120">
        <v>1.7E-5</v>
      </c>
      <c r="BS102" s="120">
        <v>1.7E-5</v>
      </c>
      <c r="BT102" s="167">
        <v>6.9999999999999999E-6</v>
      </c>
      <c r="BU102" s="120">
        <v>6.9999999999999999E-6</v>
      </c>
      <c r="BV102" s="120">
        <v>6.9999999999999999E-6</v>
      </c>
      <c r="BW102" s="120">
        <v>6.9999999999999999E-6</v>
      </c>
      <c r="BX102" s="120">
        <v>6.9999999999999999E-6</v>
      </c>
      <c r="BY102" s="120">
        <v>6.9999999999999999E-6</v>
      </c>
      <c r="BZ102" s="120">
        <v>6.9999999999999999E-6</v>
      </c>
      <c r="CA102" s="120">
        <v>6.9999999999999999E-6</v>
      </c>
      <c r="CB102" s="120">
        <v>6.9999999999999999E-6</v>
      </c>
      <c r="CC102" s="120">
        <v>6.9999999999999999E-6</v>
      </c>
      <c r="CD102" s="120">
        <v>6.9999999999999999E-6</v>
      </c>
      <c r="CE102" s="120">
        <v>6.9999999999999999E-6</v>
      </c>
      <c r="CF102" s="120">
        <v>6.9999999999999999E-6</v>
      </c>
      <c r="CG102" s="120">
        <v>6.9999999999999999E-6</v>
      </c>
      <c r="CH102" s="169">
        <v>6.9999999999999999E-6</v>
      </c>
    </row>
    <row r="103" spans="1:192">
      <c r="A103" s="166" t="s">
        <v>417</v>
      </c>
      <c r="B103" s="120">
        <v>3.3000000000000002E-7</v>
      </c>
      <c r="C103" s="120">
        <v>3.3000000000000002E-7</v>
      </c>
      <c r="D103" s="120">
        <v>3.3000000000000002E-7</v>
      </c>
      <c r="E103" s="120">
        <v>3.3000000000000002E-7</v>
      </c>
      <c r="F103" s="120">
        <v>3.3000000000000002E-7</v>
      </c>
      <c r="G103" s="120">
        <v>3.3000000000000002E-7</v>
      </c>
      <c r="H103" s="120">
        <v>3.3000000000000002E-7</v>
      </c>
      <c r="I103" s="120">
        <v>3.3000000000000002E-7</v>
      </c>
      <c r="J103" s="120">
        <v>3.3000000000000002E-7</v>
      </c>
      <c r="K103" s="120">
        <v>3.3000000000000002E-7</v>
      </c>
      <c r="L103" s="120">
        <v>3.3000000000000002E-7</v>
      </c>
      <c r="M103" s="120">
        <v>3.3000000000000002E-7</v>
      </c>
      <c r="N103" s="120">
        <v>3.3000000000000002E-7</v>
      </c>
      <c r="O103" s="120">
        <v>3.3000000000000002E-7</v>
      </c>
      <c r="P103" s="120">
        <v>3.3000000000000002E-7</v>
      </c>
      <c r="Q103" s="120">
        <v>3.3000000000000002E-7</v>
      </c>
      <c r="R103" s="120">
        <v>3.3000000000000002E-7</v>
      </c>
      <c r="S103" s="120">
        <v>3.3000000000000002E-7</v>
      </c>
      <c r="T103" s="120">
        <v>3.3000000000000002E-7</v>
      </c>
      <c r="U103" s="120">
        <v>3.3000000000000002E-7</v>
      </c>
      <c r="V103" s="120">
        <v>3.3000000000000002E-7</v>
      </c>
      <c r="W103" s="120">
        <v>3.3000000000000002E-7</v>
      </c>
      <c r="X103" s="120">
        <v>3.3000000000000002E-7</v>
      </c>
      <c r="Y103" s="120">
        <v>3.3000000000000002E-7</v>
      </c>
      <c r="Z103" s="120">
        <v>3.3000000000000002E-7</v>
      </c>
      <c r="AA103" s="120">
        <v>3.3000000000000002E-7</v>
      </c>
      <c r="AB103" s="120">
        <v>3.3000000000000002E-7</v>
      </c>
      <c r="AC103" s="120">
        <v>3.3000000000000002E-7</v>
      </c>
      <c r="AD103" s="120">
        <v>3.3000000000000002E-7</v>
      </c>
      <c r="AE103" s="120">
        <v>3.3000000000000002E-7</v>
      </c>
      <c r="AF103" s="120">
        <v>3.3000000000000002E-7</v>
      </c>
      <c r="AG103" s="120">
        <v>3.3000000000000002E-7</v>
      </c>
      <c r="AH103" s="120">
        <v>3.3000000000000002E-7</v>
      </c>
      <c r="AI103" s="120">
        <v>3.3000000000000002E-7</v>
      </c>
      <c r="AJ103" s="120">
        <v>3.3000000000000002E-7</v>
      </c>
      <c r="AK103" s="120">
        <v>3.3000000000000002E-7</v>
      </c>
      <c r="AL103" s="168">
        <v>3.3000000000000002E-7</v>
      </c>
      <c r="AM103" s="120">
        <v>3.3000000000000002E-7</v>
      </c>
      <c r="AN103" s="120">
        <v>3.3000000000000002E-7</v>
      </c>
      <c r="AO103" s="120">
        <v>3.3000000000000002E-7</v>
      </c>
      <c r="AP103" s="168">
        <v>1.2E-4</v>
      </c>
      <c r="AQ103" s="120">
        <v>4.25E-6</v>
      </c>
      <c r="AR103" s="120">
        <v>4.25E-6</v>
      </c>
      <c r="AS103" s="120">
        <v>4.25E-6</v>
      </c>
      <c r="AT103" s="120">
        <v>4.25E-6</v>
      </c>
      <c r="AU103" s="120">
        <v>4.25E-6</v>
      </c>
      <c r="AV103" s="120">
        <v>4.25E-6</v>
      </c>
      <c r="AW103" s="120">
        <v>4.25E-6</v>
      </c>
      <c r="AX103" s="120">
        <v>4.25E-6</v>
      </c>
      <c r="AY103" s="120">
        <v>4.25E-6</v>
      </c>
      <c r="AZ103" s="120">
        <v>4.25E-6</v>
      </c>
      <c r="BA103" s="120">
        <v>4.25E-6</v>
      </c>
      <c r="BB103" s="120">
        <v>4.25E-6</v>
      </c>
      <c r="BC103" s="120">
        <v>4.25E-6</v>
      </c>
      <c r="BD103" s="120">
        <v>4.25E-6</v>
      </c>
      <c r="BE103" s="168">
        <v>4.25E-6</v>
      </c>
      <c r="BF103" s="120">
        <v>5.0000000000000004E-6</v>
      </c>
      <c r="BG103" s="120">
        <v>5.0000000000000004E-6</v>
      </c>
      <c r="BH103" s="120">
        <v>5.0000000000000004E-6</v>
      </c>
      <c r="BI103" s="120">
        <v>5.0000000000000004E-6</v>
      </c>
      <c r="BJ103" s="120">
        <v>5.0000000000000004E-6</v>
      </c>
      <c r="BK103" s="120">
        <v>5.0000000000000004E-6</v>
      </c>
      <c r="BL103" s="120">
        <v>5.0000000000000004E-6</v>
      </c>
      <c r="BM103" s="120">
        <v>5.0000000000000004E-6</v>
      </c>
      <c r="BN103" s="120">
        <v>5.0000000000000004E-6</v>
      </c>
      <c r="BO103" s="168">
        <v>5.0000000000000004E-6</v>
      </c>
      <c r="BP103" s="120">
        <v>5.0000000000000004E-6</v>
      </c>
      <c r="BQ103" s="120">
        <v>5.0000000000000004E-6</v>
      </c>
      <c r="BR103" s="120">
        <v>5.0000000000000004E-6</v>
      </c>
      <c r="BS103" s="120">
        <v>5.0000000000000004E-6</v>
      </c>
      <c r="BT103" s="167">
        <v>3.7000000000000002E-6</v>
      </c>
      <c r="BU103" s="120">
        <v>3.7000000000000002E-6</v>
      </c>
      <c r="BV103" s="120">
        <v>3.7000000000000002E-6</v>
      </c>
      <c r="BW103" s="120">
        <v>3.7000000000000002E-6</v>
      </c>
      <c r="BX103" s="120">
        <v>3.7000000000000002E-6</v>
      </c>
      <c r="BY103" s="120">
        <v>3.7000000000000002E-6</v>
      </c>
      <c r="BZ103" s="120">
        <v>3.7000000000000002E-6</v>
      </c>
      <c r="CA103" s="120">
        <v>3.7000000000000002E-6</v>
      </c>
      <c r="CB103" s="120">
        <v>3.7000000000000002E-6</v>
      </c>
      <c r="CC103" s="120">
        <v>3.7000000000000002E-6</v>
      </c>
      <c r="CD103" s="120">
        <v>3.7000000000000002E-6</v>
      </c>
      <c r="CE103" s="120">
        <v>3.7000000000000002E-6</v>
      </c>
      <c r="CF103" s="120">
        <v>3.7000000000000002E-6</v>
      </c>
      <c r="CG103" s="120">
        <v>3.7000000000000002E-6</v>
      </c>
      <c r="CH103" s="169">
        <v>3.7000000000000002E-6</v>
      </c>
    </row>
    <row r="104" spans="1:192" ht="15" thickBot="1">
      <c r="A104" s="179" t="s">
        <v>602</v>
      </c>
      <c r="B104" s="180">
        <f>SUM(B79:B103)</f>
        <v>2.0757999999999997E-5</v>
      </c>
      <c r="C104" s="181">
        <f t="shared" ref="C104:BN104" si="17">SUM(C79:C103)</f>
        <v>2.0757999999999997E-5</v>
      </c>
      <c r="D104" s="181">
        <f t="shared" si="17"/>
        <v>2.0757999999999997E-5</v>
      </c>
      <c r="E104" s="181">
        <f t="shared" si="17"/>
        <v>2.0757999999999997E-5</v>
      </c>
      <c r="F104" s="181">
        <f t="shared" si="17"/>
        <v>2.0757999999999997E-5</v>
      </c>
      <c r="G104" s="181">
        <f t="shared" si="17"/>
        <v>2.0757999999999997E-5</v>
      </c>
      <c r="H104" s="181">
        <f t="shared" si="17"/>
        <v>2.0757999999999997E-5</v>
      </c>
      <c r="I104" s="181">
        <f t="shared" si="17"/>
        <v>2.0757999999999997E-5</v>
      </c>
      <c r="J104" s="181">
        <f t="shared" si="17"/>
        <v>2.0757999999999997E-5</v>
      </c>
      <c r="K104" s="181">
        <f t="shared" si="17"/>
        <v>2.0757999999999997E-5</v>
      </c>
      <c r="L104" s="181">
        <f t="shared" si="17"/>
        <v>2.0757999999999997E-5</v>
      </c>
      <c r="M104" s="181">
        <f t="shared" si="17"/>
        <v>2.0757999999999997E-5</v>
      </c>
      <c r="N104" s="181">
        <f t="shared" si="17"/>
        <v>2.0757999999999997E-5</v>
      </c>
      <c r="O104" s="181">
        <f t="shared" si="17"/>
        <v>2.0757999999999997E-5</v>
      </c>
      <c r="P104" s="181">
        <f t="shared" si="17"/>
        <v>2.0757999999999997E-5</v>
      </c>
      <c r="Q104" s="181">
        <f t="shared" si="17"/>
        <v>2.0757999999999997E-5</v>
      </c>
      <c r="R104" s="181">
        <f t="shared" si="17"/>
        <v>2.0757999999999997E-5</v>
      </c>
      <c r="S104" s="181">
        <f t="shared" si="17"/>
        <v>2.0757999999999997E-5</v>
      </c>
      <c r="T104" s="181">
        <f t="shared" si="17"/>
        <v>2.0757999999999997E-5</v>
      </c>
      <c r="U104" s="181">
        <f t="shared" si="17"/>
        <v>2.0757999999999997E-5</v>
      </c>
      <c r="V104" s="181">
        <f t="shared" si="17"/>
        <v>2.0757999999999997E-5</v>
      </c>
      <c r="W104" s="181">
        <f t="shared" si="17"/>
        <v>2.0757999999999997E-5</v>
      </c>
      <c r="X104" s="181">
        <f t="shared" si="17"/>
        <v>2.0757999999999997E-5</v>
      </c>
      <c r="Y104" s="181">
        <f>SUM(Y79:Y103)</f>
        <v>2.0757999999999997E-5</v>
      </c>
      <c r="Z104" s="181">
        <f t="shared" si="17"/>
        <v>2.0757999999999997E-5</v>
      </c>
      <c r="AA104" s="181">
        <f t="shared" si="17"/>
        <v>2.0757999999999997E-5</v>
      </c>
      <c r="AB104" s="181">
        <f t="shared" si="17"/>
        <v>2.0757999999999997E-5</v>
      </c>
      <c r="AC104" s="181">
        <f t="shared" si="17"/>
        <v>2.0757999999999997E-5</v>
      </c>
      <c r="AD104" s="181">
        <f t="shared" si="17"/>
        <v>2.0757999999999997E-5</v>
      </c>
      <c r="AE104" s="181">
        <f t="shared" si="17"/>
        <v>2.0757999999999997E-5</v>
      </c>
      <c r="AF104" s="181">
        <f t="shared" si="17"/>
        <v>2.0757999999999997E-5</v>
      </c>
      <c r="AG104" s="181">
        <f t="shared" si="17"/>
        <v>2.0757999999999997E-5</v>
      </c>
      <c r="AH104" s="181">
        <f t="shared" si="17"/>
        <v>2.0757999999999997E-5</v>
      </c>
      <c r="AI104" s="181">
        <f t="shared" si="17"/>
        <v>2.0757999999999997E-5</v>
      </c>
      <c r="AJ104" s="181">
        <f t="shared" si="17"/>
        <v>2.0757999999999997E-5</v>
      </c>
      <c r="AK104" s="181">
        <f t="shared" si="17"/>
        <v>2.0757999999999997E-5</v>
      </c>
      <c r="AL104" s="182">
        <f t="shared" si="17"/>
        <v>2.0757999999999997E-5</v>
      </c>
      <c r="AM104" s="180">
        <f t="shared" si="17"/>
        <v>0.16180335800000001</v>
      </c>
      <c r="AN104" s="181">
        <f t="shared" si="17"/>
        <v>3.1816357999999996E-2</v>
      </c>
      <c r="AO104" s="181">
        <f t="shared" si="17"/>
        <v>3.1816357999999996E-2</v>
      </c>
      <c r="AP104" s="182">
        <f t="shared" si="17"/>
        <v>1.1109220000000001E-3</v>
      </c>
      <c r="AQ104" s="180">
        <v>1.2999999999999999E-3</v>
      </c>
      <c r="AR104" s="181">
        <v>1.2999999999999999E-3</v>
      </c>
      <c r="AS104" s="181">
        <v>1.2999999999999999E-3</v>
      </c>
      <c r="AT104" s="181">
        <v>1.2999999999999999E-3</v>
      </c>
      <c r="AU104" s="181">
        <f t="shared" si="17"/>
        <v>1.1905760999999999E-3</v>
      </c>
      <c r="AV104" s="181">
        <f t="shared" si="17"/>
        <v>1.1905760999999999E-3</v>
      </c>
      <c r="AW104" s="181">
        <f t="shared" si="17"/>
        <v>1.1905760999999999E-3</v>
      </c>
      <c r="AX104" s="181">
        <f t="shared" si="17"/>
        <v>1.1905760999999999E-3</v>
      </c>
      <c r="AY104" s="181">
        <v>3.3E-3</v>
      </c>
      <c r="AZ104" s="181">
        <v>3.3E-3</v>
      </c>
      <c r="BA104" s="181">
        <v>1.2999999999999999E-3</v>
      </c>
      <c r="BB104" s="181">
        <f t="shared" si="17"/>
        <v>1.1905760999999999E-3</v>
      </c>
      <c r="BC104" s="181">
        <f t="shared" si="17"/>
        <v>1.1905760999999999E-3</v>
      </c>
      <c r="BD104" s="181">
        <v>3.3E-3</v>
      </c>
      <c r="BE104" s="182">
        <f t="shared" si="17"/>
        <v>1.1905760999999999E-3</v>
      </c>
      <c r="BF104" s="180">
        <f t="shared" si="17"/>
        <v>6.9819999999999995E-4</v>
      </c>
      <c r="BG104" s="181">
        <f t="shared" si="17"/>
        <v>6.9819999999999995E-4</v>
      </c>
      <c r="BH104" s="181">
        <f t="shared" si="17"/>
        <v>6.9819999999999995E-4</v>
      </c>
      <c r="BI104" s="181">
        <f t="shared" si="17"/>
        <v>6.9819999999999995E-4</v>
      </c>
      <c r="BJ104" s="181">
        <f t="shared" si="17"/>
        <v>6.9819999999999995E-4</v>
      </c>
      <c r="BK104" s="181">
        <f t="shared" si="17"/>
        <v>6.9819999999999995E-4</v>
      </c>
      <c r="BL104" s="181">
        <f t="shared" si="17"/>
        <v>6.9819999999999995E-4</v>
      </c>
      <c r="BM104" s="181">
        <f t="shared" si="17"/>
        <v>6.9819999999999995E-4</v>
      </c>
      <c r="BN104" s="181">
        <f t="shared" si="17"/>
        <v>6.9819999999999995E-4</v>
      </c>
      <c r="BO104" s="182">
        <f t="shared" ref="BO104:CG104" si="18">SUM(BO79:BO103)</f>
        <v>6.9819999999999995E-4</v>
      </c>
      <c r="BP104" s="180">
        <f t="shared" si="18"/>
        <v>6.9819999999999995E-4</v>
      </c>
      <c r="BQ104" s="181">
        <f t="shared" si="18"/>
        <v>6.9819999999999995E-4</v>
      </c>
      <c r="BR104" s="181">
        <f t="shared" si="18"/>
        <v>6.9819999999999995E-4</v>
      </c>
      <c r="BS104" s="182">
        <f t="shared" si="18"/>
        <v>6.9819999999999995E-4</v>
      </c>
      <c r="BT104" s="180">
        <f t="shared" si="18"/>
        <v>1.2664069260000002E-4</v>
      </c>
      <c r="BU104" s="181">
        <f t="shared" si="18"/>
        <v>1.2664069260000002E-4</v>
      </c>
      <c r="BV104" s="181">
        <f t="shared" si="18"/>
        <v>1.2664069260000002E-4</v>
      </c>
      <c r="BW104" s="181">
        <f t="shared" si="18"/>
        <v>1.2664069260000002E-4</v>
      </c>
      <c r="BX104" s="181">
        <f t="shared" si="18"/>
        <v>1.2664069260000002E-4</v>
      </c>
      <c r="BY104" s="181">
        <f t="shared" si="18"/>
        <v>1.2664069260000002E-4</v>
      </c>
      <c r="BZ104" s="181">
        <f t="shared" si="18"/>
        <v>1.2664069260000002E-4</v>
      </c>
      <c r="CA104" s="181">
        <f t="shared" si="18"/>
        <v>1.2664069260000002E-4</v>
      </c>
      <c r="CB104" s="181">
        <f t="shared" si="18"/>
        <v>1.2664069260000002E-4</v>
      </c>
      <c r="CC104" s="181">
        <f t="shared" si="18"/>
        <v>1.2664069260000002E-4</v>
      </c>
      <c r="CD104" s="181">
        <f t="shared" si="18"/>
        <v>1.2664069260000002E-4</v>
      </c>
      <c r="CE104" s="181">
        <f t="shared" si="18"/>
        <v>1.2664069260000002E-4</v>
      </c>
      <c r="CF104" s="181">
        <f t="shared" si="18"/>
        <v>1.2664069260000002E-4</v>
      </c>
      <c r="CG104" s="181">
        <f t="shared" si="18"/>
        <v>1.2664069260000002E-4</v>
      </c>
      <c r="CH104" s="183">
        <f>SUM(CH79:CH103)</f>
        <v>1.2664069260000002E-4</v>
      </c>
    </row>
    <row r="105" spans="1:192">
      <c r="A105" s="62"/>
      <c r="B105" s="62" t="s">
        <v>603</v>
      </c>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t="s">
        <v>604</v>
      </c>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t="s">
        <v>605</v>
      </c>
      <c r="BQ105" s="62"/>
      <c r="BR105" s="62"/>
      <c r="BS105" s="62"/>
      <c r="BT105" s="62"/>
      <c r="BU105" s="62"/>
      <c r="BV105" s="62"/>
      <c r="BW105" s="62"/>
      <c r="BX105" s="62"/>
      <c r="BY105" s="62"/>
      <c r="BZ105" s="62"/>
      <c r="CA105" s="62"/>
      <c r="CB105" s="62"/>
      <c r="CC105" s="62"/>
      <c r="CD105" s="62"/>
      <c r="CE105" s="62"/>
      <c r="CF105" s="62"/>
      <c r="CG105" s="62"/>
      <c r="CH105" s="62"/>
    </row>
    <row r="106" spans="1:192">
      <c r="A106" s="62"/>
      <c r="B106" s="184" t="s">
        <v>606</v>
      </c>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row>
    <row r="107" spans="1:192" ht="15" customHeight="1">
      <c r="A107" s="62"/>
      <c r="B107" s="62"/>
      <c r="C107" s="62" t="s">
        <v>465</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row>
    <row r="108" spans="1:192">
      <c r="A108" s="62"/>
      <c r="B108" s="62"/>
      <c r="C108" s="62" t="s">
        <v>466</v>
      </c>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row>
    <row r="109" spans="1:192">
      <c r="A109" s="62"/>
      <c r="B109" s="62"/>
      <c r="C109" s="62" t="s">
        <v>467</v>
      </c>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row>
    <row r="110" spans="1:192">
      <c r="A110" s="62"/>
      <c r="B110" s="62"/>
      <c r="C110" s="62" t="s">
        <v>468</v>
      </c>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row>
    <row r="111" spans="1:192">
      <c r="A111" s="62"/>
      <c r="B111" s="62"/>
      <c r="C111" s="62" t="s">
        <v>469</v>
      </c>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row>
    <row r="112" spans="1:192" ht="15" customHeight="1">
      <c r="A112" s="62"/>
      <c r="B112" s="62"/>
      <c r="C112" s="62" t="s">
        <v>472</v>
      </c>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row>
    <row r="113" spans="1:86">
      <c r="A113" s="62"/>
      <c r="B113" s="62"/>
      <c r="C113" s="62" t="s">
        <v>473</v>
      </c>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row>
    <row r="114" spans="1:86">
      <c r="A114" s="62"/>
      <c r="B114" s="62"/>
      <c r="C114" s="62" t="s">
        <v>474</v>
      </c>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row>
    <row r="115" spans="1:86">
      <c r="A115" s="62"/>
      <c r="B115" s="62"/>
      <c r="C115" s="62" t="s">
        <v>475</v>
      </c>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row>
    <row r="116" spans="1:86">
      <c r="A116" s="62"/>
      <c r="B116" s="62"/>
      <c r="C116" s="62" t="s">
        <v>476</v>
      </c>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row>
    <row r="117" spans="1:86">
      <c r="A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row>
    <row r="118" spans="1:86">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row>
    <row r="119" spans="1:86">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row>
    <row r="120" spans="1:86">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row>
    <row r="121" spans="1:86">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row>
    <row r="122" spans="1:86">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row>
    <row r="123" spans="1:86">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row>
    <row r="124" spans="1:86">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row>
    <row r="125" spans="1:86">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row>
    <row r="126" spans="1:86">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62"/>
      <c r="CE126" s="62"/>
      <c r="CF126" s="62"/>
      <c r="CG126" s="62"/>
      <c r="CH126" s="62"/>
    </row>
    <row r="127" spans="1:86">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62"/>
      <c r="CE127" s="62"/>
      <c r="CF127" s="62"/>
      <c r="CG127" s="62"/>
      <c r="CH127" s="62"/>
    </row>
    <row r="128" spans="1:86">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row>
    <row r="129" spans="1:86">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c r="BY129" s="62"/>
      <c r="BZ129" s="62"/>
      <c r="CA129" s="62"/>
      <c r="CB129" s="62"/>
      <c r="CC129" s="62"/>
      <c r="CD129" s="62"/>
      <c r="CE129" s="62"/>
      <c r="CF129" s="62"/>
      <c r="CG129" s="62"/>
      <c r="CH129" s="62"/>
    </row>
    <row r="130" spans="1:86">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2"/>
      <c r="BR130" s="62"/>
      <c r="BS130" s="62"/>
      <c r="BT130" s="62"/>
      <c r="BU130" s="62"/>
      <c r="BV130" s="62"/>
      <c r="BW130" s="62"/>
      <c r="BX130" s="62"/>
      <c r="BY130" s="62"/>
      <c r="BZ130" s="62"/>
      <c r="CA130" s="62"/>
      <c r="CB130" s="62"/>
      <c r="CC130" s="62"/>
      <c r="CD130" s="62"/>
      <c r="CE130" s="62"/>
      <c r="CF130" s="62"/>
      <c r="CG130" s="62"/>
      <c r="CH130" s="62"/>
    </row>
    <row r="131" spans="1:86">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c r="BE131" s="62"/>
      <c r="BF131" s="62"/>
      <c r="BG131" s="62"/>
      <c r="BH131" s="62"/>
      <c r="BI131" s="62"/>
      <c r="BJ131" s="62"/>
      <c r="BK131" s="62"/>
      <c r="BL131" s="62"/>
      <c r="BM131" s="62"/>
      <c r="BN131" s="62"/>
      <c r="BO131" s="62"/>
      <c r="BP131" s="62"/>
      <c r="BQ131" s="62"/>
      <c r="BR131" s="62"/>
      <c r="BS131" s="62"/>
      <c r="BT131" s="62"/>
      <c r="BU131" s="62"/>
      <c r="BV131" s="62"/>
      <c r="BW131" s="62"/>
      <c r="BX131" s="62"/>
      <c r="BY131" s="62"/>
      <c r="BZ131" s="62"/>
      <c r="CA131" s="62"/>
      <c r="CB131" s="62"/>
      <c r="CC131" s="62"/>
      <c r="CD131" s="62"/>
      <c r="CE131" s="62"/>
      <c r="CF131" s="62"/>
      <c r="CG131" s="62"/>
      <c r="CH131" s="62"/>
    </row>
  </sheetData>
  <sheetProtection algorithmName="SHA-512" hashValue="L3YFF6FBC4DjguAKUbmgwhVruu0EUHYVV1hDIhidi8vk/6IvhIb+6G9F3EUFfKcExN7HPtoXTBMflLvnf7iAkQ==" saltValue="yFmDRJnMsqnLxCGf2mxoKA==" spinCount="100000" sheet="1" objects="1" scenarios="1"/>
  <mergeCells count="6">
    <mergeCell ref="BT1:CH1"/>
    <mergeCell ref="B1:AL1"/>
    <mergeCell ref="AM1:AP1"/>
    <mergeCell ref="AQ1:BE1"/>
    <mergeCell ref="BF1:BO1"/>
    <mergeCell ref="BP1:BS1"/>
  </mergeCells>
  <pageMargins left="0.7" right="0.7" top="0.75" bottom="0.75" header="0.3" footer="0.3"/>
  <pageSetup scale="27" pageOrder="overThenDown" orientation="landscape" r:id="rId1"/>
  <colBreaks count="8" manualBreakCount="8">
    <brk id="11" max="1048575" man="1"/>
    <brk id="21" max="1048575" man="1"/>
    <brk id="31" max="1048575" man="1"/>
    <brk id="42" max="1048575" man="1"/>
    <brk id="51" max="1048575" man="1"/>
    <brk id="61" max="1048575" man="1"/>
    <brk id="71" max="1048575" man="1"/>
    <brk id="7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6F2EA-AB02-4A67-B345-DD126D0CA7C9}">
  <sheetPr>
    <pageSetUpPr fitToPage="1"/>
  </sheetPr>
  <dimension ref="A1:M22"/>
  <sheetViews>
    <sheetView zoomScaleNormal="100" workbookViewId="0">
      <selection activeCell="F26" sqref="F26"/>
    </sheetView>
  </sheetViews>
  <sheetFormatPr defaultColWidth="8.81640625" defaultRowHeight="14.5"/>
  <cols>
    <col min="1" max="2" width="12.7265625" style="1280" customWidth="1"/>
    <col min="3" max="3" width="23" style="1280" bestFit="1" customWidth="1"/>
    <col min="4" max="10" width="12.7265625" style="1280" customWidth="1"/>
    <col min="11" max="11" width="12.7265625" style="1281" customWidth="1"/>
    <col min="12" max="13" width="12.7265625" style="1280" customWidth="1"/>
    <col min="14" max="16384" width="8.81640625" style="1280"/>
  </cols>
  <sheetData>
    <row r="1" spans="1:13">
      <c r="A1" s="1312" t="s">
        <v>31</v>
      </c>
    </row>
    <row r="2" spans="1:13" ht="15" thickBot="1"/>
    <row r="3" spans="1:13" ht="15" thickBot="1">
      <c r="A3" s="1311" t="s">
        <v>745</v>
      </c>
      <c r="B3" s="1310" t="s">
        <v>725</v>
      </c>
      <c r="C3" s="1310" t="s">
        <v>32</v>
      </c>
      <c r="D3" s="1309" t="s">
        <v>33</v>
      </c>
      <c r="E3" s="1309" t="s">
        <v>34</v>
      </c>
      <c r="F3" s="1309" t="s">
        <v>35</v>
      </c>
      <c r="G3" s="1309" t="s">
        <v>36</v>
      </c>
      <c r="H3" s="1309" t="s">
        <v>37</v>
      </c>
      <c r="I3" s="1309" t="s">
        <v>38</v>
      </c>
      <c r="J3" s="1309" t="s">
        <v>39</v>
      </c>
      <c r="K3" s="1309" t="s">
        <v>40</v>
      </c>
      <c r="L3" s="1308" t="s">
        <v>41</v>
      </c>
      <c r="M3" s="1307" t="s">
        <v>42</v>
      </c>
    </row>
    <row r="4" spans="1:13">
      <c r="A4" s="1306" t="s">
        <v>43</v>
      </c>
      <c r="B4" s="1305" t="s">
        <v>853</v>
      </c>
      <c r="C4" s="1304" t="s">
        <v>2</v>
      </c>
      <c r="D4" s="1303">
        <f>'AL Melting'!L62</f>
        <v>4.0705882352941174</v>
      </c>
      <c r="E4" s="1303">
        <f>'AL Melting'!L63</f>
        <v>2.7052941176470591</v>
      </c>
      <c r="F4" s="1303">
        <f>'AL Melting'!L59</f>
        <v>1.194764705882353</v>
      </c>
      <c r="G4" s="1303">
        <f>'AL Melting'!L60</f>
        <v>1.0947647058823529</v>
      </c>
      <c r="H4" s="1303">
        <f>'AL Melting'!L61</f>
        <v>1.0947647058823529</v>
      </c>
      <c r="I4" s="1303">
        <f>'AL Melting'!L64</f>
        <v>1.2693235294117644</v>
      </c>
      <c r="J4" s="1303">
        <f>'AL Melting'!L65</f>
        <v>1.4271323529411761</v>
      </c>
      <c r="K4" s="1302">
        <f>'AL Melting'!L66</f>
        <v>5.5760294117647045E-4</v>
      </c>
      <c r="L4" s="1301">
        <f>'AL Melting'!L71</f>
        <v>3846.6327734280003</v>
      </c>
      <c r="M4" s="1300">
        <f>'AL Melting'!L67</f>
        <v>6.525885967647059E-2</v>
      </c>
    </row>
    <row r="5" spans="1:13">
      <c r="A5" s="1295" t="s">
        <v>44</v>
      </c>
      <c r="B5" s="1294" t="s">
        <v>854</v>
      </c>
      <c r="C5" s="1293" t="s">
        <v>27</v>
      </c>
      <c r="D5" s="1292"/>
      <c r="E5" s="1292"/>
      <c r="F5" s="1292">
        <f>'Brass Melting'!Q33</f>
        <v>3.0033999999999983</v>
      </c>
      <c r="G5" s="1292">
        <f>'Brass Melting'!Q34</f>
        <v>3.0033999999999983</v>
      </c>
      <c r="H5" s="1292">
        <f>'Brass Melting'!Q35</f>
        <v>3.0033999999999983</v>
      </c>
      <c r="I5" s="1299">
        <f>'Brass Melting'!Q38</f>
        <v>4.5050999999999971E-3</v>
      </c>
      <c r="J5" s="1292"/>
      <c r="K5" s="1292">
        <f>'Brass Melting'!Q40</f>
        <v>0.15016999999999991</v>
      </c>
      <c r="L5" s="1291"/>
      <c r="M5" s="1290">
        <f>'Brass Melting'!Q41</f>
        <v>0.39795264222539201</v>
      </c>
    </row>
    <row r="6" spans="1:13">
      <c r="A6" s="1295" t="s">
        <v>796</v>
      </c>
      <c r="B6" s="1294" t="s">
        <v>852</v>
      </c>
      <c r="C6" s="1293" t="s">
        <v>686</v>
      </c>
      <c r="D6" s="1292"/>
      <c r="E6" s="1292"/>
      <c r="F6" s="1292">
        <f>Shotblast!H28</f>
        <v>0.255</v>
      </c>
      <c r="G6" s="1292">
        <f>Shotblast!H29</f>
        <v>0.17849999999999999</v>
      </c>
      <c r="H6" s="1292">
        <f>Shotblast!H30</f>
        <v>0.17849999999999999</v>
      </c>
      <c r="I6" s="1299"/>
      <c r="J6" s="1292"/>
      <c r="K6" s="1292">
        <f>Shotblast!H31</f>
        <v>8.925000000000001E-2</v>
      </c>
      <c r="L6" s="1291"/>
      <c r="M6" s="1290">
        <f>Shotblast!H32</f>
        <v>0.16704052318116974</v>
      </c>
    </row>
    <row r="7" spans="1:13">
      <c r="A7" s="1295" t="s">
        <v>45</v>
      </c>
      <c r="B7" s="1294" t="s">
        <v>855</v>
      </c>
      <c r="C7" s="1293" t="s">
        <v>46</v>
      </c>
      <c r="D7" s="1292"/>
      <c r="E7" s="1292"/>
      <c r="F7" s="1292">
        <f>'Sand Handling (incl Mold&amp;Core)'!K10</f>
        <v>27.9</v>
      </c>
      <c r="G7" s="1292">
        <f>'Sand Handling (incl Mold&amp;Core)'!N10</f>
        <v>23.25</v>
      </c>
      <c r="H7" s="1292">
        <f>'Sand Handling (incl Mold&amp;Core)'!Q10</f>
        <v>20.149999999999999</v>
      </c>
      <c r="I7" s="1292"/>
      <c r="J7" s="1292"/>
      <c r="K7" s="1292"/>
      <c r="L7" s="1291"/>
      <c r="M7" s="1290"/>
    </row>
    <row r="8" spans="1:13">
      <c r="A8" s="1295" t="s">
        <v>127</v>
      </c>
      <c r="B8" s="1294" t="s">
        <v>859</v>
      </c>
      <c r="C8" s="1293" t="s">
        <v>794</v>
      </c>
      <c r="D8" s="1292"/>
      <c r="E8" s="1292"/>
      <c r="F8" s="1292">
        <f>'Sand Handling (incl Mold&amp;Core)'!K14</f>
        <v>0</v>
      </c>
      <c r="G8" s="1292">
        <f>'Sand Handling (incl Mold&amp;Core)'!N14</f>
        <v>0</v>
      </c>
      <c r="H8" s="1292">
        <f>'Sand Handling (incl Mold&amp;Core)'!Q14</f>
        <v>0</v>
      </c>
      <c r="I8" s="1292"/>
      <c r="J8" s="1292">
        <f>'Core Making VOC-HAP'!$F$153</f>
        <v>1.7890931750000003</v>
      </c>
      <c r="K8" s="1292"/>
      <c r="L8" s="1291"/>
      <c r="M8" s="1290">
        <f>'Core Making VOC-HAP'!$F$156</f>
        <v>1.6580538812500003</v>
      </c>
    </row>
    <row r="9" spans="1:13">
      <c r="A9" s="1295" t="s">
        <v>48</v>
      </c>
      <c r="B9" s="1294" t="s">
        <v>861</v>
      </c>
      <c r="C9" s="1293" t="s">
        <v>797</v>
      </c>
      <c r="D9" s="1292">
        <f>'Core Oven - Natural Gas'!G16</f>
        <v>0.1502941176470588</v>
      </c>
      <c r="E9" s="1292">
        <f>'Core Oven - Natural Gas'!G17</f>
        <v>0.12624705882352941</v>
      </c>
      <c r="F9" s="1292">
        <f>'Core Oven - Natural Gas'!G13</f>
        <v>1.1422352941176469E-2</v>
      </c>
      <c r="G9" s="1292">
        <f>'Core Oven - Natural Gas'!G14</f>
        <v>1.1422352941176469E-2</v>
      </c>
      <c r="H9" s="1292">
        <f>'Core Oven - Natural Gas'!G15</f>
        <v>1.1422352941176469E-2</v>
      </c>
      <c r="I9" s="1292">
        <f>'Core Oven - Natural Gas'!G18</f>
        <v>9.0176470588235267E-4</v>
      </c>
      <c r="J9" s="1292">
        <f>'Core Oven - Natural Gas'!G19</f>
        <v>8.2661764705882334E-3</v>
      </c>
      <c r="K9" s="1298">
        <f>'Core Oven - Natural Gas'!G20</f>
        <v>7.5147058823529395E-7</v>
      </c>
      <c r="L9" s="1297">
        <f>'Core Oven - Natural Gas'!G25</f>
        <v>179.50952942664</v>
      </c>
      <c r="M9" s="1296">
        <f>'Core Oven - Natural Gas'!G21</f>
        <v>2.8374901182352938E-3</v>
      </c>
    </row>
    <row r="10" spans="1:13">
      <c r="A10" s="1295" t="s">
        <v>51</v>
      </c>
      <c r="B10" s="1294" t="s">
        <v>862</v>
      </c>
      <c r="C10" s="1293" t="s">
        <v>52</v>
      </c>
      <c r="D10" s="1292">
        <f>'Ladle Preheaters - Nat Gas'!$G$16</f>
        <v>0.85882352941176465</v>
      </c>
      <c r="E10" s="1292">
        <f>'Ladle Preheaters - Nat Gas'!$G$17</f>
        <v>0.72141176470588231</v>
      </c>
      <c r="F10" s="1292">
        <f>'Ladle Preheaters - Nat Gas'!$G$13</f>
        <v>6.5270588235294108E-2</v>
      </c>
      <c r="G10" s="1292">
        <f>'Ladle Preheaters - Nat Gas'!$G$14</f>
        <v>6.5270588235294108E-2</v>
      </c>
      <c r="H10" s="1292">
        <f>'Ladle Preheaters - Nat Gas'!$G$15</f>
        <v>6.5270588235294108E-2</v>
      </c>
      <c r="I10" s="1292">
        <f>'Ladle Preheaters - Nat Gas'!$G$18</f>
        <v>5.1529411764705876E-3</v>
      </c>
      <c r="J10" s="1292">
        <f>'Ladle Preheaters - Nat Gas'!$G$19</f>
        <v>4.7235294117647056E-2</v>
      </c>
      <c r="K10" s="1292">
        <f>'Ladle Preheaters - Nat Gas'!$G$20</f>
        <v>4.2941176470588233E-6</v>
      </c>
      <c r="L10" s="1291">
        <f>'Ladle Preheaters - Nat Gas'!$G$25</f>
        <v>1025.7687395808002</v>
      </c>
      <c r="M10" s="1290">
        <f>'Ladle Preheaters - Nat Gas'!$G$21</f>
        <v>1.6214229247058825E-2</v>
      </c>
    </row>
    <row r="11" spans="1:13">
      <c r="A11" s="1295" t="s">
        <v>310</v>
      </c>
      <c r="B11" s="1294" t="s">
        <v>690</v>
      </c>
      <c r="C11" s="1293" t="s">
        <v>1224</v>
      </c>
      <c r="D11" s="1292">
        <f>'IA-Transfer Ladle'!$G$30</f>
        <v>3.5999999999999997E-2</v>
      </c>
      <c r="E11" s="1292">
        <f>'IA-Transfer Ladle'!$G$31</f>
        <v>3.7499999999999999E-2</v>
      </c>
      <c r="F11" s="1292">
        <f>'IA-Transfer Ladle'!$G$27</f>
        <v>0.18</v>
      </c>
      <c r="G11" s="1292">
        <f>'IA-Transfer Ladle'!$G$28</f>
        <v>8.8200000000000001E-2</v>
      </c>
      <c r="H11" s="1292">
        <f>'IA-Transfer Ladle'!$G$29</f>
        <v>4.3199999999999995E-2</v>
      </c>
      <c r="I11" s="1292">
        <f>'IA-Transfer Ladle'!$G$32</f>
        <v>5.2500000000000005E-2</v>
      </c>
      <c r="J11" s="1292">
        <f>'IA-Transfer Ladle'!$G$33</f>
        <v>4.9500000000000004E-3</v>
      </c>
      <c r="K11" s="1292">
        <f>'IA-Transfer Ladle'!$G$34</f>
        <v>8.9999999999999993E-3</v>
      </c>
      <c r="L11" s="1291"/>
      <c r="M11" s="1290">
        <f>'IA-Transfer Ladle'!$G$35</f>
        <v>6.0039128388017109E-2</v>
      </c>
    </row>
    <row r="12" spans="1:13">
      <c r="A12" s="1295" t="s">
        <v>53</v>
      </c>
      <c r="B12" s="1294" t="s">
        <v>863</v>
      </c>
      <c r="C12" s="1293" t="s">
        <v>728</v>
      </c>
      <c r="D12" s="1292"/>
      <c r="E12" s="1292"/>
      <c r="F12" s="1292">
        <f>'Shakeout, Green Sand'!I25</f>
        <v>2.3519999999999999</v>
      </c>
      <c r="G12" s="1292">
        <f>'Shakeout, Green Sand'!I26</f>
        <v>1.6464000000000001</v>
      </c>
      <c r="H12" s="1292">
        <f>'Shakeout, Green Sand'!I27</f>
        <v>0.98490000000000011</v>
      </c>
      <c r="I12" s="1292"/>
      <c r="J12" s="1292">
        <f>'Shakeout, Green Sand'!I31</f>
        <v>1.8</v>
      </c>
      <c r="K12" s="1292">
        <f>'Shakeout, Green Sand'!I32</f>
        <v>0.1176</v>
      </c>
      <c r="L12" s="1291"/>
      <c r="M12" s="1290">
        <f>'Shakeout, Green Sand'!I33</f>
        <v>0.31411127760342367</v>
      </c>
    </row>
    <row r="13" spans="1:13">
      <c r="A13" s="1295" t="s">
        <v>310</v>
      </c>
      <c r="B13" s="1294" t="s">
        <v>864</v>
      </c>
      <c r="C13" s="1293" t="s">
        <v>729</v>
      </c>
      <c r="D13" s="1292"/>
      <c r="E13" s="1292"/>
      <c r="F13" s="1292" t="s">
        <v>860</v>
      </c>
      <c r="G13" s="1292" t="s">
        <v>860</v>
      </c>
      <c r="H13" s="1292" t="s">
        <v>860</v>
      </c>
      <c r="I13" s="1292"/>
      <c r="J13" s="1292"/>
      <c r="K13" s="1292"/>
      <c r="L13" s="1291"/>
      <c r="M13" s="1290"/>
    </row>
    <row r="14" spans="1:13">
      <c r="A14" s="1295" t="s">
        <v>54</v>
      </c>
      <c r="B14" s="1294" t="s">
        <v>865</v>
      </c>
      <c r="C14" s="1293" t="s">
        <v>55</v>
      </c>
      <c r="D14" s="1292">
        <f>'Pouring-Casting-Cooling'!G23</f>
        <v>1.4999999999999999E-2</v>
      </c>
      <c r="E14" s="1292"/>
      <c r="F14" s="1292">
        <f>'Pouring-Casting-Cooling'!G20</f>
        <v>6.3</v>
      </c>
      <c r="G14" s="1292">
        <f>'Pouring-Casting-Cooling'!G21</f>
        <v>3.09</v>
      </c>
      <c r="H14" s="1292">
        <f>'Pouring-Casting-Cooling'!G22</f>
        <v>1.5149999999999999</v>
      </c>
      <c r="I14" s="1292">
        <f>'Pouring-Casting-Cooling'!G24</f>
        <v>0.03</v>
      </c>
      <c r="J14" s="1292">
        <f>'Pouring-Casting-Cooling'!G25</f>
        <v>0.21000000000000002</v>
      </c>
      <c r="K14" s="1292">
        <f>'Pouring-Casting-Cooling'!G26</f>
        <v>0.315</v>
      </c>
      <c r="L14" s="1291"/>
      <c r="M14" s="1290">
        <f>'Pouring-Casting-Cooling'!G27</f>
        <v>0.84136949358059909</v>
      </c>
    </row>
    <row r="15" spans="1:13">
      <c r="A15" s="1295" t="s">
        <v>56</v>
      </c>
      <c r="B15" s="1294" t="s">
        <v>866</v>
      </c>
      <c r="C15" s="1293" t="s">
        <v>57</v>
      </c>
      <c r="D15" s="1292"/>
      <c r="E15" s="1292"/>
      <c r="F15" s="1292"/>
      <c r="G15" s="1292"/>
      <c r="H15" s="1292"/>
      <c r="I15" s="1292"/>
      <c r="J15" s="1292">
        <f>'Core Wash'!G21</f>
        <v>3.9168000000000003</v>
      </c>
      <c r="K15" s="1292"/>
      <c r="L15" s="1291"/>
      <c r="M15" s="1290">
        <f>'Core Wash'!G23</f>
        <v>1.1520000000000001</v>
      </c>
    </row>
    <row r="16" spans="1:13">
      <c r="A16" s="1289" t="s">
        <v>310</v>
      </c>
      <c r="B16" s="1288" t="s">
        <v>690</v>
      </c>
      <c r="C16" s="1287" t="s">
        <v>1223</v>
      </c>
      <c r="D16" s="1286">
        <f>'Core Making VOC-HAP'!$I$216</f>
        <v>0.1975294117647059</v>
      </c>
      <c r="E16" s="1286">
        <f>'Core Making VOC-HAP'!$I$217</f>
        <v>0.16592470588235297</v>
      </c>
      <c r="F16" s="1286">
        <f>'Core Making VOC-HAP'!$I$213</f>
        <v>1.5012235294117646E-2</v>
      </c>
      <c r="G16" s="1286">
        <f>'Core Making VOC-HAP'!$I$214</f>
        <v>1.5012235294117646E-2</v>
      </c>
      <c r="H16" s="1286">
        <f>'Core Making VOC-HAP'!$I$215</f>
        <v>1.5012235294117646E-2</v>
      </c>
      <c r="I16" s="1286">
        <f>'Core Making VOC-HAP'!$I$218</f>
        <v>1.1851764705882351E-3</v>
      </c>
      <c r="J16" s="1286">
        <f>'Core Making VOC-HAP'!$I$219</f>
        <v>0.25736411764705885</v>
      </c>
      <c r="K16" s="1286">
        <f>'Core Making VOC-HAP'!$I$220</f>
        <v>9.8764705882352937E-7</v>
      </c>
      <c r="L16" s="1285">
        <f>'Core Making VOC-HAP'!$I$225</f>
        <v>235.92681010358405</v>
      </c>
      <c r="M16" s="1284">
        <f>'Core Making VOC-HAP'!$I$221</f>
        <v>3.7292727268235302E-3</v>
      </c>
    </row>
    <row r="17" spans="1:13" ht="15" thickBot="1">
      <c r="A17" s="1499" t="s">
        <v>58</v>
      </c>
      <c r="B17" s="1500"/>
      <c r="C17" s="1501"/>
      <c r="D17" s="1283">
        <f t="shared" ref="D17:M17" si="0">SUM(D4:D16)</f>
        <v>5.3282352941176461</v>
      </c>
      <c r="E17" s="1283">
        <f t="shared" si="0"/>
        <v>3.7563776470588239</v>
      </c>
      <c r="F17" s="1283">
        <f t="shared" si="0"/>
        <v>41.276869882352926</v>
      </c>
      <c r="G17" s="1283">
        <f t="shared" si="0"/>
        <v>32.442969882352934</v>
      </c>
      <c r="H17" s="1283">
        <f t="shared" si="0"/>
        <v>27.061469882352938</v>
      </c>
      <c r="I17" s="1283">
        <f t="shared" si="0"/>
        <v>1.3635685117647056</v>
      </c>
      <c r="J17" s="1283">
        <f t="shared" si="0"/>
        <v>9.4608411161764714</v>
      </c>
      <c r="K17" s="1283">
        <f t="shared" si="0"/>
        <v>0.68158363617647044</v>
      </c>
      <c r="L17" s="1283">
        <f t="shared" si="0"/>
        <v>5287.8378525390244</v>
      </c>
      <c r="M17" s="1313">
        <f t="shared" si="0"/>
        <v>4.6786067979971904</v>
      </c>
    </row>
    <row r="19" spans="1:13">
      <c r="D19" s="1282"/>
      <c r="E19" s="1282"/>
      <c r="F19" s="1282"/>
      <c r="G19" s="1282"/>
      <c r="H19" s="1282"/>
      <c r="I19" s="1282"/>
      <c r="J19" s="1282"/>
      <c r="K19" s="1282"/>
      <c r="L19" s="1282"/>
      <c r="M19" s="1282"/>
    </row>
    <row r="22" spans="1:13">
      <c r="K22" s="1280"/>
    </row>
  </sheetData>
  <mergeCells count="1">
    <mergeCell ref="A17:C17"/>
  </mergeCells>
  <pageMargins left="0.7" right="0.7" top="0.75" bottom="0.75" header="0.3" footer="0.3"/>
  <pageSetup scale="70" orientation="landscape" r:id="rId1"/>
  <headerFooter>
    <oddHeader>&amp;C&amp;"Aptos Narror,Bold"&amp;14&amp;A</oddHeader>
    <oddFooter>&amp;L&amp;"-,Regular"St. Paul Brass &amp; Aluminum Foundry (Facility ID: 12300001)
B2303515&amp;C&amp;"-,Regular"&amp;P of &amp;N&amp;R&amp;"-,Regular"&amp;D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E1C4C-96BB-443F-A798-A1457C9FB3D9}">
  <sheetPr codeName="Sheet4"/>
  <dimension ref="A1:R114"/>
  <sheetViews>
    <sheetView topLeftCell="A23" zoomScaleNormal="100" workbookViewId="0">
      <selection activeCell="E68" sqref="E68"/>
    </sheetView>
  </sheetViews>
  <sheetFormatPr defaultColWidth="8.81640625" defaultRowHeight="13"/>
  <cols>
    <col min="1" max="1" width="10.54296875" style="220" bestFit="1" customWidth="1"/>
    <col min="2" max="2" width="11.81640625" style="220" customWidth="1"/>
    <col min="3" max="3" width="12.453125" style="220" customWidth="1"/>
    <col min="4" max="4" width="65.453125" style="220" customWidth="1"/>
    <col min="5" max="5" width="10.1796875" style="220" customWidth="1"/>
    <col min="6" max="6" width="9.81640625" style="220" bestFit="1" customWidth="1"/>
    <col min="7" max="7" width="9.81640625" style="220" customWidth="1"/>
    <col min="8" max="8" width="11.7265625" style="220" bestFit="1" customWidth="1"/>
    <col min="9" max="17" width="11.7265625" style="220" customWidth="1"/>
    <col min="18" max="18" width="8.54296875" style="220" customWidth="1"/>
    <col min="19" max="19" width="5.81640625" style="220" customWidth="1"/>
    <col min="20" max="20" width="12.453125" style="220" bestFit="1" customWidth="1"/>
    <col min="21" max="16384" width="8.81640625" style="220"/>
  </cols>
  <sheetData>
    <row r="1" spans="1:18" ht="18.5">
      <c r="A1" s="221" t="s">
        <v>987</v>
      </c>
      <c r="D1" s="221"/>
    </row>
    <row r="2" spans="1:18" ht="18.5">
      <c r="A2" s="221"/>
      <c r="D2" s="221"/>
    </row>
    <row r="3" spans="1:18" ht="19" thickBot="1">
      <c r="A3" s="221"/>
      <c r="D3" s="221"/>
      <c r="E3" s="221"/>
    </row>
    <row r="4" spans="1:18">
      <c r="A4" s="1539" t="s">
        <v>893</v>
      </c>
      <c r="B4" s="1540"/>
      <c r="C4" s="1540"/>
      <c r="D4" s="1540"/>
      <c r="E4" s="1540"/>
      <c r="F4" s="1540"/>
      <c r="G4" s="1540"/>
      <c r="H4" s="1541"/>
      <c r="I4" s="1532" t="s">
        <v>35</v>
      </c>
      <c r="J4" s="1533"/>
      <c r="K4" s="1534"/>
      <c r="L4" s="1535" t="s">
        <v>36</v>
      </c>
      <c r="M4" s="1533"/>
      <c r="N4" s="1534"/>
      <c r="O4" s="1535" t="s">
        <v>37</v>
      </c>
      <c r="P4" s="1533"/>
      <c r="Q4" s="1534"/>
    </row>
    <row r="5" spans="1:18" ht="39.5" thickBot="1">
      <c r="A5" s="626" t="s">
        <v>110</v>
      </c>
      <c r="B5" s="883" t="s">
        <v>111</v>
      </c>
      <c r="C5" s="883" t="s">
        <v>112</v>
      </c>
      <c r="D5" s="883" t="s">
        <v>32</v>
      </c>
      <c r="E5" s="883" t="s">
        <v>113</v>
      </c>
      <c r="F5" s="884" t="s">
        <v>813</v>
      </c>
      <c r="G5" s="885" t="s">
        <v>840</v>
      </c>
      <c r="H5" s="886" t="s">
        <v>1</v>
      </c>
      <c r="I5" s="520" t="s">
        <v>831</v>
      </c>
      <c r="J5" s="521" t="s">
        <v>75</v>
      </c>
      <c r="K5" s="522" t="s">
        <v>143</v>
      </c>
      <c r="L5" s="520" t="s">
        <v>831</v>
      </c>
      <c r="M5" s="521" t="s">
        <v>75</v>
      </c>
      <c r="N5" s="522" t="s">
        <v>143</v>
      </c>
      <c r="O5" s="520" t="s">
        <v>831</v>
      </c>
      <c r="P5" s="521" t="s">
        <v>75</v>
      </c>
      <c r="Q5" s="522" t="s">
        <v>143</v>
      </c>
    </row>
    <row r="6" spans="1:18">
      <c r="A6" s="848" t="s">
        <v>114</v>
      </c>
      <c r="B6" s="597"/>
      <c r="C6" s="597"/>
      <c r="D6" s="597" t="s">
        <v>926</v>
      </c>
      <c r="E6" s="597"/>
      <c r="F6" s="882"/>
      <c r="G6" s="598"/>
      <c r="H6" s="850"/>
      <c r="I6" s="526"/>
      <c r="J6" s="415"/>
      <c r="K6" s="527"/>
      <c r="L6" s="528"/>
      <c r="M6" s="529"/>
      <c r="N6" s="530"/>
      <c r="O6" s="531"/>
      <c r="P6" s="415"/>
      <c r="Q6" s="527"/>
    </row>
    <row r="7" spans="1:18">
      <c r="A7" s="233" t="s">
        <v>115</v>
      </c>
      <c r="B7" s="523"/>
      <c r="C7" s="523"/>
      <c r="D7" s="523" t="s">
        <v>927</v>
      </c>
      <c r="E7" s="523"/>
      <c r="F7" s="524"/>
      <c r="G7" s="236"/>
      <c r="H7" s="525"/>
      <c r="I7" s="526"/>
      <c r="J7" s="415"/>
      <c r="K7" s="527"/>
      <c r="L7" s="532"/>
      <c r="M7" s="415"/>
      <c r="N7" s="527"/>
      <c r="O7" s="532"/>
      <c r="P7" s="415"/>
      <c r="Q7" s="527"/>
    </row>
    <row r="8" spans="1:18">
      <c r="A8" s="233" t="s">
        <v>116</v>
      </c>
      <c r="B8" s="523"/>
      <c r="C8" s="523"/>
      <c r="D8" s="523" t="s">
        <v>117</v>
      </c>
      <c r="E8" s="523"/>
      <c r="F8" s="524"/>
      <c r="G8" s="236"/>
      <c r="H8" s="525"/>
      <c r="I8" s="526"/>
      <c r="J8" s="415"/>
      <c r="K8" s="527"/>
      <c r="L8" s="532"/>
      <c r="M8" s="415"/>
      <c r="N8" s="527"/>
      <c r="O8" s="532"/>
      <c r="P8" s="415"/>
      <c r="Q8" s="527"/>
    </row>
    <row r="9" spans="1:18" ht="13.5" thickBot="1">
      <c r="A9" s="841" t="s">
        <v>118</v>
      </c>
      <c r="B9" s="842"/>
      <c r="C9" s="842"/>
      <c r="D9" s="842" t="s">
        <v>119</v>
      </c>
      <c r="E9" s="842"/>
      <c r="F9" s="843"/>
      <c r="G9" s="664"/>
      <c r="H9" s="844"/>
      <c r="I9" s="845"/>
      <c r="J9" s="757"/>
      <c r="K9" s="846"/>
      <c r="L9" s="847"/>
      <c r="M9" s="757"/>
      <c r="N9" s="846"/>
      <c r="O9" s="847"/>
      <c r="P9" s="757"/>
      <c r="Q9" s="846"/>
    </row>
    <row r="10" spans="1:18">
      <c r="A10" s="227" t="s">
        <v>120</v>
      </c>
      <c r="B10" s="573" t="s">
        <v>937</v>
      </c>
      <c r="C10" s="573" t="s">
        <v>814</v>
      </c>
      <c r="D10" s="573" t="s">
        <v>818</v>
      </c>
      <c r="E10" s="573" t="s">
        <v>122</v>
      </c>
      <c r="F10" s="852">
        <v>26280</v>
      </c>
      <c r="G10" s="1505">
        <f>ROUND(MAX(I79,K79,M79),-2)</f>
        <v>15500</v>
      </c>
      <c r="H10" s="797" t="s">
        <v>123</v>
      </c>
      <c r="I10" s="853">
        <f t="shared" ref="I10:I16" si="0">J10*2000/$G$20</f>
        <v>10.8</v>
      </c>
      <c r="J10" s="646">
        <f t="shared" ref="J10:J16" si="1">$G$30*F10/2000</f>
        <v>47.304000000000002</v>
      </c>
      <c r="K10" s="1502">
        <f>G10*G30/2000</f>
        <v>27.9</v>
      </c>
      <c r="L10" s="317">
        <f t="shared" ref="L10:L16" si="2">M10*2000/$G$20</f>
        <v>9</v>
      </c>
      <c r="M10" s="646">
        <f t="shared" ref="M10:M16" si="3">$G$32*F10/2000</f>
        <v>39.42</v>
      </c>
      <c r="N10" s="1502">
        <f>G10*G32/2000</f>
        <v>23.25</v>
      </c>
      <c r="O10" s="317">
        <f t="shared" ref="O10:O16" si="4">P10*2000/$G$20</f>
        <v>7.8</v>
      </c>
      <c r="P10" s="646">
        <f t="shared" ref="P10:P16" si="5">$G$38*F10/2000</f>
        <v>34.164000000000001</v>
      </c>
      <c r="Q10" s="1502">
        <f>G10*G38/2000</f>
        <v>20.149999999999999</v>
      </c>
      <c r="R10" s="259"/>
    </row>
    <row r="11" spans="1:18">
      <c r="A11" s="233" t="s">
        <v>124</v>
      </c>
      <c r="B11" s="523" t="s">
        <v>937</v>
      </c>
      <c r="C11" s="523" t="s">
        <v>815</v>
      </c>
      <c r="D11" s="523" t="s">
        <v>819</v>
      </c>
      <c r="E11" s="523" t="s">
        <v>122</v>
      </c>
      <c r="F11" s="533">
        <v>26280</v>
      </c>
      <c r="G11" s="1506"/>
      <c r="H11" s="525" t="s">
        <v>123</v>
      </c>
      <c r="I11" s="534">
        <f t="shared" si="0"/>
        <v>10.8</v>
      </c>
      <c r="J11" s="414">
        <f t="shared" si="1"/>
        <v>47.304000000000002</v>
      </c>
      <c r="K11" s="1503"/>
      <c r="L11" s="288">
        <f t="shared" si="2"/>
        <v>9</v>
      </c>
      <c r="M11" s="414">
        <f t="shared" si="3"/>
        <v>39.42</v>
      </c>
      <c r="N11" s="1503"/>
      <c r="O11" s="288">
        <f t="shared" si="4"/>
        <v>7.8</v>
      </c>
      <c r="P11" s="414">
        <f t="shared" si="5"/>
        <v>34.164000000000001</v>
      </c>
      <c r="Q11" s="1503"/>
    </row>
    <row r="12" spans="1:18">
      <c r="A12" s="233" t="s">
        <v>129</v>
      </c>
      <c r="B12" s="523" t="s">
        <v>937</v>
      </c>
      <c r="C12" s="523" t="s">
        <v>816</v>
      </c>
      <c r="D12" s="523" t="s">
        <v>820</v>
      </c>
      <c r="E12" s="523" t="s">
        <v>122</v>
      </c>
      <c r="F12" s="533">
        <v>26280</v>
      </c>
      <c r="G12" s="1506"/>
      <c r="H12" s="525" t="s">
        <v>123</v>
      </c>
      <c r="I12" s="534">
        <f t="shared" si="0"/>
        <v>10.8</v>
      </c>
      <c r="J12" s="414">
        <f t="shared" si="1"/>
        <v>47.304000000000002</v>
      </c>
      <c r="K12" s="1503"/>
      <c r="L12" s="288">
        <f t="shared" si="2"/>
        <v>9</v>
      </c>
      <c r="M12" s="414">
        <f t="shared" si="3"/>
        <v>39.42</v>
      </c>
      <c r="N12" s="1503"/>
      <c r="O12" s="288">
        <f t="shared" si="4"/>
        <v>7.8</v>
      </c>
      <c r="P12" s="414">
        <f t="shared" si="5"/>
        <v>34.164000000000001</v>
      </c>
      <c r="Q12" s="1503"/>
    </row>
    <row r="13" spans="1:18" ht="13.5" thickBot="1">
      <c r="A13" s="239" t="s">
        <v>131</v>
      </c>
      <c r="B13" s="535" t="s">
        <v>937</v>
      </c>
      <c r="C13" s="535" t="s">
        <v>817</v>
      </c>
      <c r="D13" s="535" t="s">
        <v>821</v>
      </c>
      <c r="E13" s="535" t="s">
        <v>122</v>
      </c>
      <c r="F13" s="536">
        <v>26280</v>
      </c>
      <c r="G13" s="1506"/>
      <c r="H13" s="537" t="s">
        <v>123</v>
      </c>
      <c r="I13" s="538">
        <f t="shared" si="0"/>
        <v>10.8</v>
      </c>
      <c r="J13" s="539">
        <f t="shared" si="1"/>
        <v>47.304000000000002</v>
      </c>
      <c r="K13" s="1503"/>
      <c r="L13" s="325">
        <f t="shared" si="2"/>
        <v>9</v>
      </c>
      <c r="M13" s="539">
        <f t="shared" si="3"/>
        <v>39.42</v>
      </c>
      <c r="N13" s="1503"/>
      <c r="O13" s="325">
        <f t="shared" si="4"/>
        <v>7.8</v>
      </c>
      <c r="P13" s="539">
        <f t="shared" si="5"/>
        <v>34.164000000000001</v>
      </c>
      <c r="Q13" s="1503"/>
    </row>
    <row r="14" spans="1:18">
      <c r="A14" s="227" t="s">
        <v>126</v>
      </c>
      <c r="B14" s="573" t="s">
        <v>938</v>
      </c>
      <c r="C14" s="573" t="s">
        <v>830</v>
      </c>
      <c r="D14" s="573" t="s">
        <v>822</v>
      </c>
      <c r="E14" s="573" t="s">
        <v>122</v>
      </c>
      <c r="F14" s="852">
        <v>18000</v>
      </c>
      <c r="G14" s="1506"/>
      <c r="H14" s="797" t="s">
        <v>123</v>
      </c>
      <c r="I14" s="853">
        <f t="shared" si="0"/>
        <v>7.397260273972603</v>
      </c>
      <c r="J14" s="646">
        <f t="shared" si="1"/>
        <v>32.4</v>
      </c>
      <c r="K14" s="1503"/>
      <c r="L14" s="317">
        <f t="shared" si="2"/>
        <v>6.1643835616438354</v>
      </c>
      <c r="M14" s="646">
        <f t="shared" si="3"/>
        <v>27</v>
      </c>
      <c r="N14" s="1503"/>
      <c r="O14" s="317">
        <f t="shared" si="4"/>
        <v>5.3424657534246576</v>
      </c>
      <c r="P14" s="646">
        <f t="shared" si="5"/>
        <v>23.4</v>
      </c>
      <c r="Q14" s="1503"/>
    </row>
    <row r="15" spans="1:18">
      <c r="A15" s="848" t="s">
        <v>133</v>
      </c>
      <c r="B15" s="597" t="s">
        <v>938</v>
      </c>
      <c r="C15" s="597" t="s">
        <v>828</v>
      </c>
      <c r="D15" s="597" t="s">
        <v>823</v>
      </c>
      <c r="E15" s="597" t="s">
        <v>122</v>
      </c>
      <c r="F15" s="849">
        <v>493</v>
      </c>
      <c r="G15" s="1506"/>
      <c r="H15" s="850" t="s">
        <v>123</v>
      </c>
      <c r="I15" s="851">
        <f t="shared" si="0"/>
        <v>0.20260273972602738</v>
      </c>
      <c r="J15" s="619">
        <f t="shared" si="1"/>
        <v>0.88739999999999997</v>
      </c>
      <c r="K15" s="1503"/>
      <c r="L15" s="279">
        <f t="shared" si="2"/>
        <v>0.16883561643835615</v>
      </c>
      <c r="M15" s="619">
        <f t="shared" si="3"/>
        <v>0.73950000000000005</v>
      </c>
      <c r="N15" s="1503"/>
      <c r="O15" s="279">
        <f t="shared" si="4"/>
        <v>0.146324200913242</v>
      </c>
      <c r="P15" s="619">
        <f t="shared" si="5"/>
        <v>0.64090000000000003</v>
      </c>
      <c r="Q15" s="1503"/>
    </row>
    <row r="16" spans="1:18" ht="13.5" thickBot="1">
      <c r="A16" s="239" t="s">
        <v>134</v>
      </c>
      <c r="B16" s="535" t="s">
        <v>938</v>
      </c>
      <c r="C16" s="535" t="s">
        <v>829</v>
      </c>
      <c r="D16" s="535" t="s">
        <v>824</v>
      </c>
      <c r="E16" s="535" t="s">
        <v>122</v>
      </c>
      <c r="F16" s="536">
        <v>493</v>
      </c>
      <c r="G16" s="1507"/>
      <c r="H16" s="537" t="s">
        <v>123</v>
      </c>
      <c r="I16" s="538">
        <f t="shared" si="0"/>
        <v>0.20260273972602738</v>
      </c>
      <c r="J16" s="539">
        <f t="shared" si="1"/>
        <v>0.88739999999999997</v>
      </c>
      <c r="K16" s="1504"/>
      <c r="L16" s="325">
        <f t="shared" si="2"/>
        <v>0.16883561643835615</v>
      </c>
      <c r="M16" s="539">
        <f t="shared" si="3"/>
        <v>0.73950000000000005</v>
      </c>
      <c r="N16" s="1504"/>
      <c r="O16" s="325">
        <f t="shared" si="4"/>
        <v>0.146324200913242</v>
      </c>
      <c r="P16" s="539">
        <f t="shared" si="5"/>
        <v>0.64090000000000003</v>
      </c>
      <c r="Q16" s="1504"/>
    </row>
    <row r="17" spans="1:17">
      <c r="A17" s="259"/>
      <c r="D17" s="259"/>
      <c r="E17" s="307" t="s">
        <v>1249</v>
      </c>
      <c r="F17" s="428">
        <f>SUM(F10:F16)</f>
        <v>124106</v>
      </c>
      <c r="G17" s="1342">
        <f>ROUND(G10/F17,3)</f>
        <v>0.125</v>
      </c>
      <c r="H17" s="220" t="s">
        <v>1250</v>
      </c>
      <c r="I17" s="282"/>
      <c r="J17" s="425"/>
      <c r="K17" s="541"/>
      <c r="L17" s="425"/>
      <c r="M17" s="425"/>
      <c r="N17" s="541"/>
      <c r="O17" s="425"/>
      <c r="P17" s="425"/>
      <c r="Q17" s="541"/>
    </row>
    <row r="18" spans="1:17">
      <c r="A18" s="259"/>
      <c r="D18" s="259"/>
      <c r="E18" s="307"/>
      <c r="F18" s="428"/>
      <c r="G18" s="1341"/>
      <c r="I18" s="282"/>
      <c r="J18" s="425"/>
      <c r="K18" s="541"/>
      <c r="L18" s="425"/>
      <c r="M18" s="425"/>
      <c r="N18" s="541"/>
      <c r="O18" s="425"/>
      <c r="P18" s="425"/>
      <c r="Q18" s="541"/>
    </row>
    <row r="19" spans="1:17">
      <c r="D19" s="220" t="s">
        <v>135</v>
      </c>
      <c r="F19" s="261"/>
      <c r="G19" s="260">
        <v>2200</v>
      </c>
      <c r="H19" s="220" t="s">
        <v>136</v>
      </c>
    </row>
    <row r="20" spans="1:17">
      <c r="D20" s="220" t="s">
        <v>137</v>
      </c>
      <c r="G20" s="260">
        <v>8760</v>
      </c>
      <c r="H20" s="220" t="s">
        <v>136</v>
      </c>
      <c r="I20" s="261"/>
      <c r="J20" s="260"/>
    </row>
    <row r="21" spans="1:17">
      <c r="G21" s="260"/>
      <c r="I21" s="261"/>
      <c r="J21" s="260"/>
    </row>
    <row r="22" spans="1:17">
      <c r="A22" s="261" t="s">
        <v>825</v>
      </c>
      <c r="G22" s="260"/>
      <c r="I22" s="261"/>
      <c r="J22" s="260"/>
    </row>
    <row r="23" spans="1:17">
      <c r="A23" s="220" t="s">
        <v>948</v>
      </c>
      <c r="G23" s="260"/>
      <c r="I23" s="261"/>
      <c r="J23" s="260"/>
    </row>
    <row r="24" spans="1:17">
      <c r="A24" s="220" t="s">
        <v>928</v>
      </c>
      <c r="G24" s="260"/>
      <c r="I24" s="261"/>
      <c r="J24" s="260"/>
    </row>
    <row r="25" spans="1:17">
      <c r="A25" s="1387" t="s">
        <v>849</v>
      </c>
      <c r="B25" s="1387"/>
      <c r="C25" s="1387"/>
      <c r="D25" s="1387"/>
      <c r="E25" s="1387"/>
      <c r="F25" s="1387"/>
      <c r="G25" s="1387"/>
      <c r="H25" s="1387"/>
      <c r="I25" s="1387"/>
      <c r="J25" s="1387"/>
      <c r="K25" s="1387"/>
      <c r="L25" s="1387"/>
      <c r="M25" s="1387"/>
      <c r="N25" s="1387"/>
      <c r="O25" s="1387"/>
      <c r="P25" s="1387"/>
      <c r="Q25" s="1387"/>
    </row>
    <row r="26" spans="1:17">
      <c r="A26" s="1387"/>
      <c r="B26" s="1387"/>
      <c r="C26" s="1387"/>
      <c r="D26" s="1387"/>
      <c r="E26" s="1387"/>
      <c r="F26" s="1387"/>
      <c r="G26" s="1387"/>
      <c r="H26" s="1387"/>
      <c r="I26" s="1387"/>
      <c r="J26" s="1387"/>
      <c r="K26" s="1387"/>
      <c r="L26" s="1387"/>
      <c r="M26" s="1387"/>
      <c r="N26" s="1387"/>
      <c r="O26" s="1387"/>
      <c r="P26" s="1387"/>
      <c r="Q26" s="1387"/>
    </row>
    <row r="27" spans="1:17">
      <c r="A27" s="424" t="s">
        <v>856</v>
      </c>
      <c r="B27" s="352"/>
      <c r="C27" s="352"/>
      <c r="D27" s="352"/>
      <c r="E27" s="352"/>
      <c r="F27" s="352"/>
      <c r="G27" s="352"/>
      <c r="H27" s="352"/>
      <c r="I27" s="352"/>
      <c r="J27" s="352"/>
      <c r="K27" s="352"/>
      <c r="L27" s="352"/>
      <c r="M27" s="352"/>
      <c r="N27" s="352"/>
      <c r="O27" s="352"/>
      <c r="P27" s="352"/>
      <c r="Q27" s="352"/>
    </row>
    <row r="28" spans="1:17">
      <c r="A28" s="352"/>
      <c r="B28" s="352"/>
      <c r="C28" s="352"/>
      <c r="D28" s="352"/>
      <c r="E28" s="352"/>
      <c r="F28" s="352"/>
      <c r="G28" s="352"/>
      <c r="H28" s="352"/>
      <c r="I28" s="352"/>
      <c r="J28" s="352"/>
      <c r="K28" s="352"/>
      <c r="L28" s="352"/>
      <c r="M28" s="352"/>
      <c r="N28" s="352"/>
      <c r="O28" s="352"/>
      <c r="P28" s="352"/>
      <c r="Q28" s="352"/>
    </row>
    <row r="29" spans="1:17">
      <c r="A29" s="261" t="s">
        <v>138</v>
      </c>
      <c r="B29" s="261"/>
      <c r="C29" s="261"/>
      <c r="D29" s="261"/>
      <c r="E29" s="261"/>
      <c r="F29" s="261"/>
      <c r="G29" s="261"/>
      <c r="H29" s="261"/>
      <c r="I29" s="261"/>
    </row>
    <row r="30" spans="1:17">
      <c r="A30" s="1524" t="s">
        <v>843</v>
      </c>
      <c r="B30" s="1525"/>
      <c r="C30" s="1525"/>
      <c r="D30" s="1525"/>
      <c r="E30" s="1525"/>
      <c r="F30" s="873" t="s">
        <v>35</v>
      </c>
      <c r="G30" s="874">
        <v>3.6</v>
      </c>
      <c r="H30" s="665" t="s">
        <v>139</v>
      </c>
      <c r="I30" s="875" t="s">
        <v>140</v>
      </c>
    </row>
    <row r="31" spans="1:17">
      <c r="A31" s="1521"/>
      <c r="B31" s="1522"/>
      <c r="C31" s="1522"/>
      <c r="D31" s="1522"/>
      <c r="E31" s="1522"/>
      <c r="F31" s="877"/>
      <c r="G31" s="805"/>
      <c r="H31" s="246"/>
      <c r="I31" s="574"/>
    </row>
    <row r="32" spans="1:17" ht="16">
      <c r="A32" s="1520" t="s">
        <v>141</v>
      </c>
      <c r="B32" s="1387"/>
      <c r="C32" s="1387"/>
      <c r="D32" s="1387"/>
      <c r="E32" s="1387"/>
      <c r="F32" s="261" t="s">
        <v>677</v>
      </c>
      <c r="G32" s="878">
        <v>3</v>
      </c>
      <c r="H32" s="220" t="s">
        <v>139</v>
      </c>
      <c r="I32" s="661" t="s">
        <v>140</v>
      </c>
    </row>
    <row r="33" spans="1:13">
      <c r="A33" s="1520"/>
      <c r="B33" s="1387"/>
      <c r="C33" s="1387"/>
      <c r="D33" s="1387"/>
      <c r="E33" s="1387"/>
      <c r="F33" s="261"/>
      <c r="G33" s="542"/>
      <c r="I33" s="661"/>
    </row>
    <row r="34" spans="1:13" ht="12.75" customHeight="1">
      <c r="A34" s="1520" t="s">
        <v>844</v>
      </c>
      <c r="B34" s="1387"/>
      <c r="C34" s="1387"/>
      <c r="D34" s="1387"/>
      <c r="E34" s="1387"/>
      <c r="F34" s="264"/>
      <c r="G34" s="264"/>
      <c r="H34" s="426"/>
      <c r="I34" s="879"/>
    </row>
    <row r="35" spans="1:13">
      <c r="A35" s="1520"/>
      <c r="B35" s="1387"/>
      <c r="C35" s="1387"/>
      <c r="D35" s="1387"/>
      <c r="E35" s="1387"/>
      <c r="F35" s="264"/>
      <c r="G35" s="264"/>
      <c r="H35" s="426"/>
      <c r="I35" s="879"/>
    </row>
    <row r="36" spans="1:13">
      <c r="A36" s="1520"/>
      <c r="B36" s="1387"/>
      <c r="C36" s="1387"/>
      <c r="D36" s="1387"/>
      <c r="E36" s="1387"/>
      <c r="F36" s="264"/>
      <c r="G36" s="264"/>
      <c r="H36" s="426"/>
      <c r="I36" s="879"/>
    </row>
    <row r="37" spans="1:13">
      <c r="A37" s="1521"/>
      <c r="B37" s="1522"/>
      <c r="C37" s="1522"/>
      <c r="D37" s="1522"/>
      <c r="E37" s="1522"/>
      <c r="F37" s="880"/>
      <c r="G37" s="880"/>
      <c r="H37" s="876"/>
      <c r="I37" s="881"/>
    </row>
    <row r="38" spans="1:13" ht="16">
      <c r="A38" s="1520" t="s">
        <v>142</v>
      </c>
      <c r="B38" s="1387"/>
      <c r="C38" s="1387"/>
      <c r="D38" s="1387"/>
      <c r="E38" s="1387"/>
      <c r="F38" s="261" t="s">
        <v>678</v>
      </c>
      <c r="G38" s="542">
        <v>2.6</v>
      </c>
      <c r="H38" s="220" t="s">
        <v>139</v>
      </c>
      <c r="I38" s="661" t="s">
        <v>140</v>
      </c>
      <c r="J38" s="543"/>
    </row>
    <row r="39" spans="1:13">
      <c r="A39" s="1521"/>
      <c r="B39" s="1522"/>
      <c r="C39" s="1522"/>
      <c r="D39" s="1522"/>
      <c r="E39" s="1522"/>
      <c r="F39" s="877"/>
      <c r="G39" s="628"/>
      <c r="H39" s="246"/>
      <c r="I39" s="574"/>
    </row>
    <row r="40" spans="1:13">
      <c r="F40" s="261"/>
      <c r="G40" s="260"/>
    </row>
    <row r="41" spans="1:13">
      <c r="F41" s="261"/>
      <c r="G41" s="260"/>
    </row>
    <row r="42" spans="1:13" ht="13.5" thickBot="1">
      <c r="A42" s="261" t="s">
        <v>166</v>
      </c>
      <c r="B42" s="261"/>
      <c r="C42" s="261"/>
      <c r="F42" s="261"/>
      <c r="G42" s="260"/>
    </row>
    <row r="43" spans="1:13" ht="26">
      <c r="A43" s="562" t="s">
        <v>167</v>
      </c>
      <c r="B43" s="563"/>
      <c r="C43" s="563"/>
      <c r="D43" s="564" t="s">
        <v>168</v>
      </c>
      <c r="E43" s="564" t="s">
        <v>169</v>
      </c>
      <c r="F43" s="565">
        <v>2022</v>
      </c>
      <c r="G43" s="566" t="s">
        <v>1</v>
      </c>
      <c r="H43" s="565">
        <v>2023</v>
      </c>
      <c r="I43" s="566" t="s">
        <v>1</v>
      </c>
      <c r="J43" s="565">
        <v>2024</v>
      </c>
      <c r="K43" s="953" t="s">
        <v>1</v>
      </c>
      <c r="L43" s="565">
        <v>2025</v>
      </c>
      <c r="M43" s="567" t="s">
        <v>1</v>
      </c>
    </row>
    <row r="44" spans="1:13">
      <c r="A44" s="771" t="s">
        <v>170</v>
      </c>
      <c r="B44" s="772"/>
      <c r="C44" s="772"/>
      <c r="D44" s="773" t="s">
        <v>171</v>
      </c>
      <c r="E44" s="774" t="s">
        <v>172</v>
      </c>
      <c r="F44" s="775">
        <v>3.64</v>
      </c>
      <c r="G44" s="776" t="s">
        <v>173</v>
      </c>
      <c r="H44" s="775">
        <v>2.3450000000000002</v>
      </c>
      <c r="I44" s="776" t="s">
        <v>173</v>
      </c>
      <c r="J44" s="775">
        <v>2.0449999999999999</v>
      </c>
      <c r="K44" s="954" t="s">
        <v>173</v>
      </c>
      <c r="L44" s="775">
        <v>2.91</v>
      </c>
      <c r="M44" s="777" t="s">
        <v>173</v>
      </c>
    </row>
    <row r="45" spans="1:13">
      <c r="A45" s="771" t="s">
        <v>174</v>
      </c>
      <c r="B45" s="772"/>
      <c r="C45" s="772"/>
      <c r="D45" s="773" t="s">
        <v>175</v>
      </c>
      <c r="E45" s="778" t="s">
        <v>176</v>
      </c>
      <c r="F45" s="775">
        <v>299.35000000000002</v>
      </c>
      <c r="G45" s="776" t="s">
        <v>173</v>
      </c>
      <c r="H45" s="775">
        <v>258.42</v>
      </c>
      <c r="I45" s="776" t="s">
        <v>173</v>
      </c>
      <c r="J45" s="775">
        <v>274.18</v>
      </c>
      <c r="K45" s="954" t="s">
        <v>173</v>
      </c>
      <c r="L45" s="956">
        <v>299.86694999999997</v>
      </c>
      <c r="M45" s="777" t="s">
        <v>173</v>
      </c>
    </row>
    <row r="46" spans="1:13">
      <c r="A46" s="771" t="s">
        <v>177</v>
      </c>
      <c r="B46" s="772"/>
      <c r="C46" s="772"/>
      <c r="D46" s="773" t="s">
        <v>178</v>
      </c>
      <c r="E46" s="778" t="s">
        <v>176</v>
      </c>
      <c r="F46" s="775">
        <v>99.78</v>
      </c>
      <c r="G46" s="776" t="s">
        <v>173</v>
      </c>
      <c r="H46" s="775">
        <v>86.14</v>
      </c>
      <c r="I46" s="776" t="s">
        <v>173</v>
      </c>
      <c r="J46" s="775">
        <v>91.39</v>
      </c>
      <c r="K46" s="954" t="s">
        <v>173</v>
      </c>
      <c r="L46" s="956">
        <v>99.955650000000006</v>
      </c>
      <c r="M46" s="777" t="s">
        <v>173</v>
      </c>
    </row>
    <row r="47" spans="1:13">
      <c r="A47" s="771" t="s">
        <v>179</v>
      </c>
      <c r="B47" s="772"/>
      <c r="C47" s="772"/>
      <c r="D47" s="773" t="s">
        <v>50</v>
      </c>
      <c r="E47" s="778" t="s">
        <v>176</v>
      </c>
      <c r="F47" s="775">
        <v>33.26</v>
      </c>
      <c r="G47" s="776" t="s">
        <v>173</v>
      </c>
      <c r="H47" s="775">
        <v>28.71</v>
      </c>
      <c r="I47" s="776" t="s">
        <v>173</v>
      </c>
      <c r="J47" s="775">
        <v>30.46</v>
      </c>
      <c r="K47" s="954" t="s">
        <v>173</v>
      </c>
      <c r="L47" s="956">
        <v>33.318550000000002</v>
      </c>
      <c r="M47" s="777" t="s">
        <v>173</v>
      </c>
    </row>
    <row r="48" spans="1:13">
      <c r="A48" s="771" t="s">
        <v>120</v>
      </c>
      <c r="B48" s="772"/>
      <c r="C48" s="772"/>
      <c r="D48" s="773" t="s">
        <v>801</v>
      </c>
      <c r="E48" s="774" t="s">
        <v>172</v>
      </c>
      <c r="F48" s="779">
        <v>1527.57</v>
      </c>
      <c r="G48" s="776" t="s">
        <v>173</v>
      </c>
      <c r="H48" s="779">
        <v>1483.33</v>
      </c>
      <c r="I48" s="776" t="s">
        <v>173</v>
      </c>
      <c r="J48" s="779">
        <v>1157.0899999999999</v>
      </c>
      <c r="K48" s="954" t="s">
        <v>173</v>
      </c>
      <c r="L48" s="779">
        <v>1406.04</v>
      </c>
      <c r="M48" s="777" t="s">
        <v>173</v>
      </c>
    </row>
    <row r="49" spans="1:15">
      <c r="A49" s="771" t="s">
        <v>124</v>
      </c>
      <c r="B49" s="772"/>
      <c r="C49" s="772"/>
      <c r="D49" s="773" t="s">
        <v>802</v>
      </c>
      <c r="E49" s="774" t="s">
        <v>172</v>
      </c>
      <c r="F49" s="775">
        <v>37.56</v>
      </c>
      <c r="G49" s="776" t="s">
        <v>173</v>
      </c>
      <c r="H49" s="775">
        <v>0</v>
      </c>
      <c r="I49" s="776" t="s">
        <v>173</v>
      </c>
      <c r="J49" s="775">
        <v>186.72</v>
      </c>
      <c r="K49" s="954" t="s">
        <v>173</v>
      </c>
      <c r="L49" s="956">
        <v>59.16</v>
      </c>
      <c r="M49" s="777" t="s">
        <v>173</v>
      </c>
    </row>
    <row r="50" spans="1:15">
      <c r="A50" s="771" t="s">
        <v>182</v>
      </c>
      <c r="B50" s="772"/>
      <c r="C50" s="772"/>
      <c r="D50" s="773" t="s">
        <v>183</v>
      </c>
      <c r="E50" s="778" t="s">
        <v>176</v>
      </c>
      <c r="F50" s="775">
        <v>104.67</v>
      </c>
      <c r="G50" s="776" t="s">
        <v>173</v>
      </c>
      <c r="H50" s="775">
        <v>86.37</v>
      </c>
      <c r="I50" s="776" t="s">
        <v>173</v>
      </c>
      <c r="J50" s="775">
        <v>82.36</v>
      </c>
      <c r="K50" s="954" t="s">
        <v>173</v>
      </c>
      <c r="L50" s="956">
        <v>112.14449999999999</v>
      </c>
      <c r="M50" s="777" t="s">
        <v>173</v>
      </c>
    </row>
    <row r="51" spans="1:15">
      <c r="A51" s="771" t="s">
        <v>184</v>
      </c>
      <c r="B51" s="772"/>
      <c r="C51" s="772"/>
      <c r="D51" s="773" t="s">
        <v>185</v>
      </c>
      <c r="E51" s="778" t="s">
        <v>176</v>
      </c>
      <c r="F51" s="775">
        <v>34.89</v>
      </c>
      <c r="G51" s="776" t="s">
        <v>173</v>
      </c>
      <c r="H51" s="775">
        <v>28.79</v>
      </c>
      <c r="I51" s="776" t="s">
        <v>173</v>
      </c>
      <c r="J51" s="775">
        <v>27.45</v>
      </c>
      <c r="K51" s="954" t="s">
        <v>173</v>
      </c>
      <c r="L51" s="956">
        <v>37.381500000000003</v>
      </c>
      <c r="M51" s="777" t="s">
        <v>173</v>
      </c>
    </row>
    <row r="52" spans="1:15">
      <c r="A52" s="771" t="s">
        <v>186</v>
      </c>
      <c r="B52" s="772"/>
      <c r="C52" s="772"/>
      <c r="D52" s="773" t="s">
        <v>187</v>
      </c>
      <c r="E52" s="778" t="s">
        <v>176</v>
      </c>
      <c r="F52" s="775">
        <v>39.54</v>
      </c>
      <c r="G52" s="776" t="s">
        <v>173</v>
      </c>
      <c r="H52" s="775">
        <v>35.799999999999997</v>
      </c>
      <c r="I52" s="776" t="s">
        <v>173</v>
      </c>
      <c r="J52" s="775">
        <v>41.85</v>
      </c>
      <c r="K52" s="954" t="s">
        <v>173</v>
      </c>
      <c r="L52" s="956">
        <v>36.569499999999998</v>
      </c>
      <c r="M52" s="777" t="s">
        <v>173</v>
      </c>
    </row>
    <row r="53" spans="1:15">
      <c r="A53" s="771" t="s">
        <v>188</v>
      </c>
      <c r="B53" s="772"/>
      <c r="C53" s="772"/>
      <c r="D53" s="773" t="s">
        <v>189</v>
      </c>
      <c r="E53" s="778" t="s">
        <v>176</v>
      </c>
      <c r="F53" s="775">
        <v>39.54</v>
      </c>
      <c r="G53" s="776" t="s">
        <v>173</v>
      </c>
      <c r="H53" s="775">
        <v>35.799999999999997</v>
      </c>
      <c r="I53" s="776" t="s">
        <v>173</v>
      </c>
      <c r="J53" s="775">
        <v>41.85</v>
      </c>
      <c r="K53" s="954" t="s">
        <v>173</v>
      </c>
      <c r="L53" s="956">
        <v>36.569499999999998</v>
      </c>
      <c r="M53" s="777" t="s">
        <v>173</v>
      </c>
    </row>
    <row r="54" spans="1:15">
      <c r="A54" s="771" t="s">
        <v>190</v>
      </c>
      <c r="B54" s="772"/>
      <c r="C54" s="772"/>
      <c r="D54" s="773" t="s">
        <v>191</v>
      </c>
      <c r="E54" s="778" t="s">
        <v>176</v>
      </c>
      <c r="F54" s="775">
        <v>39.54</v>
      </c>
      <c r="G54" s="776" t="s">
        <v>173</v>
      </c>
      <c r="H54" s="775">
        <v>35.799999999999997</v>
      </c>
      <c r="I54" s="776" t="s">
        <v>173</v>
      </c>
      <c r="J54" s="775">
        <v>0</v>
      </c>
      <c r="K54" s="954" t="s">
        <v>173</v>
      </c>
      <c r="L54" s="775">
        <v>0</v>
      </c>
      <c r="M54" s="777" t="s">
        <v>173</v>
      </c>
    </row>
    <row r="55" spans="1:15">
      <c r="A55" s="771" t="s">
        <v>192</v>
      </c>
      <c r="B55" s="772"/>
      <c r="C55" s="772"/>
      <c r="D55" s="773" t="s">
        <v>193</v>
      </c>
      <c r="E55" s="778" t="s">
        <v>176</v>
      </c>
      <c r="F55" s="775">
        <v>23.72</v>
      </c>
      <c r="G55" s="776" t="s">
        <v>173</v>
      </c>
      <c r="H55" s="775">
        <v>21.48</v>
      </c>
      <c r="I55" s="776" t="s">
        <v>173</v>
      </c>
      <c r="J55" s="775">
        <v>41.85</v>
      </c>
      <c r="K55" s="954" t="s">
        <v>173</v>
      </c>
      <c r="L55" s="956">
        <v>36.569499999999998</v>
      </c>
      <c r="M55" s="777" t="s">
        <v>173</v>
      </c>
    </row>
    <row r="56" spans="1:15">
      <c r="A56" s="771" t="s">
        <v>194</v>
      </c>
      <c r="B56" s="772"/>
      <c r="C56" s="772"/>
      <c r="D56" s="773" t="s">
        <v>30</v>
      </c>
      <c r="E56" s="778" t="s">
        <v>176</v>
      </c>
      <c r="F56" s="775">
        <v>332.61</v>
      </c>
      <c r="G56" s="776" t="s">
        <v>173</v>
      </c>
      <c r="H56" s="775">
        <v>287.13</v>
      </c>
      <c r="I56" s="776" t="s">
        <v>173</v>
      </c>
      <c r="J56" s="775">
        <v>114.35</v>
      </c>
      <c r="K56" s="954" t="s">
        <v>173</v>
      </c>
      <c r="L56" s="1379" t="s">
        <v>1265</v>
      </c>
      <c r="M56" s="777" t="s">
        <v>173</v>
      </c>
      <c r="O56" s="540"/>
    </row>
    <row r="57" spans="1:15">
      <c r="A57" s="771" t="s">
        <v>195</v>
      </c>
      <c r="B57" s="772"/>
      <c r="C57" s="772"/>
      <c r="D57" s="773" t="s">
        <v>196</v>
      </c>
      <c r="E57" s="778" t="s">
        <v>176</v>
      </c>
      <c r="F57" s="775">
        <v>15.82</v>
      </c>
      <c r="G57" s="776" t="s">
        <v>173</v>
      </c>
      <c r="H57" s="775">
        <v>14.32</v>
      </c>
      <c r="I57" s="776" t="s">
        <v>173</v>
      </c>
      <c r="J57" s="775">
        <v>41.85</v>
      </c>
      <c r="K57" s="954" t="s">
        <v>173</v>
      </c>
      <c r="L57" s="956">
        <v>36.569499999999998</v>
      </c>
      <c r="M57" s="777" t="s">
        <v>173</v>
      </c>
    </row>
    <row r="58" spans="1:15">
      <c r="A58" s="1542" t="s">
        <v>126</v>
      </c>
      <c r="B58" s="772"/>
      <c r="C58" s="772"/>
      <c r="D58" s="1543" t="s">
        <v>197</v>
      </c>
      <c r="E58" s="774" t="s">
        <v>172</v>
      </c>
      <c r="F58" s="779">
        <v>2078.58</v>
      </c>
      <c r="G58" s="776" t="s">
        <v>173</v>
      </c>
      <c r="H58" s="779">
        <v>1737.9</v>
      </c>
      <c r="I58" s="776" t="s">
        <v>173</v>
      </c>
      <c r="J58" s="779">
        <v>2191.79</v>
      </c>
      <c r="K58" s="954" t="s">
        <v>173</v>
      </c>
      <c r="L58" s="779">
        <v>2045.05</v>
      </c>
      <c r="M58" s="777" t="s">
        <v>173</v>
      </c>
    </row>
    <row r="59" spans="1:15">
      <c r="A59" s="1542"/>
      <c r="B59" s="772"/>
      <c r="C59" s="772"/>
      <c r="D59" s="1543"/>
      <c r="E59" s="780" t="s">
        <v>781</v>
      </c>
      <c r="F59" s="779">
        <v>33257.279999999999</v>
      </c>
      <c r="G59" s="776" t="s">
        <v>198</v>
      </c>
      <c r="H59" s="779">
        <v>27806.36</v>
      </c>
      <c r="I59" s="776" t="s">
        <v>198</v>
      </c>
      <c r="J59" s="779">
        <v>39452.15</v>
      </c>
      <c r="K59" s="954" t="s">
        <v>198</v>
      </c>
      <c r="L59" s="779">
        <v>32720.856</v>
      </c>
      <c r="M59" s="777" t="s">
        <v>198</v>
      </c>
      <c r="O59" s="425"/>
    </row>
    <row r="60" spans="1:15">
      <c r="A60" s="771" t="s">
        <v>129</v>
      </c>
      <c r="B60" s="772"/>
      <c r="C60" s="772"/>
      <c r="D60" s="773" t="s">
        <v>803</v>
      </c>
      <c r="E60" s="774" t="s">
        <v>172</v>
      </c>
      <c r="F60" s="775">
        <v>0</v>
      </c>
      <c r="G60" s="776" t="s">
        <v>173</v>
      </c>
      <c r="H60" s="775">
        <v>0</v>
      </c>
      <c r="I60" s="776" t="s">
        <v>173</v>
      </c>
      <c r="J60" s="775">
        <v>0</v>
      </c>
      <c r="K60" s="954" t="s">
        <v>173</v>
      </c>
      <c r="L60" s="775">
        <v>0</v>
      </c>
      <c r="M60" s="777" t="s">
        <v>173</v>
      </c>
    </row>
    <row r="61" spans="1:15">
      <c r="A61" s="771" t="s">
        <v>131</v>
      </c>
      <c r="B61" s="772"/>
      <c r="C61" s="772"/>
      <c r="D61" s="773" t="s">
        <v>804</v>
      </c>
      <c r="E61" s="774" t="s">
        <v>172</v>
      </c>
      <c r="F61" s="775">
        <v>0</v>
      </c>
      <c r="G61" s="776" t="s">
        <v>173</v>
      </c>
      <c r="H61" s="775">
        <v>0</v>
      </c>
      <c r="I61" s="776" t="s">
        <v>173</v>
      </c>
      <c r="J61" s="775">
        <v>14.03</v>
      </c>
      <c r="K61" s="954" t="s">
        <v>173</v>
      </c>
      <c r="L61" s="775">
        <v>59.16</v>
      </c>
      <c r="M61" s="777" t="s">
        <v>173</v>
      </c>
    </row>
    <row r="62" spans="1:15">
      <c r="A62" s="1542" t="s">
        <v>133</v>
      </c>
      <c r="B62" s="772"/>
      <c r="C62" s="772"/>
      <c r="D62" s="1543" t="s">
        <v>201</v>
      </c>
      <c r="E62" s="774" t="s">
        <v>172</v>
      </c>
      <c r="F62" s="775">
        <v>19.440000000000001</v>
      </c>
      <c r="G62" s="776" t="s">
        <v>173</v>
      </c>
      <c r="H62" s="775">
        <v>22.81</v>
      </c>
      <c r="I62" s="776" t="s">
        <v>173</v>
      </c>
      <c r="J62" s="775">
        <v>9.8000000000000007</v>
      </c>
      <c r="K62" s="954" t="s">
        <v>173</v>
      </c>
      <c r="L62" s="775">
        <v>11.55</v>
      </c>
      <c r="M62" s="777" t="s">
        <v>173</v>
      </c>
    </row>
    <row r="63" spans="1:15">
      <c r="A63" s="1542"/>
      <c r="B63" s="772"/>
      <c r="C63" s="772"/>
      <c r="D63" s="1543"/>
      <c r="E63" s="780" t="s">
        <v>782</v>
      </c>
      <c r="F63" s="775">
        <v>214</v>
      </c>
      <c r="G63" s="776" t="s">
        <v>198</v>
      </c>
      <c r="H63" s="775">
        <v>251</v>
      </c>
      <c r="I63" s="776" t="s">
        <v>198</v>
      </c>
      <c r="J63" s="1508">
        <f>0.098*2000</f>
        <v>196</v>
      </c>
      <c r="K63" s="1511" t="s">
        <v>198</v>
      </c>
      <c r="L63" s="1514">
        <v>230.95699999999999</v>
      </c>
      <c r="M63" s="1517" t="s">
        <v>198</v>
      </c>
    </row>
    <row r="64" spans="1:15">
      <c r="A64" s="1542"/>
      <c r="B64" s="772"/>
      <c r="C64" s="772"/>
      <c r="D64" s="1543"/>
      <c r="E64" s="780" t="s">
        <v>783</v>
      </c>
      <c r="F64" s="775">
        <v>171</v>
      </c>
      <c r="G64" s="776" t="s">
        <v>198</v>
      </c>
      <c r="H64" s="775">
        <v>205</v>
      </c>
      <c r="I64" s="776" t="s">
        <v>198</v>
      </c>
      <c r="J64" s="1509"/>
      <c r="K64" s="1512"/>
      <c r="L64" s="1515"/>
      <c r="M64" s="1518"/>
    </row>
    <row r="65" spans="1:14">
      <c r="A65" s="1542"/>
      <c r="B65" s="772"/>
      <c r="C65" s="772"/>
      <c r="D65" s="1543"/>
      <c r="E65" s="780" t="s">
        <v>784</v>
      </c>
      <c r="F65" s="775">
        <v>73</v>
      </c>
      <c r="G65" s="776" t="s">
        <v>198</v>
      </c>
      <c r="H65" s="775">
        <v>86</v>
      </c>
      <c r="I65" s="776" t="s">
        <v>198</v>
      </c>
      <c r="J65" s="1510"/>
      <c r="K65" s="1513"/>
      <c r="L65" s="1516"/>
      <c r="M65" s="1519"/>
    </row>
    <row r="66" spans="1:14">
      <c r="A66" s="771" t="s">
        <v>202</v>
      </c>
      <c r="B66" s="772"/>
      <c r="C66" s="772"/>
      <c r="D66" s="773" t="s">
        <v>203</v>
      </c>
      <c r="E66" s="778" t="s">
        <v>176</v>
      </c>
      <c r="F66" s="775">
        <v>34.89</v>
      </c>
      <c r="G66" s="776" t="s">
        <v>173</v>
      </c>
      <c r="H66" s="775">
        <v>28.79</v>
      </c>
      <c r="I66" s="776" t="s">
        <v>173</v>
      </c>
      <c r="J66" s="775">
        <v>27.45</v>
      </c>
      <c r="K66" s="954" t="s">
        <v>173</v>
      </c>
      <c r="L66" s="956">
        <v>37.381500000000003</v>
      </c>
      <c r="M66" s="777" t="s">
        <v>173</v>
      </c>
    </row>
    <row r="67" spans="1:14">
      <c r="A67" s="1542" t="s">
        <v>134</v>
      </c>
      <c r="B67" s="772"/>
      <c r="C67" s="772"/>
      <c r="D67" s="1543" t="s">
        <v>204</v>
      </c>
      <c r="E67" s="774" t="s">
        <v>172</v>
      </c>
      <c r="F67" s="775">
        <v>2.97</v>
      </c>
      <c r="G67" s="776" t="s">
        <v>173</v>
      </c>
      <c r="H67" s="775">
        <v>0</v>
      </c>
      <c r="I67" s="776" t="s">
        <v>173</v>
      </c>
      <c r="J67" s="775">
        <v>0</v>
      </c>
      <c r="K67" s="954" t="s">
        <v>173</v>
      </c>
      <c r="L67" s="775">
        <v>0</v>
      </c>
      <c r="M67" s="777" t="s">
        <v>173</v>
      </c>
    </row>
    <row r="68" spans="1:14">
      <c r="A68" s="1542"/>
      <c r="B68" s="772"/>
      <c r="C68" s="772"/>
      <c r="D68" s="1543"/>
      <c r="E68" s="780" t="s">
        <v>781</v>
      </c>
      <c r="F68" s="775">
        <v>16</v>
      </c>
      <c r="G68" s="776" t="s">
        <v>198</v>
      </c>
      <c r="H68" s="775">
        <v>0</v>
      </c>
      <c r="I68" s="776" t="s">
        <v>198</v>
      </c>
      <c r="J68" s="775">
        <v>0</v>
      </c>
      <c r="K68" s="954" t="s">
        <v>198</v>
      </c>
      <c r="L68" s="775">
        <v>0</v>
      </c>
      <c r="M68" s="777" t="s">
        <v>198</v>
      </c>
    </row>
    <row r="69" spans="1:14">
      <c r="A69" s="771" t="s">
        <v>205</v>
      </c>
      <c r="B69" s="772"/>
      <c r="C69" s="772"/>
      <c r="D69" s="773" t="s">
        <v>206</v>
      </c>
      <c r="E69" s="778" t="s">
        <v>176</v>
      </c>
      <c r="F69" s="775">
        <v>174.45</v>
      </c>
      <c r="G69" s="776" t="s">
        <v>173</v>
      </c>
      <c r="H69" s="775">
        <v>143.94999999999999</v>
      </c>
      <c r="I69" s="776" t="s">
        <v>173</v>
      </c>
      <c r="J69" s="775">
        <v>137.26</v>
      </c>
      <c r="K69" s="954" t="s">
        <v>173</v>
      </c>
      <c r="L69" s="775">
        <v>186.91</v>
      </c>
      <c r="M69" s="777" t="s">
        <v>173</v>
      </c>
    </row>
    <row r="70" spans="1:14" ht="13.5" thickBot="1">
      <c r="A70" s="781" t="s">
        <v>205</v>
      </c>
      <c r="B70" s="782"/>
      <c r="C70" s="782"/>
      <c r="D70" s="783" t="s">
        <v>207</v>
      </c>
      <c r="E70" s="784" t="s">
        <v>176</v>
      </c>
      <c r="F70" s="785">
        <v>158.16</v>
      </c>
      <c r="G70" s="786" t="s">
        <v>173</v>
      </c>
      <c r="H70" s="785">
        <v>143.18</v>
      </c>
      <c r="I70" s="786" t="s">
        <v>173</v>
      </c>
      <c r="J70" s="785">
        <v>167.38</v>
      </c>
      <c r="K70" s="955" t="s">
        <v>173</v>
      </c>
      <c r="L70" s="785">
        <v>146.28</v>
      </c>
      <c r="M70" s="787" t="s">
        <v>173</v>
      </c>
    </row>
    <row r="71" spans="1:14" ht="13.5" thickBot="1"/>
    <row r="72" spans="1:14" ht="26.5" thickBot="1">
      <c r="D72" s="839" t="s">
        <v>939</v>
      </c>
      <c r="E72" s="569" t="s">
        <v>169</v>
      </c>
      <c r="F72" s="888" t="s">
        <v>836</v>
      </c>
      <c r="G72" s="887" t="s">
        <v>837</v>
      </c>
      <c r="H72" s="893" t="s">
        <v>1</v>
      </c>
      <c r="I72" s="570">
        <v>2022</v>
      </c>
      <c r="J72" s="571" t="s">
        <v>1</v>
      </c>
      <c r="K72" s="570">
        <v>2023</v>
      </c>
      <c r="L72" s="571" t="s">
        <v>1</v>
      </c>
      <c r="M72" s="857">
        <v>2024</v>
      </c>
      <c r="N72" s="572" t="s">
        <v>1</v>
      </c>
    </row>
    <row r="73" spans="1:14">
      <c r="D73" s="606" t="s">
        <v>208</v>
      </c>
      <c r="E73" s="227" t="s">
        <v>176</v>
      </c>
      <c r="F73" s="645"/>
      <c r="G73" s="858">
        <v>33288</v>
      </c>
      <c r="H73" s="229" t="s">
        <v>173</v>
      </c>
      <c r="I73" s="230">
        <f>F50+F51+F52+F53+F54+F55+F57+F66</f>
        <v>332.60999999999996</v>
      </c>
      <c r="J73" s="228" t="s">
        <v>173</v>
      </c>
      <c r="K73" s="230">
        <f>H50+H51+H52+H53+H54+H55+H57+H66</f>
        <v>287.15000000000003</v>
      </c>
      <c r="L73" s="228" t="s">
        <v>173</v>
      </c>
      <c r="M73" s="229">
        <f>J50+J51+J52+J53+J54+J55+J57+J66</f>
        <v>304.65999999999997</v>
      </c>
      <c r="N73" s="232" t="s">
        <v>173</v>
      </c>
    </row>
    <row r="74" spans="1:14">
      <c r="D74" s="248" t="s">
        <v>209</v>
      </c>
      <c r="E74" s="233" t="s">
        <v>172</v>
      </c>
      <c r="F74" s="889" t="s">
        <v>696</v>
      </c>
      <c r="G74" s="428">
        <f>SUM(F10:F16)</f>
        <v>124106</v>
      </c>
      <c r="H74" s="246" t="s">
        <v>173</v>
      </c>
      <c r="I74" s="568">
        <f>F48+F49+F60+F61</f>
        <v>1565.1299999999999</v>
      </c>
      <c r="J74" s="574" t="s">
        <v>173</v>
      </c>
      <c r="K74" s="568">
        <f>H48+H49+H60+H61</f>
        <v>1483.33</v>
      </c>
      <c r="L74" s="574" t="s">
        <v>173</v>
      </c>
      <c r="M74" s="894">
        <f>J48+J49+J60+J61</f>
        <v>1357.84</v>
      </c>
      <c r="N74" s="575" t="s">
        <v>173</v>
      </c>
    </row>
    <row r="75" spans="1:14" ht="4" customHeight="1">
      <c r="D75" s="840"/>
      <c r="E75" s="576"/>
      <c r="F75" s="890"/>
      <c r="G75" s="859"/>
      <c r="H75" s="859"/>
      <c r="I75" s="577"/>
      <c r="J75" s="578"/>
      <c r="K75" s="577"/>
      <c r="L75" s="578"/>
      <c r="M75" s="859"/>
      <c r="N75" s="579"/>
    </row>
    <row r="76" spans="1:14">
      <c r="D76" s="248" t="s">
        <v>210</v>
      </c>
      <c r="E76" s="233" t="s">
        <v>211</v>
      </c>
      <c r="F76" s="415"/>
      <c r="G76" s="860">
        <f>G74/G73</f>
        <v>3.7282504205719778</v>
      </c>
      <c r="H76" s="860" t="s">
        <v>212</v>
      </c>
      <c r="I76" s="580">
        <f>I74/I73</f>
        <v>4.7056011545052767</v>
      </c>
      <c r="J76" s="581" t="s">
        <v>212</v>
      </c>
      <c r="K76" s="580">
        <f>K74/K73</f>
        <v>5.1656973707121701</v>
      </c>
      <c r="L76" s="581" t="s">
        <v>212</v>
      </c>
      <c r="M76" s="860">
        <f>M74/M73</f>
        <v>4.4569027768660145</v>
      </c>
      <c r="N76" s="582" t="s">
        <v>212</v>
      </c>
    </row>
    <row r="77" spans="1:14" ht="4" customHeight="1">
      <c r="D77" s="840"/>
      <c r="E77" s="576"/>
      <c r="F77" s="890"/>
      <c r="G77" s="859"/>
      <c r="H77" s="859"/>
      <c r="I77" s="577"/>
      <c r="J77" s="578"/>
      <c r="K77" s="577"/>
      <c r="L77" s="578"/>
      <c r="M77" s="859"/>
      <c r="N77" s="579"/>
    </row>
    <row r="78" spans="1:14">
      <c r="D78" s="248" t="s">
        <v>213</v>
      </c>
      <c r="E78" s="233" t="s">
        <v>176</v>
      </c>
      <c r="F78" s="415"/>
      <c r="G78" s="250">
        <v>3000</v>
      </c>
      <c r="H78" s="250" t="s">
        <v>173</v>
      </c>
      <c r="I78" s="583">
        <v>3000</v>
      </c>
      <c r="J78" s="584" t="s">
        <v>173</v>
      </c>
      <c r="K78" s="583">
        <v>3000</v>
      </c>
      <c r="L78" s="584" t="s">
        <v>173</v>
      </c>
      <c r="M78" s="250">
        <v>3000</v>
      </c>
      <c r="N78" s="891" t="s">
        <v>173</v>
      </c>
    </row>
    <row r="79" spans="1:14" ht="13.5" thickBot="1">
      <c r="D79" s="256" t="s">
        <v>795</v>
      </c>
      <c r="E79" s="239" t="s">
        <v>172</v>
      </c>
      <c r="F79" s="422"/>
      <c r="G79" s="585">
        <f>G78*G76</f>
        <v>11184.751261715934</v>
      </c>
      <c r="H79" s="585" t="s">
        <v>173</v>
      </c>
      <c r="I79" s="586">
        <f>I78*I76</f>
        <v>14116.803463515831</v>
      </c>
      <c r="J79" s="587" t="s">
        <v>173</v>
      </c>
      <c r="K79" s="586">
        <f>K78*K76</f>
        <v>15497.09211213651</v>
      </c>
      <c r="L79" s="587" t="s">
        <v>173</v>
      </c>
      <c r="M79" s="585">
        <f>M78*M76</f>
        <v>13370.708330598043</v>
      </c>
      <c r="N79" s="892" t="s">
        <v>173</v>
      </c>
    </row>
    <row r="80" spans="1:14">
      <c r="D80" s="220" t="s">
        <v>835</v>
      </c>
      <c r="F80" s="261"/>
      <c r="G80" s="260"/>
    </row>
    <row r="81" spans="1:16">
      <c r="D81" s="220" t="s">
        <v>838</v>
      </c>
      <c r="F81" s="261"/>
      <c r="G81" s="260"/>
    </row>
    <row r="82" spans="1:16">
      <c r="D82" s="427" t="s">
        <v>214</v>
      </c>
      <c r="F82" s="428">
        <f>F10+F11+F12+F13</f>
        <v>105120</v>
      </c>
      <c r="G82" s="220" t="s">
        <v>123</v>
      </c>
      <c r="H82" s="282"/>
      <c r="I82" s="282" t="s">
        <v>792</v>
      </c>
      <c r="J82" s="541"/>
      <c r="K82" s="425"/>
      <c r="L82" s="425"/>
      <c r="M82" s="541"/>
      <c r="N82" s="425"/>
      <c r="O82" s="425"/>
      <c r="P82" s="541"/>
    </row>
    <row r="83" spans="1:16">
      <c r="D83" s="427" t="s">
        <v>215</v>
      </c>
      <c r="F83" s="428">
        <f>'Brass Melting'!J19+'AL Melting'!G16</f>
        <v>33288</v>
      </c>
      <c r="G83" s="220" t="s">
        <v>216</v>
      </c>
      <c r="H83" s="282"/>
      <c r="I83" s="425" t="s">
        <v>793</v>
      </c>
      <c r="J83" s="541"/>
      <c r="K83" s="425"/>
      <c r="L83" s="425"/>
      <c r="M83" s="541"/>
      <c r="N83" s="425"/>
      <c r="O83" s="425"/>
      <c r="P83" s="541"/>
    </row>
    <row r="84" spans="1:16" ht="13.5" customHeight="1">
      <c r="D84" s="427" t="s">
        <v>217</v>
      </c>
      <c r="F84" s="540">
        <f>F82/F83</f>
        <v>3.1578947368421053</v>
      </c>
      <c r="G84" s="220" t="s">
        <v>218</v>
      </c>
      <c r="H84" s="282"/>
      <c r="I84" s="1523" t="s">
        <v>839</v>
      </c>
      <c r="J84" s="1523"/>
      <c r="K84" s="1523"/>
      <c r="L84" s="1523"/>
      <c r="M84" s="1523"/>
      <c r="N84" s="1523"/>
      <c r="O84" s="1523"/>
      <c r="P84" s="1523"/>
    </row>
    <row r="85" spans="1:16">
      <c r="F85" s="540"/>
      <c r="H85" s="282"/>
      <c r="I85" s="1523"/>
      <c r="J85" s="1523"/>
      <c r="K85" s="1523"/>
      <c r="L85" s="1523"/>
      <c r="M85" s="1523"/>
      <c r="N85" s="1523"/>
      <c r="O85" s="1523"/>
      <c r="P85" s="1523"/>
    </row>
    <row r="86" spans="1:16">
      <c r="F86" s="540"/>
      <c r="H86" s="282"/>
      <c r="I86" s="708"/>
      <c r="J86" s="708"/>
      <c r="K86" s="708"/>
      <c r="L86" s="708"/>
      <c r="M86" s="708"/>
      <c r="N86" s="708"/>
      <c r="O86" s="708"/>
      <c r="P86" s="708"/>
    </row>
    <row r="87" spans="1:16" ht="13.5" thickBot="1">
      <c r="A87" s="261" t="s">
        <v>826</v>
      </c>
      <c r="B87" s="261"/>
      <c r="C87" s="261"/>
      <c r="F87" s="261"/>
      <c r="G87" s="260"/>
    </row>
    <row r="88" spans="1:16">
      <c r="A88" s="261"/>
      <c r="B88" s="261"/>
      <c r="C88" s="261"/>
      <c r="F88" s="261"/>
      <c r="G88" s="260"/>
      <c r="H88" s="1536" t="s">
        <v>35</v>
      </c>
      <c r="I88" s="1537"/>
      <c r="J88" s="1538"/>
      <c r="K88" s="1537" t="s">
        <v>36</v>
      </c>
      <c r="L88" s="1537"/>
      <c r="M88" s="1538"/>
      <c r="N88" s="1537" t="s">
        <v>37</v>
      </c>
      <c r="O88" s="1537"/>
      <c r="P88" s="1538"/>
    </row>
    <row r="89" spans="1:16" ht="39.5" thickBot="1">
      <c r="A89" s="261" t="s">
        <v>745</v>
      </c>
      <c r="B89" s="261" t="s">
        <v>725</v>
      </c>
      <c r="C89" s="261"/>
      <c r="F89" s="261"/>
      <c r="G89" s="260"/>
      <c r="H89" s="520" t="s">
        <v>831</v>
      </c>
      <c r="I89" s="521" t="s">
        <v>75</v>
      </c>
      <c r="J89" s="522" t="s">
        <v>143</v>
      </c>
      <c r="K89" s="544" t="s">
        <v>831</v>
      </c>
      <c r="L89" s="521" t="s">
        <v>75</v>
      </c>
      <c r="M89" s="522" t="s">
        <v>143</v>
      </c>
      <c r="N89" s="544" t="s">
        <v>831</v>
      </c>
      <c r="O89" s="521" t="s">
        <v>75</v>
      </c>
      <c r="P89" s="522" t="s">
        <v>143</v>
      </c>
    </row>
    <row r="90" spans="1:16">
      <c r="A90" s="220" t="s">
        <v>144</v>
      </c>
      <c r="B90" s="220" t="s">
        <v>690</v>
      </c>
      <c r="D90" s="220" t="s">
        <v>978</v>
      </c>
      <c r="F90" s="428">
        <f>F92</f>
        <v>18000</v>
      </c>
      <c r="G90" s="220" t="s">
        <v>123</v>
      </c>
      <c r="H90" s="861">
        <f t="shared" ref="H90:H97" si="6">I90*2000/$G$103</f>
        <v>3.0190267862908408E-4</v>
      </c>
      <c r="I90" s="862">
        <f t="shared" ref="I90:I97" si="7">F90*$G$100/2000</f>
        <v>1.3223337323953882E-3</v>
      </c>
      <c r="J90" s="863">
        <f t="shared" ref="J90:J97" si="8">$G$100*$G$10/2000</f>
        <v>1.1386762695626954E-3</v>
      </c>
      <c r="K90" s="864">
        <f t="shared" ref="K90:K97" si="9">L90*2000/$G$103</f>
        <v>1.4279180745970193E-4</v>
      </c>
      <c r="L90" s="862">
        <f t="shared" ref="L90:L97" si="10">F90*$G$101/2000</f>
        <v>6.2542811667349446E-4</v>
      </c>
      <c r="M90" s="863">
        <f t="shared" ref="M90:M97" si="11">$G$10*$G$101/2000</f>
        <v>5.3856310046884249E-4</v>
      </c>
      <c r="N90" s="864">
        <f t="shared" ref="N90:N97" si="12">O90*2000/$G$103</f>
        <v>2.1622759415326295E-5</v>
      </c>
      <c r="O90" s="862">
        <f>$G$102*F90/2000</f>
        <v>9.4707686239129174E-5</v>
      </c>
      <c r="P90" s="863">
        <f t="shared" ref="P90:P97" si="13">$G$102*$G$10/2000</f>
        <v>8.1553840928139009E-5</v>
      </c>
    </row>
    <row r="91" spans="1:16">
      <c r="A91" s="220" t="s">
        <v>690</v>
      </c>
      <c r="B91" s="220" t="s">
        <v>690</v>
      </c>
      <c r="D91" s="220" t="s">
        <v>977</v>
      </c>
      <c r="F91" s="428">
        <f>F92</f>
        <v>18000</v>
      </c>
      <c r="G91" s="220" t="s">
        <v>123</v>
      </c>
      <c r="H91" s="861">
        <f t="shared" si="6"/>
        <v>3.0190267862908408E-4</v>
      </c>
      <c r="I91" s="862">
        <f t="shared" si="7"/>
        <v>1.3223337323953882E-3</v>
      </c>
      <c r="J91" s="863">
        <f t="shared" si="8"/>
        <v>1.1386762695626954E-3</v>
      </c>
      <c r="K91" s="864">
        <f t="shared" si="9"/>
        <v>1.4279180745970193E-4</v>
      </c>
      <c r="L91" s="862">
        <f t="shared" si="10"/>
        <v>6.2542811667349446E-4</v>
      </c>
      <c r="M91" s="863">
        <f t="shared" si="11"/>
        <v>5.3856310046884249E-4</v>
      </c>
      <c r="N91" s="864">
        <f t="shared" si="12"/>
        <v>2.1622759415326295E-5</v>
      </c>
      <c r="O91" s="862">
        <f t="shared" ref="O91:O97" si="14">$G$102*F91/2000</f>
        <v>9.4707686239129174E-5</v>
      </c>
      <c r="P91" s="863">
        <f t="shared" si="13"/>
        <v>8.1553840928139009E-5</v>
      </c>
    </row>
    <row r="92" spans="1:16">
      <c r="A92" s="220" t="s">
        <v>145</v>
      </c>
      <c r="B92" s="220" t="s">
        <v>690</v>
      </c>
      <c r="D92" s="220" t="s">
        <v>979</v>
      </c>
      <c r="F92" s="428">
        <v>18000</v>
      </c>
      <c r="G92" s="220" t="s">
        <v>123</v>
      </c>
      <c r="H92" s="865">
        <f t="shared" si="6"/>
        <v>3.0190267862908408E-4</v>
      </c>
      <c r="I92" s="866">
        <f t="shared" si="7"/>
        <v>1.3223337323953882E-3</v>
      </c>
      <c r="J92" s="867">
        <f t="shared" si="8"/>
        <v>1.1386762695626954E-3</v>
      </c>
      <c r="K92" s="868">
        <f t="shared" si="9"/>
        <v>1.4279180745970193E-4</v>
      </c>
      <c r="L92" s="866">
        <f t="shared" si="10"/>
        <v>6.2542811667349446E-4</v>
      </c>
      <c r="M92" s="867">
        <f t="shared" si="11"/>
        <v>5.3856310046884249E-4</v>
      </c>
      <c r="N92" s="868">
        <f t="shared" si="12"/>
        <v>2.1622759415326295E-5</v>
      </c>
      <c r="O92" s="866">
        <f t="shared" si="14"/>
        <v>9.4707686239129174E-5</v>
      </c>
      <c r="P92" s="867">
        <f t="shared" si="13"/>
        <v>8.1553840928139009E-5</v>
      </c>
    </row>
    <row r="93" spans="1:16">
      <c r="A93" s="220" t="s">
        <v>310</v>
      </c>
      <c r="B93" s="220" t="s">
        <v>690</v>
      </c>
      <c r="D93" s="220" t="s">
        <v>980</v>
      </c>
      <c r="F93" s="428">
        <v>493</v>
      </c>
      <c r="G93" s="220" t="s">
        <v>123</v>
      </c>
      <c r="H93" s="865">
        <f t="shared" si="6"/>
        <v>8.2687789202299154E-6</v>
      </c>
      <c r="I93" s="866">
        <f t="shared" si="7"/>
        <v>3.6217251670607025E-5</v>
      </c>
      <c r="J93" s="867">
        <f t="shared" si="8"/>
        <v>1.1386762695626954E-3</v>
      </c>
      <c r="K93" s="868">
        <f t="shared" si="9"/>
        <v>3.9109089487573914E-6</v>
      </c>
      <c r="L93" s="866">
        <f t="shared" si="10"/>
        <v>1.7129781195557378E-5</v>
      </c>
      <c r="M93" s="867">
        <f t="shared" si="11"/>
        <v>5.3856310046884249E-4</v>
      </c>
      <c r="N93" s="868">
        <f t="shared" si="12"/>
        <v>5.9222335509754795E-7</v>
      </c>
      <c r="O93" s="866">
        <f t="shared" si="14"/>
        <v>2.59393829532726E-6</v>
      </c>
      <c r="P93" s="867">
        <f t="shared" si="13"/>
        <v>8.1553840928139009E-5</v>
      </c>
    </row>
    <row r="94" spans="1:16">
      <c r="A94" s="220" t="s">
        <v>310</v>
      </c>
      <c r="B94" s="220" t="s">
        <v>690</v>
      </c>
      <c r="D94" s="220" t="s">
        <v>981</v>
      </c>
      <c r="F94" s="428">
        <v>493</v>
      </c>
      <c r="G94" s="220" t="s">
        <v>123</v>
      </c>
      <c r="H94" s="865">
        <f t="shared" si="6"/>
        <v>8.2687789202299154E-6</v>
      </c>
      <c r="I94" s="866">
        <f t="shared" si="7"/>
        <v>3.6217251670607025E-5</v>
      </c>
      <c r="J94" s="867">
        <f t="shared" si="8"/>
        <v>1.1386762695626954E-3</v>
      </c>
      <c r="K94" s="868">
        <f t="shared" si="9"/>
        <v>3.9109089487573914E-6</v>
      </c>
      <c r="L94" s="866">
        <f t="shared" si="10"/>
        <v>1.7129781195557378E-5</v>
      </c>
      <c r="M94" s="867">
        <f t="shared" si="11"/>
        <v>5.3856310046884249E-4</v>
      </c>
      <c r="N94" s="868">
        <f t="shared" si="12"/>
        <v>5.9222335509754795E-7</v>
      </c>
      <c r="O94" s="866">
        <f t="shared" si="14"/>
        <v>2.59393829532726E-6</v>
      </c>
      <c r="P94" s="867">
        <f t="shared" si="13"/>
        <v>8.1553840928139009E-5</v>
      </c>
    </row>
    <row r="95" spans="1:16">
      <c r="A95" s="220" t="s">
        <v>310</v>
      </c>
      <c r="B95" s="220" t="s">
        <v>690</v>
      </c>
      <c r="D95" s="220" t="s">
        <v>832</v>
      </c>
      <c r="F95" s="428">
        <v>493</v>
      </c>
      <c r="G95" s="220" t="s">
        <v>123</v>
      </c>
      <c r="H95" s="865">
        <f t="shared" si="6"/>
        <v>8.2687789202299154E-6</v>
      </c>
      <c r="I95" s="866">
        <f t="shared" si="7"/>
        <v>3.6217251670607025E-5</v>
      </c>
      <c r="J95" s="867">
        <f t="shared" si="8"/>
        <v>1.1386762695626954E-3</v>
      </c>
      <c r="K95" s="868">
        <f t="shared" si="9"/>
        <v>3.9109089487573914E-6</v>
      </c>
      <c r="L95" s="866">
        <f t="shared" si="10"/>
        <v>1.7129781195557378E-5</v>
      </c>
      <c r="M95" s="867">
        <f t="shared" si="11"/>
        <v>5.3856310046884249E-4</v>
      </c>
      <c r="N95" s="868">
        <f t="shared" si="12"/>
        <v>5.9222335509754795E-7</v>
      </c>
      <c r="O95" s="866">
        <f t="shared" si="14"/>
        <v>2.59393829532726E-6</v>
      </c>
      <c r="P95" s="867">
        <f t="shared" si="13"/>
        <v>8.1553840928139009E-5</v>
      </c>
    </row>
    <row r="96" spans="1:16">
      <c r="A96" s="220" t="s">
        <v>310</v>
      </c>
      <c r="B96" s="220" t="s">
        <v>690</v>
      </c>
      <c r="D96" s="220" t="s">
        <v>827</v>
      </c>
      <c r="F96" s="428">
        <v>493</v>
      </c>
      <c r="G96" s="220" t="s">
        <v>123</v>
      </c>
      <c r="H96" s="865">
        <f t="shared" si="6"/>
        <v>8.2687789202299154E-6</v>
      </c>
      <c r="I96" s="866">
        <f t="shared" si="7"/>
        <v>3.6217251670607025E-5</v>
      </c>
      <c r="J96" s="867">
        <f t="shared" si="8"/>
        <v>1.1386762695626954E-3</v>
      </c>
      <c r="K96" s="868">
        <f t="shared" si="9"/>
        <v>3.9109089487573914E-6</v>
      </c>
      <c r="L96" s="866">
        <f t="shared" si="10"/>
        <v>1.7129781195557378E-5</v>
      </c>
      <c r="M96" s="867">
        <f t="shared" si="11"/>
        <v>5.3856310046884249E-4</v>
      </c>
      <c r="N96" s="868">
        <f t="shared" si="12"/>
        <v>5.9222335509754795E-7</v>
      </c>
      <c r="O96" s="866">
        <f t="shared" si="14"/>
        <v>2.59393829532726E-6</v>
      </c>
      <c r="P96" s="867">
        <f t="shared" si="13"/>
        <v>8.1553840928139009E-5</v>
      </c>
    </row>
    <row r="97" spans="1:16" ht="13.5" thickBot="1">
      <c r="A97" s="220" t="s">
        <v>146</v>
      </c>
      <c r="B97" s="220" t="s">
        <v>690</v>
      </c>
      <c r="D97" s="220" t="s">
        <v>982</v>
      </c>
      <c r="F97" s="428">
        <f>SUM(F10:F13)</f>
        <v>105120</v>
      </c>
      <c r="G97" s="220" t="s">
        <v>123</v>
      </c>
      <c r="H97" s="869">
        <f t="shared" si="6"/>
        <v>1.7631116431938512E-3</v>
      </c>
      <c r="I97" s="870">
        <f t="shared" si="7"/>
        <v>7.7224289971890682E-3</v>
      </c>
      <c r="J97" s="871">
        <f t="shared" si="8"/>
        <v>1.1386762695626954E-3</v>
      </c>
      <c r="K97" s="872">
        <f t="shared" si="9"/>
        <v>8.3390415556465936E-4</v>
      </c>
      <c r="L97" s="870">
        <f t="shared" si="10"/>
        <v>3.6525002013732084E-3</v>
      </c>
      <c r="M97" s="871">
        <f t="shared" si="11"/>
        <v>5.3856310046884249E-4</v>
      </c>
      <c r="N97" s="872">
        <f t="shared" si="12"/>
        <v>1.2627691498550556E-4</v>
      </c>
      <c r="O97" s="870">
        <f t="shared" si="14"/>
        <v>5.5309288763651435E-4</v>
      </c>
      <c r="P97" s="871">
        <f t="shared" si="13"/>
        <v>8.1553840928139009E-5</v>
      </c>
    </row>
    <row r="99" spans="1:16" ht="13.5" thickBot="1">
      <c r="A99" s="220" t="s">
        <v>147</v>
      </c>
    </row>
    <row r="100" spans="1:16" ht="14.5">
      <c r="A100" s="220" t="s">
        <v>148</v>
      </c>
      <c r="F100" s="261" t="s">
        <v>35</v>
      </c>
      <c r="G100" s="260">
        <f>K107*0.0032*((L107/5)^1.3/(M107/2)^1.4)</f>
        <v>1.4692597026615427E-4</v>
      </c>
      <c r="H100" s="220" t="s">
        <v>149</v>
      </c>
      <c r="I100" s="545" t="s">
        <v>150</v>
      </c>
      <c r="J100" s="546" t="s">
        <v>679</v>
      </c>
      <c r="K100" s="547"/>
      <c r="L100" s="547"/>
      <c r="M100" s="547" t="s">
        <v>151</v>
      </c>
      <c r="N100" s="548"/>
      <c r="O100" s="549"/>
      <c r="P100" s="550"/>
    </row>
    <row r="101" spans="1:16" ht="16">
      <c r="A101" s="220" t="s">
        <v>152</v>
      </c>
      <c r="F101" s="261" t="s">
        <v>677</v>
      </c>
      <c r="G101" s="260">
        <f t="shared" ref="G101:G102" si="15">K108*0.0032*((L108/5)^1.3/(M108/2)^1.4)</f>
        <v>6.9492012963721613E-5</v>
      </c>
      <c r="H101" s="220" t="s">
        <v>149</v>
      </c>
      <c r="I101" s="545" t="s">
        <v>150</v>
      </c>
      <c r="J101" s="551" t="s">
        <v>153</v>
      </c>
      <c r="K101" s="465" t="s">
        <v>154</v>
      </c>
      <c r="L101" s="552"/>
      <c r="M101" s="552"/>
      <c r="N101" s="552"/>
      <c r="P101" s="553"/>
    </row>
    <row r="102" spans="1:16" ht="16">
      <c r="A102" s="220" t="s">
        <v>155</v>
      </c>
      <c r="F102" s="261" t="s">
        <v>678</v>
      </c>
      <c r="G102" s="260">
        <f t="shared" si="15"/>
        <v>1.052307624879213E-5</v>
      </c>
      <c r="H102" s="220" t="s">
        <v>149</v>
      </c>
      <c r="I102" s="545" t="s">
        <v>150</v>
      </c>
      <c r="J102" s="551"/>
      <c r="K102" s="552" t="s">
        <v>156</v>
      </c>
      <c r="L102" s="552"/>
      <c r="M102" s="552"/>
      <c r="N102" s="552"/>
      <c r="O102" s="554"/>
      <c r="P102" s="555"/>
    </row>
    <row r="103" spans="1:16">
      <c r="A103" s="220" t="s">
        <v>137</v>
      </c>
      <c r="F103" s="261"/>
      <c r="G103" s="260">
        <v>8760</v>
      </c>
      <c r="H103" s="220" t="s">
        <v>136</v>
      </c>
      <c r="J103" s="551"/>
      <c r="K103" s="552" t="s">
        <v>157</v>
      </c>
      <c r="L103" s="552"/>
      <c r="M103" s="552"/>
      <c r="N103" s="552"/>
      <c r="O103" s="554"/>
      <c r="P103" s="555"/>
    </row>
    <row r="104" spans="1:16">
      <c r="F104" s="261"/>
      <c r="G104" s="260"/>
      <c r="J104" s="551"/>
      <c r="K104" s="552" t="s">
        <v>158</v>
      </c>
      <c r="L104" s="552"/>
      <c r="M104" s="552"/>
      <c r="N104" s="552"/>
      <c r="O104" s="554"/>
      <c r="P104" s="555"/>
    </row>
    <row r="105" spans="1:16">
      <c r="F105" s="261"/>
      <c r="G105" s="260"/>
      <c r="J105" s="556"/>
      <c r="K105" s="552"/>
      <c r="L105" s="552"/>
      <c r="M105" s="552"/>
      <c r="N105" s="552"/>
      <c r="P105" s="553"/>
    </row>
    <row r="106" spans="1:16" ht="39">
      <c r="F106" s="261"/>
      <c r="G106" s="260"/>
      <c r="J106" s="557" t="s">
        <v>70</v>
      </c>
      <c r="K106" s="558" t="s">
        <v>159</v>
      </c>
      <c r="L106" s="559" t="s">
        <v>160</v>
      </c>
      <c r="M106" s="559" t="s">
        <v>161</v>
      </c>
      <c r="P106" s="553"/>
    </row>
    <row r="107" spans="1:16">
      <c r="F107" s="261"/>
      <c r="G107" s="260"/>
      <c r="J107" s="233" t="s">
        <v>35</v>
      </c>
      <c r="K107" s="560">
        <v>0.74</v>
      </c>
      <c r="L107" s="561">
        <v>1.3</v>
      </c>
      <c r="M107" s="561">
        <v>4.17</v>
      </c>
      <c r="P107" s="553"/>
    </row>
    <row r="108" spans="1:16">
      <c r="F108" s="261"/>
      <c r="G108" s="260"/>
      <c r="J108" s="233" t="s">
        <v>162</v>
      </c>
      <c r="K108" s="560">
        <v>0.35</v>
      </c>
      <c r="L108" s="561">
        <v>1.3</v>
      </c>
      <c r="M108" s="561">
        <v>4.17</v>
      </c>
      <c r="P108" s="553"/>
    </row>
    <row r="109" spans="1:16">
      <c r="F109" s="261"/>
      <c r="G109" s="260"/>
      <c r="J109" s="233" t="s">
        <v>163</v>
      </c>
      <c r="K109" s="560">
        <v>5.2999999999999999E-2</v>
      </c>
      <c r="L109" s="561">
        <v>1.3</v>
      </c>
      <c r="M109" s="561">
        <v>4.17</v>
      </c>
      <c r="P109" s="553"/>
    </row>
    <row r="110" spans="1:16">
      <c r="F110" s="261"/>
      <c r="G110" s="260"/>
      <c r="J110" s="1526" t="s">
        <v>164</v>
      </c>
      <c r="K110" s="1527"/>
      <c r="L110" s="1527"/>
      <c r="M110" s="1527"/>
      <c r="N110" s="1527"/>
      <c r="O110" s="1527"/>
      <c r="P110" s="1528"/>
    </row>
    <row r="111" spans="1:16">
      <c r="F111" s="261"/>
      <c r="G111" s="260"/>
      <c r="J111" s="1526"/>
      <c r="K111" s="1527"/>
      <c r="L111" s="1527"/>
      <c r="M111" s="1527"/>
      <c r="N111" s="1527"/>
      <c r="O111" s="1527"/>
      <c r="P111" s="1528"/>
    </row>
    <row r="112" spans="1:16">
      <c r="F112" s="261"/>
      <c r="G112" s="260"/>
      <c r="J112" s="1526" t="s">
        <v>165</v>
      </c>
      <c r="K112" s="1527"/>
      <c r="L112" s="1527"/>
      <c r="M112" s="1527"/>
      <c r="N112" s="1527"/>
      <c r="O112" s="1527"/>
      <c r="P112" s="1528"/>
    </row>
    <row r="113" spans="6:16" ht="13.5" thickBot="1">
      <c r="F113" s="261"/>
      <c r="G113" s="260"/>
      <c r="J113" s="1529"/>
      <c r="K113" s="1530"/>
      <c r="L113" s="1530"/>
      <c r="M113" s="1530"/>
      <c r="N113" s="1530"/>
      <c r="O113" s="1530"/>
      <c r="P113" s="1531"/>
    </row>
    <row r="114" spans="6:16">
      <c r="F114" s="428"/>
      <c r="H114" s="282"/>
      <c r="I114" s="425"/>
      <c r="J114" s="541"/>
      <c r="K114" s="425"/>
      <c r="L114" s="425"/>
      <c r="M114" s="541"/>
      <c r="N114" s="425"/>
      <c r="O114" s="425"/>
      <c r="P114" s="541"/>
    </row>
  </sheetData>
  <mergeCells count="29">
    <mergeCell ref="J112:P113"/>
    <mergeCell ref="J110:P111"/>
    <mergeCell ref="I4:K4"/>
    <mergeCell ref="L4:N4"/>
    <mergeCell ref="O4:Q4"/>
    <mergeCell ref="H88:J88"/>
    <mergeCell ref="K88:M88"/>
    <mergeCell ref="N88:P88"/>
    <mergeCell ref="A4:H4"/>
    <mergeCell ref="A67:A68"/>
    <mergeCell ref="D67:D68"/>
    <mergeCell ref="A58:A59"/>
    <mergeCell ref="D58:D59"/>
    <mergeCell ref="A62:A65"/>
    <mergeCell ref="D62:D65"/>
    <mergeCell ref="A32:E33"/>
    <mergeCell ref="A34:E37"/>
    <mergeCell ref="A38:E39"/>
    <mergeCell ref="I84:P85"/>
    <mergeCell ref="A25:Q26"/>
    <mergeCell ref="A30:E31"/>
    <mergeCell ref="K10:K16"/>
    <mergeCell ref="N10:N16"/>
    <mergeCell ref="Q10:Q16"/>
    <mergeCell ref="G10:G16"/>
    <mergeCell ref="J63:J65"/>
    <mergeCell ref="K63:K65"/>
    <mergeCell ref="L63:L65"/>
    <mergeCell ref="M63:M65"/>
  </mergeCells>
  <phoneticPr fontId="0" type="noConversion"/>
  <pageMargins left="0.7" right="0.7" top="0.75" bottom="0.75" header="0.3" footer="0.3"/>
  <pageSetup paperSize="3" scale="80" fitToHeight="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rowBreaks count="2" manualBreakCount="2">
    <brk id="41" max="16383" man="1"/>
    <brk id="8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49D18-9B44-49CF-B23E-EF20DBDA88CF}">
  <sheetPr codeName="Sheet5"/>
  <dimension ref="A1:Y87"/>
  <sheetViews>
    <sheetView topLeftCell="A37" zoomScaleNormal="100" workbookViewId="0">
      <selection activeCell="A45" sqref="A45:O46"/>
    </sheetView>
  </sheetViews>
  <sheetFormatPr defaultColWidth="8.81640625" defaultRowHeight="13"/>
  <cols>
    <col min="1" max="1" width="26.54296875" style="220" customWidth="1"/>
    <col min="2" max="14" width="11.26953125" style="220" customWidth="1"/>
    <col min="15" max="15" width="16.7265625" style="220" customWidth="1"/>
    <col min="16" max="18" width="8.81640625" style="220"/>
    <col min="19" max="19" width="15.81640625" style="220" customWidth="1"/>
    <col min="20" max="16384" width="8.81640625" style="220"/>
  </cols>
  <sheetData>
    <row r="1" spans="1:8" ht="18.5">
      <c r="A1" s="221" t="s">
        <v>219</v>
      </c>
      <c r="D1" s="221" t="s">
        <v>936</v>
      </c>
      <c r="E1" s="221"/>
    </row>
    <row r="2" spans="1:8" ht="18.5">
      <c r="A2" s="221"/>
      <c r="D2" s="221" t="s">
        <v>4</v>
      </c>
      <c r="E2" s="221"/>
    </row>
    <row r="3" spans="1:8" ht="19" thickBot="1">
      <c r="D3" s="221"/>
      <c r="E3" s="221"/>
    </row>
    <row r="4" spans="1:8" ht="13.5" thickBot="1">
      <c r="A4" s="222" t="s">
        <v>220</v>
      </c>
      <c r="B4" s="223" t="s">
        <v>221</v>
      </c>
      <c r="C4" s="224" t="s">
        <v>222</v>
      </c>
      <c r="D4" s="225"/>
      <c r="E4" s="1544" t="s">
        <v>223</v>
      </c>
      <c r="F4" s="1544"/>
      <c r="G4" s="1544"/>
      <c r="H4" s="226" t="s">
        <v>224</v>
      </c>
    </row>
    <row r="5" spans="1:8">
      <c r="A5" s="227" t="s">
        <v>186</v>
      </c>
      <c r="B5" s="228" t="s">
        <v>225</v>
      </c>
      <c r="C5" s="229" t="s">
        <v>226</v>
      </c>
      <c r="D5" s="229"/>
      <c r="E5" s="230"/>
      <c r="F5" s="231" t="s">
        <v>227</v>
      </c>
      <c r="G5" s="229">
        <v>0.3</v>
      </c>
      <c r="H5" s="232" t="s">
        <v>228</v>
      </c>
    </row>
    <row r="6" spans="1:8">
      <c r="A6" s="233" t="s">
        <v>186</v>
      </c>
      <c r="B6" s="234" t="s">
        <v>225</v>
      </c>
      <c r="C6" s="235" t="s">
        <v>226</v>
      </c>
      <c r="D6" s="235"/>
      <c r="E6" s="236"/>
      <c r="F6" s="237" t="s">
        <v>229</v>
      </c>
      <c r="G6" s="235">
        <v>1.5</v>
      </c>
      <c r="H6" s="238" t="s">
        <v>404</v>
      </c>
    </row>
    <row r="7" spans="1:8">
      <c r="A7" s="233" t="s">
        <v>188</v>
      </c>
      <c r="B7" s="234" t="s">
        <v>230</v>
      </c>
      <c r="C7" s="235" t="s">
        <v>231</v>
      </c>
      <c r="D7" s="235"/>
      <c r="E7" s="236"/>
      <c r="F7" s="237" t="s">
        <v>227</v>
      </c>
      <c r="G7" s="235">
        <v>0.3</v>
      </c>
      <c r="H7" s="238" t="s">
        <v>228</v>
      </c>
    </row>
    <row r="8" spans="1:8">
      <c r="A8" s="233" t="s">
        <v>188</v>
      </c>
      <c r="B8" s="234" t="s">
        <v>230</v>
      </c>
      <c r="C8" s="235" t="s">
        <v>231</v>
      </c>
      <c r="D8" s="235"/>
      <c r="E8" s="236"/>
      <c r="F8" s="237" t="s">
        <v>229</v>
      </c>
      <c r="G8" s="235">
        <v>1.5</v>
      </c>
      <c r="H8" s="238" t="s">
        <v>404</v>
      </c>
    </row>
    <row r="9" spans="1:8">
      <c r="A9" s="233" t="s">
        <v>190</v>
      </c>
      <c r="B9" s="234" t="s">
        <v>232</v>
      </c>
      <c r="C9" s="235" t="s">
        <v>191</v>
      </c>
      <c r="D9" s="235"/>
      <c r="E9" s="236"/>
      <c r="F9" s="237" t="s">
        <v>227</v>
      </c>
      <c r="G9" s="235">
        <v>0.3</v>
      </c>
      <c r="H9" s="238" t="s">
        <v>228</v>
      </c>
    </row>
    <row r="10" spans="1:8">
      <c r="A10" s="233" t="s">
        <v>190</v>
      </c>
      <c r="B10" s="234" t="s">
        <v>232</v>
      </c>
      <c r="C10" s="235" t="s">
        <v>191</v>
      </c>
      <c r="D10" s="235"/>
      <c r="E10" s="236"/>
      <c r="F10" s="237" t="s">
        <v>229</v>
      </c>
      <c r="G10" s="235">
        <v>1.5</v>
      </c>
      <c r="H10" s="238" t="s">
        <v>404</v>
      </c>
    </row>
    <row r="11" spans="1:8">
      <c r="A11" s="233" t="s">
        <v>192</v>
      </c>
      <c r="B11" s="234" t="s">
        <v>233</v>
      </c>
      <c r="C11" s="235" t="s">
        <v>193</v>
      </c>
      <c r="D11" s="235"/>
      <c r="E11" s="236"/>
      <c r="F11" s="237" t="s">
        <v>227</v>
      </c>
      <c r="G11" s="235">
        <v>0.3</v>
      </c>
      <c r="H11" s="238" t="s">
        <v>228</v>
      </c>
    </row>
    <row r="12" spans="1:8">
      <c r="A12" s="233" t="s">
        <v>192</v>
      </c>
      <c r="B12" s="234" t="s">
        <v>233</v>
      </c>
      <c r="C12" s="235" t="s">
        <v>193</v>
      </c>
      <c r="D12" s="235"/>
      <c r="E12" s="236"/>
      <c r="F12" s="237" t="s">
        <v>229</v>
      </c>
      <c r="G12" s="235">
        <v>1.5</v>
      </c>
      <c r="H12" s="238" t="s">
        <v>404</v>
      </c>
    </row>
    <row r="13" spans="1:8">
      <c r="A13" s="233" t="s">
        <v>195</v>
      </c>
      <c r="B13" s="234" t="s">
        <v>234</v>
      </c>
      <c r="C13" s="235" t="s">
        <v>196</v>
      </c>
      <c r="D13" s="235"/>
      <c r="E13" s="236"/>
      <c r="F13" s="237" t="s">
        <v>227</v>
      </c>
      <c r="G13" s="235">
        <v>0.3</v>
      </c>
      <c r="H13" s="238" t="s">
        <v>228</v>
      </c>
    </row>
    <row r="14" spans="1:8" ht="13.5" thickBot="1">
      <c r="A14" s="239" t="s">
        <v>195</v>
      </c>
      <c r="B14" s="240" t="s">
        <v>234</v>
      </c>
      <c r="C14" s="241" t="s">
        <v>196</v>
      </c>
      <c r="D14" s="241"/>
      <c r="E14" s="242"/>
      <c r="F14" s="243" t="s">
        <v>229</v>
      </c>
      <c r="G14" s="241">
        <v>1.5</v>
      </c>
      <c r="H14" s="244" t="s">
        <v>404</v>
      </c>
    </row>
    <row r="15" spans="1:8">
      <c r="A15" s="245"/>
      <c r="B15" s="246"/>
      <c r="C15" s="246"/>
      <c r="D15" s="246"/>
      <c r="E15" s="229"/>
      <c r="F15" s="247" t="s">
        <v>235</v>
      </c>
      <c r="G15" s="229">
        <f>G5+G7+G9+G11+G13</f>
        <v>1.5</v>
      </c>
      <c r="H15" s="232" t="s">
        <v>236</v>
      </c>
    </row>
    <row r="16" spans="1:8">
      <c r="A16" s="248"/>
      <c r="B16" s="235"/>
      <c r="C16" s="235"/>
      <c r="D16" s="235"/>
      <c r="E16" s="235"/>
      <c r="F16" s="249" t="s">
        <v>237</v>
      </c>
      <c r="G16" s="250">
        <f>G15*G19</f>
        <v>13140</v>
      </c>
      <c r="H16" s="238" t="s">
        <v>228</v>
      </c>
    </row>
    <row r="17" spans="1:25" ht="12.75" customHeight="1">
      <c r="A17" s="251"/>
      <c r="B17" s="252"/>
      <c r="C17" s="252"/>
      <c r="D17" s="252"/>
      <c r="E17" s="252"/>
      <c r="F17" s="253" t="s">
        <v>238</v>
      </c>
      <c r="G17" s="252">
        <v>1000</v>
      </c>
      <c r="H17" s="254" t="s">
        <v>228</v>
      </c>
    </row>
    <row r="18" spans="1:25">
      <c r="A18" s="251"/>
      <c r="B18" s="252"/>
      <c r="C18" s="252"/>
      <c r="D18" s="252"/>
      <c r="E18" s="252"/>
      <c r="F18" s="253" t="s">
        <v>239</v>
      </c>
      <c r="G18" s="255">
        <f>B59+D59+F59+H59+J59</f>
        <v>2.9058823529411764</v>
      </c>
      <c r="H18" s="254" t="s">
        <v>17</v>
      </c>
    </row>
    <row r="19" spans="1:25">
      <c r="A19" s="248"/>
      <c r="B19" s="235"/>
      <c r="C19" s="235"/>
      <c r="D19" s="235"/>
      <c r="E19" s="235"/>
      <c r="F19" s="249" t="s">
        <v>137</v>
      </c>
      <c r="G19" s="235">
        <v>8760</v>
      </c>
      <c r="H19" s="238" t="s">
        <v>240</v>
      </c>
    </row>
    <row r="20" spans="1:25" ht="13.5" thickBot="1">
      <c r="A20" s="256"/>
      <c r="B20" s="241"/>
      <c r="C20" s="241"/>
      <c r="D20" s="241"/>
      <c r="E20" s="241"/>
      <c r="F20" s="257" t="s">
        <v>241</v>
      </c>
      <c r="G20" s="241">
        <v>1020</v>
      </c>
      <c r="H20" s="244" t="s">
        <v>242</v>
      </c>
    </row>
    <row r="21" spans="1:25">
      <c r="A21" s="220" t="s">
        <v>243</v>
      </c>
    </row>
    <row r="22" spans="1:25" ht="12.75" customHeight="1">
      <c r="A22" s="1387" t="s">
        <v>244</v>
      </c>
      <c r="B22" s="1387"/>
      <c r="C22" s="1387"/>
      <c r="D22" s="1387"/>
      <c r="E22" s="1387"/>
      <c r="F22" s="1387"/>
      <c r="G22" s="1387"/>
      <c r="H22" s="1387"/>
      <c r="W22" s="258"/>
      <c r="X22" s="258"/>
      <c r="Y22" s="258"/>
    </row>
    <row r="23" spans="1:25">
      <c r="A23" s="1387"/>
      <c r="B23" s="1387"/>
      <c r="C23" s="1387"/>
      <c r="D23" s="1387"/>
      <c r="E23" s="1387"/>
      <c r="F23" s="1387"/>
      <c r="G23" s="1387"/>
      <c r="H23" s="1387"/>
      <c r="V23" s="259"/>
    </row>
    <row r="24" spans="1:25">
      <c r="A24" s="260"/>
    </row>
    <row r="25" spans="1:25" ht="13.5" thickBot="1">
      <c r="A25" s="261" t="s">
        <v>245</v>
      </c>
    </row>
    <row r="26" spans="1:25" ht="39" customHeight="1" thickBot="1">
      <c r="A26" s="1545" t="s">
        <v>246</v>
      </c>
      <c r="B26" s="1546"/>
      <c r="C26" s="1546"/>
      <c r="D26" s="1547"/>
      <c r="E26" s="1548" t="s">
        <v>247</v>
      </c>
      <c r="F26" s="1549"/>
      <c r="G26" s="1548" t="s">
        <v>248</v>
      </c>
      <c r="H26" s="1549"/>
      <c r="I26" s="1548" t="s">
        <v>249</v>
      </c>
      <c r="J26" s="1549"/>
      <c r="K26" s="1548" t="s">
        <v>250</v>
      </c>
      <c r="L26" s="1549"/>
      <c r="M26" s="1548" t="s">
        <v>251</v>
      </c>
      <c r="N26" s="1549"/>
      <c r="O26" s="263" t="s">
        <v>252</v>
      </c>
      <c r="P26" s="264"/>
    </row>
    <row r="27" spans="1:25" ht="52.5" thickBot="1">
      <c r="A27" s="265" t="s">
        <v>70</v>
      </c>
      <c r="B27" s="266" t="s">
        <v>253</v>
      </c>
      <c r="C27" s="267" t="s">
        <v>1</v>
      </c>
      <c r="D27" s="268" t="s">
        <v>254</v>
      </c>
      <c r="E27" s="269" t="s">
        <v>255</v>
      </c>
      <c r="F27" s="270" t="s">
        <v>256</v>
      </c>
      <c r="G27" s="269" t="s">
        <v>255</v>
      </c>
      <c r="H27" s="270" t="s">
        <v>256</v>
      </c>
      <c r="I27" s="269" t="s">
        <v>255</v>
      </c>
      <c r="J27" s="270" t="s">
        <v>256</v>
      </c>
      <c r="K27" s="269" t="s">
        <v>255</v>
      </c>
      <c r="L27" s="270" t="s">
        <v>256</v>
      </c>
      <c r="M27" s="269" t="s">
        <v>255</v>
      </c>
      <c r="N27" s="271" t="s">
        <v>256</v>
      </c>
      <c r="O27" s="272" t="s">
        <v>257</v>
      </c>
    </row>
    <row r="28" spans="1:25" ht="16.899999999999999" customHeight="1">
      <c r="A28" s="273" t="s">
        <v>19</v>
      </c>
      <c r="B28" s="274">
        <v>1.9</v>
      </c>
      <c r="C28" s="275" t="s">
        <v>258</v>
      </c>
      <c r="D28" s="276" t="s">
        <v>259</v>
      </c>
      <c r="E28" s="277">
        <f>IFERROR($G$5*B28,0)</f>
        <v>0.56999999999999995</v>
      </c>
      <c r="F28" s="278">
        <f>E28*8760/2000</f>
        <v>2.4965999999999999</v>
      </c>
      <c r="G28" s="279">
        <f>IFERROR($G$7*B28,0)</f>
        <v>0.56999999999999995</v>
      </c>
      <c r="H28" s="278">
        <f t="shared" ref="H28:H41" si="0">G28*8760/2000</f>
        <v>2.4965999999999999</v>
      </c>
      <c r="I28" s="279">
        <f>IFERROR($G$9*B28,0)</f>
        <v>0.56999999999999995</v>
      </c>
      <c r="J28" s="278">
        <f>I28*8760/2000</f>
        <v>2.4965999999999999</v>
      </c>
      <c r="K28" s="279">
        <f>IFERROR($G$11*B28,0)</f>
        <v>0.56999999999999995</v>
      </c>
      <c r="L28" s="278">
        <f t="shared" ref="L28:L41" si="1">K28*8760/2000</f>
        <v>2.4965999999999999</v>
      </c>
      <c r="M28" s="279">
        <f>IFERROR($G$13*B28,0)</f>
        <v>0.56999999999999995</v>
      </c>
      <c r="N28" s="280">
        <f t="shared" ref="N28:N41" si="2">M28*8760/2000</f>
        <v>2.4965999999999999</v>
      </c>
      <c r="O28" s="281">
        <f>IFERROR($G$17*B28/2000,0)</f>
        <v>0.95</v>
      </c>
      <c r="Q28" s="282"/>
    </row>
    <row r="29" spans="1:25">
      <c r="A29" s="283" t="s">
        <v>77</v>
      </c>
      <c r="B29" s="284">
        <v>1.7</v>
      </c>
      <c r="C29" s="285" t="s">
        <v>258</v>
      </c>
      <c r="D29" s="286" t="s">
        <v>260</v>
      </c>
      <c r="E29" s="277">
        <f t="shared" ref="E29:E41" si="3">IFERROR($G$5*B29,0)</f>
        <v>0.51</v>
      </c>
      <c r="F29" s="287">
        <f t="shared" ref="F29:F41" si="4">E29*8760/2000</f>
        <v>2.2338</v>
      </c>
      <c r="G29" s="288">
        <f t="shared" ref="G29:G41" si="5">IFERROR($G$7*B29,0)</f>
        <v>0.51</v>
      </c>
      <c r="H29" s="287">
        <f t="shared" si="0"/>
        <v>2.2338</v>
      </c>
      <c r="I29" s="288">
        <f t="shared" ref="I29:I41" si="6">IFERROR($G$9*B29,0)</f>
        <v>0.51</v>
      </c>
      <c r="J29" s="287">
        <f t="shared" ref="J29:J41" si="7">I29*8760/2000</f>
        <v>2.2338</v>
      </c>
      <c r="K29" s="288">
        <f t="shared" ref="K29:K41" si="8">IFERROR($G$11*B29,0)</f>
        <v>0.51</v>
      </c>
      <c r="L29" s="287">
        <f t="shared" si="1"/>
        <v>2.2338</v>
      </c>
      <c r="M29" s="288">
        <f t="shared" ref="M29:M41" si="9">IFERROR($G$13*B29,0)</f>
        <v>0.51</v>
      </c>
      <c r="N29" s="289">
        <f t="shared" si="2"/>
        <v>2.2338</v>
      </c>
      <c r="O29" s="290">
        <f t="shared" ref="O29:O41" si="10">IFERROR($G$17*B29/2000,0)</f>
        <v>0.85</v>
      </c>
    </row>
    <row r="30" spans="1:25">
      <c r="A30" s="283" t="s">
        <v>78</v>
      </c>
      <c r="B30" s="284">
        <v>1.7</v>
      </c>
      <c r="C30" s="285" t="s">
        <v>258</v>
      </c>
      <c r="D30" s="286" t="s">
        <v>260</v>
      </c>
      <c r="E30" s="277">
        <f t="shared" si="3"/>
        <v>0.51</v>
      </c>
      <c r="F30" s="287">
        <f t="shared" si="4"/>
        <v>2.2338</v>
      </c>
      <c r="G30" s="288">
        <f t="shared" si="5"/>
        <v>0.51</v>
      </c>
      <c r="H30" s="287">
        <f t="shared" si="0"/>
        <v>2.2338</v>
      </c>
      <c r="I30" s="288">
        <f t="shared" si="6"/>
        <v>0.51</v>
      </c>
      <c r="J30" s="287">
        <f t="shared" si="7"/>
        <v>2.2338</v>
      </c>
      <c r="K30" s="288">
        <f t="shared" si="8"/>
        <v>0.51</v>
      </c>
      <c r="L30" s="287">
        <f t="shared" si="1"/>
        <v>2.2338</v>
      </c>
      <c r="M30" s="288">
        <f t="shared" si="9"/>
        <v>0.51</v>
      </c>
      <c r="N30" s="289">
        <f t="shared" si="2"/>
        <v>2.2338</v>
      </c>
      <c r="O30" s="290">
        <f t="shared" si="10"/>
        <v>0.85</v>
      </c>
    </row>
    <row r="31" spans="1:25">
      <c r="A31" s="283" t="s">
        <v>79</v>
      </c>
      <c r="B31" s="284">
        <v>1.7</v>
      </c>
      <c r="C31" s="285" t="s">
        <v>258</v>
      </c>
      <c r="D31" s="286" t="s">
        <v>261</v>
      </c>
      <c r="E31" s="277">
        <f t="shared" si="3"/>
        <v>0.51</v>
      </c>
      <c r="F31" s="287">
        <f t="shared" ref="F31:F34" si="11">E31*8760/2000</f>
        <v>2.2338</v>
      </c>
      <c r="G31" s="288">
        <f t="shared" si="5"/>
        <v>0.51</v>
      </c>
      <c r="H31" s="287">
        <f t="shared" ref="H31:H34" si="12">G31*8760/2000</f>
        <v>2.2338</v>
      </c>
      <c r="I31" s="288">
        <f t="shared" si="6"/>
        <v>0.51</v>
      </c>
      <c r="J31" s="287">
        <f t="shared" ref="J31:J34" si="13">I31*8760/2000</f>
        <v>2.2338</v>
      </c>
      <c r="K31" s="288">
        <f t="shared" si="8"/>
        <v>0.51</v>
      </c>
      <c r="L31" s="287">
        <f t="shared" ref="L31:L34" si="14">K31*8760/2000</f>
        <v>2.2338</v>
      </c>
      <c r="M31" s="288">
        <f t="shared" si="9"/>
        <v>0.51</v>
      </c>
      <c r="N31" s="289">
        <f t="shared" ref="N31:N34" si="15">M31*8760/2000</f>
        <v>2.2338</v>
      </c>
      <c r="O31" s="290">
        <f t="shared" si="10"/>
        <v>0.85</v>
      </c>
    </row>
    <row r="32" spans="1:25">
      <c r="A32" s="283" t="s">
        <v>80</v>
      </c>
      <c r="B32" s="291" t="s">
        <v>262</v>
      </c>
      <c r="C32" s="285" t="s">
        <v>258</v>
      </c>
      <c r="D32" s="286" t="s">
        <v>261</v>
      </c>
      <c r="E32" s="277">
        <f t="shared" si="3"/>
        <v>0</v>
      </c>
      <c r="F32" s="287">
        <f t="shared" si="11"/>
        <v>0</v>
      </c>
      <c r="G32" s="288">
        <f t="shared" si="5"/>
        <v>0</v>
      </c>
      <c r="H32" s="287">
        <f t="shared" si="12"/>
        <v>0</v>
      </c>
      <c r="I32" s="288">
        <f t="shared" si="6"/>
        <v>0</v>
      </c>
      <c r="J32" s="287">
        <f t="shared" si="13"/>
        <v>0</v>
      </c>
      <c r="K32" s="288">
        <f t="shared" si="8"/>
        <v>0</v>
      </c>
      <c r="L32" s="287">
        <f t="shared" si="14"/>
        <v>0</v>
      </c>
      <c r="M32" s="288">
        <f t="shared" si="9"/>
        <v>0</v>
      </c>
      <c r="N32" s="289">
        <f t="shared" si="15"/>
        <v>0</v>
      </c>
      <c r="O32" s="290">
        <f t="shared" si="10"/>
        <v>0</v>
      </c>
    </row>
    <row r="33" spans="1:17">
      <c r="A33" s="283" t="s">
        <v>81</v>
      </c>
      <c r="B33" s="284">
        <v>2.5</v>
      </c>
      <c r="C33" s="285" t="s">
        <v>258</v>
      </c>
      <c r="D33" s="286" t="s">
        <v>261</v>
      </c>
      <c r="E33" s="277">
        <f t="shared" si="3"/>
        <v>0.75</v>
      </c>
      <c r="F33" s="287">
        <f t="shared" si="11"/>
        <v>3.2850000000000001</v>
      </c>
      <c r="G33" s="288">
        <f t="shared" si="5"/>
        <v>0.75</v>
      </c>
      <c r="H33" s="287">
        <f t="shared" si="12"/>
        <v>3.2850000000000001</v>
      </c>
      <c r="I33" s="288">
        <f t="shared" si="6"/>
        <v>0.75</v>
      </c>
      <c r="J33" s="287">
        <f t="shared" si="13"/>
        <v>3.2850000000000001</v>
      </c>
      <c r="K33" s="288">
        <f t="shared" si="8"/>
        <v>0.75</v>
      </c>
      <c r="L33" s="287">
        <f t="shared" si="14"/>
        <v>3.2850000000000001</v>
      </c>
      <c r="M33" s="288">
        <f t="shared" si="9"/>
        <v>0.75</v>
      </c>
      <c r="N33" s="289">
        <f t="shared" si="15"/>
        <v>3.2850000000000001</v>
      </c>
      <c r="O33" s="290">
        <f t="shared" si="10"/>
        <v>1.25</v>
      </c>
    </row>
    <row r="34" spans="1:17">
      <c r="A34" s="283" t="s">
        <v>39</v>
      </c>
      <c r="B34" s="284">
        <v>2.5</v>
      </c>
      <c r="C34" s="285" t="s">
        <v>258</v>
      </c>
      <c r="D34" s="286" t="s">
        <v>261</v>
      </c>
      <c r="E34" s="277">
        <f t="shared" si="3"/>
        <v>0.75</v>
      </c>
      <c r="F34" s="287">
        <f t="shared" si="11"/>
        <v>3.2850000000000001</v>
      </c>
      <c r="G34" s="288">
        <f t="shared" si="5"/>
        <v>0.75</v>
      </c>
      <c r="H34" s="287">
        <f t="shared" si="12"/>
        <v>3.2850000000000001</v>
      </c>
      <c r="I34" s="288">
        <f t="shared" si="6"/>
        <v>0.75</v>
      </c>
      <c r="J34" s="287">
        <f t="shared" si="13"/>
        <v>3.2850000000000001</v>
      </c>
      <c r="K34" s="288">
        <f t="shared" si="8"/>
        <v>0.75</v>
      </c>
      <c r="L34" s="287">
        <f t="shared" si="14"/>
        <v>3.2850000000000001</v>
      </c>
      <c r="M34" s="288">
        <f t="shared" si="9"/>
        <v>0.75</v>
      </c>
      <c r="N34" s="289">
        <f t="shared" si="15"/>
        <v>3.2850000000000001</v>
      </c>
      <c r="O34" s="290">
        <f t="shared" si="10"/>
        <v>1.25</v>
      </c>
    </row>
    <row r="35" spans="1:17">
      <c r="A35" s="283" t="s">
        <v>83</v>
      </c>
      <c r="B35" s="284">
        <f>B49%*$B$28</f>
        <v>1.083E-3</v>
      </c>
      <c r="C35" s="285" t="s">
        <v>258</v>
      </c>
      <c r="D35" s="286" t="s">
        <v>263</v>
      </c>
      <c r="E35" s="292">
        <f>IFERROR($G$5*B35,0)</f>
        <v>3.2489999999999998E-4</v>
      </c>
      <c r="F35" s="293">
        <f t="shared" si="4"/>
        <v>1.4230619999999999E-3</v>
      </c>
      <c r="G35" s="294">
        <f t="shared" si="5"/>
        <v>3.2489999999999998E-4</v>
      </c>
      <c r="H35" s="293">
        <f t="shared" si="0"/>
        <v>1.4230619999999999E-3</v>
      </c>
      <c r="I35" s="294">
        <f>IFERROR($G$9*B35,0)</f>
        <v>3.2489999999999998E-4</v>
      </c>
      <c r="J35" s="293">
        <f t="shared" si="7"/>
        <v>1.4230619999999999E-3</v>
      </c>
      <c r="K35" s="294">
        <f t="shared" si="8"/>
        <v>3.2489999999999998E-4</v>
      </c>
      <c r="L35" s="293">
        <f t="shared" si="1"/>
        <v>1.4230619999999999E-3</v>
      </c>
      <c r="M35" s="294">
        <f t="shared" si="9"/>
        <v>3.2489999999999998E-4</v>
      </c>
      <c r="N35" s="295">
        <f t="shared" si="2"/>
        <v>1.4230619999999999E-3</v>
      </c>
      <c r="O35" s="296">
        <f t="shared" si="10"/>
        <v>5.4149999999999999E-4</v>
      </c>
    </row>
    <row r="36" spans="1:17">
      <c r="A36" s="283" t="s">
        <v>264</v>
      </c>
      <c r="B36" s="284">
        <f>SUM(B37:B41)+B35</f>
        <v>8.9110000000000005E-3</v>
      </c>
      <c r="C36" s="285" t="s">
        <v>258</v>
      </c>
      <c r="D36" s="286"/>
      <c r="E36" s="297">
        <f>IFERROR($G$5*B36,0)</f>
        <v>2.6733E-3</v>
      </c>
      <c r="F36" s="293">
        <f t="shared" ref="F36" si="16">E36*8760/2000</f>
        <v>1.1709054E-2</v>
      </c>
      <c r="G36" s="294">
        <f t="shared" ref="G36" si="17">IFERROR($G$7*B36,0)</f>
        <v>2.6733E-3</v>
      </c>
      <c r="H36" s="293">
        <f t="shared" ref="H36" si="18">G36*8760/2000</f>
        <v>1.1709054E-2</v>
      </c>
      <c r="I36" s="294">
        <f t="shared" ref="I36" si="19">IFERROR($G$9*B36,0)</f>
        <v>2.6733E-3</v>
      </c>
      <c r="J36" s="293">
        <f t="shared" ref="J36" si="20">I36*8760/2000</f>
        <v>1.1709054E-2</v>
      </c>
      <c r="K36" s="294">
        <f t="shared" ref="K36" si="21">IFERROR($G$11*B36,0)</f>
        <v>2.6733E-3</v>
      </c>
      <c r="L36" s="293">
        <f t="shared" ref="L36" si="22">K36*8760/2000</f>
        <v>1.1709054E-2</v>
      </c>
      <c r="M36" s="294">
        <f t="shared" ref="M36" si="23">IFERROR($G$13*B36,0)</f>
        <v>2.6733E-3</v>
      </c>
      <c r="N36" s="295">
        <f t="shared" ref="N36" si="24">M36*8760/2000</f>
        <v>1.1709054E-2</v>
      </c>
      <c r="O36" s="296">
        <f t="shared" ref="O36" si="25">IFERROR($G$17*B36/2000,0)</f>
        <v>4.4555000000000003E-3</v>
      </c>
    </row>
    <row r="37" spans="1:17">
      <c r="A37" s="283" t="s">
        <v>265</v>
      </c>
      <c r="B37" s="284">
        <f>B50%*$B$28</f>
        <v>7.6000000000000004E-5</v>
      </c>
      <c r="C37" s="285" t="s">
        <v>258</v>
      </c>
      <c r="D37" s="286" t="s">
        <v>263</v>
      </c>
      <c r="E37" s="297">
        <f t="shared" si="3"/>
        <v>2.2800000000000002E-5</v>
      </c>
      <c r="F37" s="293">
        <f t="shared" si="4"/>
        <v>9.9864000000000005E-5</v>
      </c>
      <c r="G37" s="294">
        <f t="shared" si="5"/>
        <v>2.2800000000000002E-5</v>
      </c>
      <c r="H37" s="293">
        <f t="shared" si="0"/>
        <v>9.9864000000000005E-5</v>
      </c>
      <c r="I37" s="294">
        <f t="shared" si="6"/>
        <v>2.2800000000000002E-5</v>
      </c>
      <c r="J37" s="293">
        <f t="shared" si="7"/>
        <v>9.9864000000000005E-5</v>
      </c>
      <c r="K37" s="294">
        <f t="shared" si="8"/>
        <v>2.2800000000000002E-5</v>
      </c>
      <c r="L37" s="293">
        <f t="shared" si="1"/>
        <v>9.9864000000000005E-5</v>
      </c>
      <c r="M37" s="294">
        <f t="shared" si="9"/>
        <v>2.2800000000000002E-5</v>
      </c>
      <c r="N37" s="295">
        <f t="shared" si="2"/>
        <v>9.9864000000000005E-5</v>
      </c>
      <c r="O37" s="296">
        <f t="shared" si="10"/>
        <v>3.8000000000000002E-5</v>
      </c>
    </row>
    <row r="38" spans="1:17">
      <c r="A38" s="283" t="s">
        <v>266</v>
      </c>
      <c r="B38" s="284">
        <f>B51%*$B$28</f>
        <v>1.9000000000000001E-5</v>
      </c>
      <c r="C38" s="285" t="s">
        <v>258</v>
      </c>
      <c r="D38" s="286" t="s">
        <v>263</v>
      </c>
      <c r="E38" s="297">
        <f t="shared" si="3"/>
        <v>5.7000000000000005E-6</v>
      </c>
      <c r="F38" s="293">
        <f t="shared" si="4"/>
        <v>2.4966000000000001E-5</v>
      </c>
      <c r="G38" s="294">
        <f t="shared" si="5"/>
        <v>5.7000000000000005E-6</v>
      </c>
      <c r="H38" s="293">
        <f t="shared" si="0"/>
        <v>2.4966000000000001E-5</v>
      </c>
      <c r="I38" s="294">
        <f t="shared" si="6"/>
        <v>5.7000000000000005E-6</v>
      </c>
      <c r="J38" s="293">
        <f t="shared" si="7"/>
        <v>2.4966000000000001E-5</v>
      </c>
      <c r="K38" s="294">
        <f t="shared" si="8"/>
        <v>5.7000000000000005E-6</v>
      </c>
      <c r="L38" s="293">
        <f t="shared" si="1"/>
        <v>2.4966000000000001E-5</v>
      </c>
      <c r="M38" s="294">
        <f t="shared" si="9"/>
        <v>5.7000000000000005E-6</v>
      </c>
      <c r="N38" s="295">
        <f t="shared" si="2"/>
        <v>2.4966000000000001E-5</v>
      </c>
      <c r="O38" s="296">
        <f t="shared" si="10"/>
        <v>9.5000000000000005E-6</v>
      </c>
    </row>
    <row r="39" spans="1:17">
      <c r="A39" s="283" t="s">
        <v>267</v>
      </c>
      <c r="B39" s="284">
        <f>B52%*$B$28</f>
        <v>1.9E-3</v>
      </c>
      <c r="C39" s="285" t="s">
        <v>258</v>
      </c>
      <c r="D39" s="286" t="s">
        <v>263</v>
      </c>
      <c r="E39" s="297">
        <f t="shared" si="3"/>
        <v>5.6999999999999998E-4</v>
      </c>
      <c r="F39" s="293">
        <f t="shared" si="4"/>
        <v>2.4965999999999999E-3</v>
      </c>
      <c r="G39" s="294">
        <f t="shared" si="5"/>
        <v>5.6999999999999998E-4</v>
      </c>
      <c r="H39" s="293">
        <f t="shared" si="0"/>
        <v>2.4965999999999999E-3</v>
      </c>
      <c r="I39" s="294">
        <f t="shared" si="6"/>
        <v>5.6999999999999998E-4</v>
      </c>
      <c r="J39" s="293">
        <f t="shared" si="7"/>
        <v>2.4965999999999999E-3</v>
      </c>
      <c r="K39" s="294">
        <f t="shared" si="8"/>
        <v>5.6999999999999998E-4</v>
      </c>
      <c r="L39" s="293">
        <f t="shared" si="1"/>
        <v>2.4965999999999999E-3</v>
      </c>
      <c r="M39" s="294">
        <f t="shared" si="9"/>
        <v>5.6999999999999998E-4</v>
      </c>
      <c r="N39" s="295">
        <f t="shared" si="2"/>
        <v>2.4965999999999999E-3</v>
      </c>
      <c r="O39" s="296">
        <f t="shared" si="10"/>
        <v>9.5E-4</v>
      </c>
    </row>
    <row r="40" spans="1:17">
      <c r="A40" s="283" t="s">
        <v>268</v>
      </c>
      <c r="B40" s="284">
        <f>B53%*$B$28</f>
        <v>4.1229999999999999E-3</v>
      </c>
      <c r="C40" s="285" t="s">
        <v>258</v>
      </c>
      <c r="D40" s="286" t="s">
        <v>263</v>
      </c>
      <c r="E40" s="297">
        <f t="shared" si="3"/>
        <v>1.2369E-3</v>
      </c>
      <c r="F40" s="293">
        <f t="shared" si="4"/>
        <v>5.4176219999999995E-3</v>
      </c>
      <c r="G40" s="294">
        <f t="shared" si="5"/>
        <v>1.2369E-3</v>
      </c>
      <c r="H40" s="293">
        <f t="shared" si="0"/>
        <v>5.4176219999999995E-3</v>
      </c>
      <c r="I40" s="294">
        <f t="shared" si="6"/>
        <v>1.2369E-3</v>
      </c>
      <c r="J40" s="293">
        <f t="shared" si="7"/>
        <v>5.4176219999999995E-3</v>
      </c>
      <c r="K40" s="294">
        <f t="shared" si="8"/>
        <v>1.2369E-3</v>
      </c>
      <c r="L40" s="293">
        <f t="shared" si="1"/>
        <v>5.4176219999999995E-3</v>
      </c>
      <c r="M40" s="294">
        <f t="shared" si="9"/>
        <v>1.2369E-3</v>
      </c>
      <c r="N40" s="295">
        <f t="shared" si="2"/>
        <v>5.4176219999999995E-3</v>
      </c>
      <c r="O40" s="296">
        <f t="shared" si="10"/>
        <v>2.0615E-3</v>
      </c>
    </row>
    <row r="41" spans="1:17" ht="13.5" thickBot="1">
      <c r="A41" s="298" t="s">
        <v>269</v>
      </c>
      <c r="B41" s="299">
        <f>B54%*$B$28</f>
        <v>1.7099999999999999E-3</v>
      </c>
      <c r="C41" s="300" t="s">
        <v>258</v>
      </c>
      <c r="D41" s="301" t="s">
        <v>263</v>
      </c>
      <c r="E41" s="302">
        <f t="shared" si="3"/>
        <v>5.13E-4</v>
      </c>
      <c r="F41" s="303">
        <f t="shared" si="4"/>
        <v>2.2469399999999998E-3</v>
      </c>
      <c r="G41" s="304">
        <f t="shared" si="5"/>
        <v>5.13E-4</v>
      </c>
      <c r="H41" s="303">
        <f t="shared" si="0"/>
        <v>2.2469399999999998E-3</v>
      </c>
      <c r="I41" s="304">
        <f t="shared" si="6"/>
        <v>5.13E-4</v>
      </c>
      <c r="J41" s="303">
        <f t="shared" si="7"/>
        <v>2.2469399999999998E-3</v>
      </c>
      <c r="K41" s="304">
        <f t="shared" si="8"/>
        <v>5.13E-4</v>
      </c>
      <c r="L41" s="303">
        <f t="shared" si="1"/>
        <v>2.2469399999999998E-3</v>
      </c>
      <c r="M41" s="304">
        <f t="shared" si="9"/>
        <v>5.13E-4</v>
      </c>
      <c r="N41" s="305">
        <f t="shared" si="2"/>
        <v>2.2469399999999998E-3</v>
      </c>
      <c r="O41" s="306">
        <f t="shared" si="10"/>
        <v>8.5499999999999997E-4</v>
      </c>
    </row>
    <row r="42" spans="1:17">
      <c r="A42" s="1387" t="s">
        <v>845</v>
      </c>
      <c r="B42" s="1387"/>
      <c r="C42" s="1387"/>
      <c r="D42" s="1387"/>
      <c r="E42" s="1387"/>
      <c r="F42" s="1387"/>
      <c r="G42" s="1387"/>
      <c r="H42" s="1387"/>
      <c r="I42" s="1387"/>
      <c r="J42" s="1387"/>
      <c r="K42" s="1387"/>
      <c r="L42" s="1387"/>
      <c r="M42" s="1387"/>
      <c r="N42" s="1387"/>
      <c r="O42" s="1387"/>
    </row>
    <row r="43" spans="1:17">
      <c r="A43" s="1387"/>
      <c r="B43" s="1387"/>
      <c r="C43" s="1387"/>
      <c r="D43" s="1387"/>
      <c r="E43" s="1387"/>
      <c r="F43" s="1387"/>
      <c r="G43" s="1387"/>
      <c r="H43" s="1387"/>
      <c r="I43" s="1387"/>
      <c r="J43" s="1387"/>
      <c r="K43" s="1387"/>
      <c r="L43" s="1387"/>
      <c r="M43" s="1387"/>
      <c r="N43" s="1387"/>
      <c r="O43" s="1387"/>
    </row>
    <row r="44" spans="1:17">
      <c r="A44" s="220" t="s">
        <v>270</v>
      </c>
    </row>
    <row r="45" spans="1:17">
      <c r="A45" s="1387" t="s">
        <v>271</v>
      </c>
      <c r="B45" s="1387"/>
      <c r="C45" s="1387"/>
      <c r="D45" s="1387"/>
      <c r="E45" s="1387"/>
      <c r="F45" s="1387"/>
      <c r="G45" s="1387"/>
      <c r="H45" s="1387"/>
      <c r="I45" s="1387"/>
      <c r="J45" s="1387"/>
      <c r="K45" s="1387"/>
      <c r="L45" s="1387"/>
      <c r="M45" s="1387"/>
      <c r="N45" s="1387"/>
      <c r="O45" s="1387"/>
    </row>
    <row r="46" spans="1:17">
      <c r="A46" s="1387"/>
      <c r="B46" s="1387"/>
      <c r="C46" s="1387"/>
      <c r="D46" s="1387"/>
      <c r="E46" s="1387"/>
      <c r="F46" s="1387"/>
      <c r="G46" s="1387"/>
      <c r="H46" s="1387"/>
      <c r="I46" s="1387"/>
      <c r="J46" s="1387"/>
      <c r="K46" s="1387"/>
      <c r="L46" s="1387"/>
      <c r="M46" s="1387"/>
      <c r="N46" s="1387"/>
      <c r="O46" s="1387"/>
    </row>
    <row r="47" spans="1:17">
      <c r="A47" s="220" t="s">
        <v>609</v>
      </c>
      <c r="Q47" s="259"/>
    </row>
    <row r="48" spans="1:17">
      <c r="B48" s="334" t="s">
        <v>615</v>
      </c>
      <c r="C48" s="246"/>
      <c r="D48" s="335" t="s">
        <v>341</v>
      </c>
      <c r="E48" s="246"/>
      <c r="Q48" s="259"/>
    </row>
    <row r="49" spans="1:14" ht="12.75" customHeight="1">
      <c r="A49" s="307" t="s">
        <v>40</v>
      </c>
      <c r="B49" s="220">
        <f>'AL Alloy'!H14</f>
        <v>5.7000000000000002E-2</v>
      </c>
      <c r="C49" s="220" t="s">
        <v>614</v>
      </c>
      <c r="D49" s="336">
        <v>2.2815651962571397E-2</v>
      </c>
      <c r="E49" s="220" t="s">
        <v>614</v>
      </c>
    </row>
    <row r="50" spans="1:14">
      <c r="A50" s="307" t="s">
        <v>265</v>
      </c>
      <c r="B50" s="220">
        <f>'AL Alloy'!H21</f>
        <v>4.0000000000000001E-3</v>
      </c>
      <c r="C50" s="220" t="s">
        <v>614</v>
      </c>
      <c r="D50" s="337">
        <v>1.0396835041384803E-3</v>
      </c>
      <c r="E50" s="220" t="s">
        <v>614</v>
      </c>
    </row>
    <row r="51" spans="1:14">
      <c r="A51" s="307" t="s">
        <v>266</v>
      </c>
      <c r="B51" s="220">
        <f>'AL Alloy'!H19</f>
        <v>1E-3</v>
      </c>
      <c r="C51" s="220" t="s">
        <v>614</v>
      </c>
      <c r="D51" s="338">
        <v>9.991763546265916E-4</v>
      </c>
      <c r="E51" s="220" t="s">
        <v>614</v>
      </c>
    </row>
    <row r="52" spans="1:14">
      <c r="A52" s="307" t="s">
        <v>267</v>
      </c>
      <c r="B52" s="220">
        <f>'AL Alloy'!H10</f>
        <v>0.1</v>
      </c>
      <c r="C52" s="220" t="s">
        <v>614</v>
      </c>
      <c r="D52" s="336"/>
      <c r="E52" s="220" t="s">
        <v>614</v>
      </c>
    </row>
    <row r="53" spans="1:14">
      <c r="A53" s="307" t="s">
        <v>268</v>
      </c>
      <c r="B53" s="220">
        <f>'AL Alloy'!H9</f>
        <v>0.217</v>
      </c>
      <c r="C53" s="220" t="s">
        <v>614</v>
      </c>
      <c r="D53" s="336">
        <v>3.2336182336182337E-2</v>
      </c>
      <c r="E53" s="220" t="s">
        <v>614</v>
      </c>
    </row>
    <row r="54" spans="1:14">
      <c r="A54" s="307" t="s">
        <v>269</v>
      </c>
      <c r="B54" s="220">
        <f>'AL Alloy'!H11</f>
        <v>0.09</v>
      </c>
      <c r="C54" s="220" t="s">
        <v>614</v>
      </c>
      <c r="D54" s="336">
        <v>5.7616694346552165E-2</v>
      </c>
      <c r="E54" s="220" t="s">
        <v>614</v>
      </c>
    </row>
    <row r="56" spans="1:14" ht="13.5" thickBot="1">
      <c r="A56" s="261" t="s">
        <v>273</v>
      </c>
    </row>
    <row r="57" spans="1:14" ht="39" customHeight="1" thickBot="1">
      <c r="A57" s="308" t="s">
        <v>274</v>
      </c>
      <c r="B57" s="1548" t="s">
        <v>247</v>
      </c>
      <c r="C57" s="1549"/>
      <c r="D57" s="1550" t="s">
        <v>248</v>
      </c>
      <c r="E57" s="1549"/>
      <c r="F57" s="1550" t="s">
        <v>249</v>
      </c>
      <c r="G57" s="1549"/>
      <c r="H57" s="1550" t="s">
        <v>250</v>
      </c>
      <c r="I57" s="1549"/>
      <c r="J57" s="1550" t="s">
        <v>251</v>
      </c>
      <c r="K57" s="1549"/>
      <c r="L57" s="262" t="s">
        <v>252</v>
      </c>
      <c r="M57" s="264"/>
    </row>
    <row r="58" spans="1:14" ht="52.5" thickBot="1">
      <c r="A58" s="309" t="s">
        <v>70</v>
      </c>
      <c r="B58" s="310" t="s">
        <v>255</v>
      </c>
      <c r="C58" s="311" t="s">
        <v>256</v>
      </c>
      <c r="D58" s="312" t="s">
        <v>255</v>
      </c>
      <c r="E58" s="311" t="s">
        <v>256</v>
      </c>
      <c r="F58" s="312" t="s">
        <v>255</v>
      </c>
      <c r="G58" s="311" t="s">
        <v>256</v>
      </c>
      <c r="H58" s="312" t="s">
        <v>255</v>
      </c>
      <c r="I58" s="311" t="s">
        <v>256</v>
      </c>
      <c r="J58" s="312" t="s">
        <v>255</v>
      </c>
      <c r="K58" s="311" t="s">
        <v>256</v>
      </c>
      <c r="L58" s="313" t="s">
        <v>257</v>
      </c>
    </row>
    <row r="59" spans="1:14" ht="16.899999999999999" customHeight="1">
      <c r="A59" s="314" t="s">
        <v>19</v>
      </c>
      <c r="B59" s="315">
        <f>E28+'AL Melting - Natural Gas'!F13</f>
        <v>0.58117647058823529</v>
      </c>
      <c r="C59" s="316">
        <f>B59*8760/2000</f>
        <v>2.5455529411764704</v>
      </c>
      <c r="D59" s="317">
        <f>G28+'AL Melting - Natural Gas'!F49</f>
        <v>0.58117647058823529</v>
      </c>
      <c r="E59" s="316">
        <f t="shared" ref="E59:E68" si="26">D59*8760/2000</f>
        <v>2.5455529411764704</v>
      </c>
      <c r="F59" s="317">
        <f>I28+'AL Melting - Natural Gas'!F85</f>
        <v>0.58117647058823529</v>
      </c>
      <c r="G59" s="316">
        <f>F59*8760/2000</f>
        <v>2.5455529411764704</v>
      </c>
      <c r="H59" s="317">
        <f>K28+'AL Melting - Natural Gas'!F121</f>
        <v>0.58117647058823529</v>
      </c>
      <c r="I59" s="316">
        <f t="shared" ref="I59:I68" si="27">H59*8760/2000</f>
        <v>2.5455529411764704</v>
      </c>
      <c r="J59" s="317">
        <f>M28+'AL Melting - Natural Gas'!F157</f>
        <v>0.58117647058823529</v>
      </c>
      <c r="K59" s="316">
        <f t="shared" ref="K59:K68" si="28">J59*8760/2000</f>
        <v>2.5455529411764704</v>
      </c>
      <c r="L59" s="318">
        <f>O28+'AL Melting - Natural Gas'!G13+'AL Melting - Natural Gas'!G49+'AL Melting - Natural Gas'!G85+'AL Melting - Natural Gas'!G121+'AL Melting - Natural Gas'!G157</f>
        <v>1.194764705882353</v>
      </c>
      <c r="N59" s="282"/>
    </row>
    <row r="60" spans="1:14">
      <c r="A60" s="319" t="s">
        <v>77</v>
      </c>
      <c r="B60" s="320">
        <f>E29+'AL Melting - Natural Gas'!F14</f>
        <v>0.52117647058823535</v>
      </c>
      <c r="C60" s="287">
        <f t="shared" ref="C60:C67" si="29">B60*8760/2000</f>
        <v>2.2827529411764709</v>
      </c>
      <c r="D60" s="288">
        <f>G29+'AL Melting - Natural Gas'!F50</f>
        <v>0.52117647058823535</v>
      </c>
      <c r="E60" s="287">
        <f t="shared" ref="E60:E67" si="30">D60*8760/2000</f>
        <v>2.2827529411764709</v>
      </c>
      <c r="F60" s="288">
        <f>I29+'AL Melting - Natural Gas'!F86</f>
        <v>0.52117647058823535</v>
      </c>
      <c r="G60" s="287">
        <f t="shared" ref="G60:G67" si="31">F60*8760/2000</f>
        <v>2.2827529411764709</v>
      </c>
      <c r="H60" s="288">
        <f>K29+'AL Melting - Natural Gas'!F122</f>
        <v>0.52117647058823535</v>
      </c>
      <c r="I60" s="287">
        <f t="shared" ref="I60:I67" si="32">H60*8760/2000</f>
        <v>2.2827529411764709</v>
      </c>
      <c r="J60" s="288">
        <f>M29+'AL Melting - Natural Gas'!F158</f>
        <v>0.52117647058823535</v>
      </c>
      <c r="K60" s="287">
        <f t="shared" ref="K60:K67" si="33">J60*8760/2000</f>
        <v>2.2827529411764709</v>
      </c>
      <c r="L60" s="321">
        <f>O29+'AL Melting - Natural Gas'!G14+'AL Melting - Natural Gas'!G50+'AL Melting - Natural Gas'!G86+'AL Melting - Natural Gas'!G122+'AL Melting - Natural Gas'!G158</f>
        <v>1.0947647058823529</v>
      </c>
    </row>
    <row r="61" spans="1:14">
      <c r="A61" s="319" t="s">
        <v>78</v>
      </c>
      <c r="B61" s="320">
        <f>E30+'AL Melting - Natural Gas'!F15</f>
        <v>0.52117647058823535</v>
      </c>
      <c r="C61" s="287">
        <f t="shared" si="29"/>
        <v>2.2827529411764709</v>
      </c>
      <c r="D61" s="288">
        <f>G30+'AL Melting - Natural Gas'!F51</f>
        <v>0.52117647058823535</v>
      </c>
      <c r="E61" s="287">
        <f t="shared" si="30"/>
        <v>2.2827529411764709</v>
      </c>
      <c r="F61" s="288">
        <f>I30+'AL Melting - Natural Gas'!F87</f>
        <v>0.52117647058823535</v>
      </c>
      <c r="G61" s="287">
        <f t="shared" si="31"/>
        <v>2.2827529411764709</v>
      </c>
      <c r="H61" s="288">
        <f>K30+'AL Melting - Natural Gas'!F123</f>
        <v>0.52117647058823535</v>
      </c>
      <c r="I61" s="287">
        <f t="shared" si="32"/>
        <v>2.2827529411764709</v>
      </c>
      <c r="J61" s="288">
        <f>M30+'AL Melting - Natural Gas'!F159</f>
        <v>0.52117647058823535</v>
      </c>
      <c r="K61" s="287">
        <f t="shared" si="33"/>
        <v>2.2827529411764709</v>
      </c>
      <c r="L61" s="321">
        <f>O30+'AL Melting - Natural Gas'!G15+'AL Melting - Natural Gas'!G51+'AL Melting - Natural Gas'!G87+'AL Melting - Natural Gas'!G123+'AL Melting - Natural Gas'!G159</f>
        <v>1.0947647058823529</v>
      </c>
    </row>
    <row r="62" spans="1:14">
      <c r="A62" s="319" t="s">
        <v>79</v>
      </c>
      <c r="B62" s="320">
        <f>E31+'AL Melting - Natural Gas'!F16</f>
        <v>0.65705882352941181</v>
      </c>
      <c r="C62" s="287">
        <f t="shared" si="29"/>
        <v>2.8779176470588235</v>
      </c>
      <c r="D62" s="288">
        <f>G31+'AL Melting - Natural Gas'!F52</f>
        <v>0.65705882352941181</v>
      </c>
      <c r="E62" s="287">
        <f t="shared" si="30"/>
        <v>2.8779176470588235</v>
      </c>
      <c r="F62" s="288">
        <f>I31+'AL Melting - Natural Gas'!F88</f>
        <v>0.65705882352941181</v>
      </c>
      <c r="G62" s="287">
        <f t="shared" si="31"/>
        <v>2.8779176470588235</v>
      </c>
      <c r="H62" s="288">
        <f>K31+'AL Melting - Natural Gas'!F124</f>
        <v>0.65705882352941181</v>
      </c>
      <c r="I62" s="287">
        <f t="shared" si="32"/>
        <v>2.8779176470588235</v>
      </c>
      <c r="J62" s="288">
        <f>M31+'AL Melting - Natural Gas'!F160</f>
        <v>0.65705882352941181</v>
      </c>
      <c r="K62" s="287">
        <f t="shared" si="33"/>
        <v>2.8779176470588235</v>
      </c>
      <c r="L62" s="321">
        <f>O31+'AL Melting - Natural Gas'!G16+'AL Melting - Natural Gas'!G52+'AL Melting - Natural Gas'!G88+'AL Melting - Natural Gas'!G124+'AL Melting - Natural Gas'!G160</f>
        <v>4.0705882352941174</v>
      </c>
    </row>
    <row r="63" spans="1:14">
      <c r="A63" s="319" t="s">
        <v>80</v>
      </c>
      <c r="B63" s="320">
        <f>E32+'AL Melting - Natural Gas'!F17</f>
        <v>0.12352941176470589</v>
      </c>
      <c r="C63" s="287">
        <f t="shared" si="29"/>
        <v>0.54105882352941181</v>
      </c>
      <c r="D63" s="288">
        <f>G32+'AL Melting - Natural Gas'!F53</f>
        <v>0.12352941176470589</v>
      </c>
      <c r="E63" s="287">
        <f t="shared" si="30"/>
        <v>0.54105882352941181</v>
      </c>
      <c r="F63" s="288">
        <f>I32+'AL Melting - Natural Gas'!F89</f>
        <v>0.12352941176470589</v>
      </c>
      <c r="G63" s="287">
        <f t="shared" si="31"/>
        <v>0.54105882352941181</v>
      </c>
      <c r="H63" s="288">
        <f>K32+'AL Melting - Natural Gas'!F125</f>
        <v>0.12352941176470589</v>
      </c>
      <c r="I63" s="287">
        <f t="shared" si="32"/>
        <v>0.54105882352941181</v>
      </c>
      <c r="J63" s="288">
        <f>M32+'AL Melting - Natural Gas'!F161</f>
        <v>0.12352941176470589</v>
      </c>
      <c r="K63" s="287">
        <f t="shared" si="33"/>
        <v>0.54105882352941181</v>
      </c>
      <c r="L63" s="321">
        <f>O32+'AL Melting - Natural Gas'!G17+'AL Melting - Natural Gas'!G53+'AL Melting - Natural Gas'!G89+'AL Melting - Natural Gas'!G125+'AL Melting - Natural Gas'!G161</f>
        <v>2.7052941176470591</v>
      </c>
    </row>
    <row r="64" spans="1:14">
      <c r="A64" s="319" t="s">
        <v>81</v>
      </c>
      <c r="B64" s="320">
        <f>E33+'AL Melting - Natural Gas'!F18</f>
        <v>0.75088235294117645</v>
      </c>
      <c r="C64" s="287">
        <f t="shared" si="29"/>
        <v>3.2888647058823528</v>
      </c>
      <c r="D64" s="288">
        <f>G33+'AL Melting - Natural Gas'!F54</f>
        <v>0.75088235294117645</v>
      </c>
      <c r="E64" s="287">
        <f t="shared" si="30"/>
        <v>3.2888647058823528</v>
      </c>
      <c r="F64" s="288">
        <f>I33+'AL Melting - Natural Gas'!F90</f>
        <v>0.75088235294117645</v>
      </c>
      <c r="G64" s="287">
        <f t="shared" si="31"/>
        <v>3.2888647058823528</v>
      </c>
      <c r="H64" s="288">
        <f>K33+'AL Melting - Natural Gas'!F126</f>
        <v>0.75088235294117645</v>
      </c>
      <c r="I64" s="287">
        <f t="shared" si="32"/>
        <v>3.2888647058823528</v>
      </c>
      <c r="J64" s="288">
        <f>M33+'AL Melting - Natural Gas'!F162</f>
        <v>0.75088235294117645</v>
      </c>
      <c r="K64" s="287">
        <f t="shared" si="33"/>
        <v>3.2888647058823528</v>
      </c>
      <c r="L64" s="321">
        <f>O33+'AL Melting - Natural Gas'!G18+'AL Melting - Natural Gas'!G54+'AL Melting - Natural Gas'!G90+'AL Melting - Natural Gas'!G126+'AL Melting - Natural Gas'!G162</f>
        <v>1.2693235294117644</v>
      </c>
    </row>
    <row r="65" spans="1:14">
      <c r="A65" s="319" t="s">
        <v>39</v>
      </c>
      <c r="B65" s="320">
        <f>E34+'AL Melting - Natural Gas'!F19</f>
        <v>0.75808823529411762</v>
      </c>
      <c r="C65" s="287">
        <f t="shared" si="29"/>
        <v>3.3204264705882349</v>
      </c>
      <c r="D65" s="288">
        <f>G34+'AL Melting - Natural Gas'!F55</f>
        <v>0.75808823529411762</v>
      </c>
      <c r="E65" s="287">
        <f t="shared" si="30"/>
        <v>3.3204264705882349</v>
      </c>
      <c r="F65" s="288">
        <f>I34+'AL Melting - Natural Gas'!F91</f>
        <v>0.75808823529411762</v>
      </c>
      <c r="G65" s="287">
        <f t="shared" si="31"/>
        <v>3.3204264705882349</v>
      </c>
      <c r="H65" s="288">
        <f>K34+'AL Melting - Natural Gas'!F127</f>
        <v>0.75808823529411762</v>
      </c>
      <c r="I65" s="287">
        <f t="shared" si="32"/>
        <v>3.3204264705882349</v>
      </c>
      <c r="J65" s="288">
        <f>M34+'AL Melting - Natural Gas'!F163</f>
        <v>0.75808823529411762</v>
      </c>
      <c r="K65" s="287">
        <f t="shared" si="33"/>
        <v>3.3204264705882349</v>
      </c>
      <c r="L65" s="321">
        <f>O34+'AL Melting - Natural Gas'!G19+'AL Melting - Natural Gas'!G55+'AL Melting - Natural Gas'!G91+'AL Melting - Natural Gas'!G127+'AL Melting - Natural Gas'!G163</f>
        <v>1.4271323529411761</v>
      </c>
    </row>
    <row r="66" spans="1:14">
      <c r="A66" s="319" t="s">
        <v>83</v>
      </c>
      <c r="B66" s="297">
        <f>E35+'AL Melting - Natural Gas'!F20</f>
        <v>3.2563529411764702E-4</v>
      </c>
      <c r="C66" s="293">
        <f t="shared" si="29"/>
        <v>1.4262825882352939E-3</v>
      </c>
      <c r="D66" s="294">
        <f>G35+'AL Melting - Natural Gas'!F56</f>
        <v>3.2563529411764702E-4</v>
      </c>
      <c r="E66" s="293">
        <f t="shared" si="30"/>
        <v>1.4262825882352939E-3</v>
      </c>
      <c r="F66" s="294">
        <f>I35+'AL Melting - Natural Gas'!F92</f>
        <v>3.2563529411764702E-4</v>
      </c>
      <c r="G66" s="293">
        <f t="shared" si="31"/>
        <v>1.4262825882352939E-3</v>
      </c>
      <c r="H66" s="294">
        <f>K35+'AL Melting - Natural Gas'!F128</f>
        <v>3.2563529411764702E-4</v>
      </c>
      <c r="I66" s="293">
        <f t="shared" si="32"/>
        <v>1.4262825882352939E-3</v>
      </c>
      <c r="J66" s="294">
        <f>M35+'AL Melting - Natural Gas'!F164</f>
        <v>3.2563529411764702E-4</v>
      </c>
      <c r="K66" s="293">
        <f t="shared" si="33"/>
        <v>1.4262825882352939E-3</v>
      </c>
      <c r="L66" s="837">
        <f>O35+'AL Melting - Natural Gas'!G20+'AL Melting - Natural Gas'!G56+'AL Melting - Natural Gas'!G92+'AL Melting - Natural Gas'!G128+'AL Melting - Natural Gas'!G164</f>
        <v>5.5760294117647045E-4</v>
      </c>
    </row>
    <row r="67" spans="1:14" ht="13.5" thickBot="1">
      <c r="A67" s="322" t="s">
        <v>42</v>
      </c>
      <c r="B67" s="302">
        <f>E36+'AL Melting - Natural Gas'!F21</f>
        <v>5.4497091176470593E-3</v>
      </c>
      <c r="C67" s="303">
        <f t="shared" si="29"/>
        <v>2.3869725935294121E-2</v>
      </c>
      <c r="D67" s="304">
        <f>G36+'AL Melting - Natural Gas'!F57</f>
        <v>5.4497091176470593E-3</v>
      </c>
      <c r="E67" s="303">
        <f t="shared" si="30"/>
        <v>2.3869725935294121E-2</v>
      </c>
      <c r="F67" s="304">
        <f>I36+'AL Melting - Natural Gas'!F93</f>
        <v>5.4497091176470593E-3</v>
      </c>
      <c r="G67" s="303">
        <f t="shared" si="31"/>
        <v>2.3869725935294121E-2</v>
      </c>
      <c r="H67" s="304">
        <f>K36+'AL Melting - Natural Gas'!F129</f>
        <v>5.4497091176470593E-3</v>
      </c>
      <c r="I67" s="303">
        <f t="shared" si="32"/>
        <v>2.3869725935294121E-2</v>
      </c>
      <c r="J67" s="304">
        <f>M36+'AL Melting - Natural Gas'!F165</f>
        <v>5.4497091176470593E-3</v>
      </c>
      <c r="K67" s="303">
        <f t="shared" si="33"/>
        <v>2.3869725935294121E-2</v>
      </c>
      <c r="L67" s="838">
        <f>O36+'AL Melting - Natural Gas'!G21+'AL Melting - Natural Gas'!G57+'AL Melting - Natural Gas'!G93+'AL Melting - Natural Gas'!G129+'AL Melting - Natural Gas'!G165</f>
        <v>6.525885967647059E-2</v>
      </c>
    </row>
    <row r="68" spans="1:14">
      <c r="A68" s="327" t="s">
        <v>85</v>
      </c>
      <c r="B68" s="292">
        <f>'AL Melting - Natural Gas'!F22</f>
        <v>175.464114</v>
      </c>
      <c r="C68" s="328">
        <f t="shared" ref="C68" si="34">B68*8760/2000</f>
        <v>768.53281932000004</v>
      </c>
      <c r="D68" s="329">
        <f>'AL Melting - Natural Gas'!F58</f>
        <v>175.464114</v>
      </c>
      <c r="E68" s="328">
        <f t="shared" si="26"/>
        <v>768.53281932000004</v>
      </c>
      <c r="F68" s="329">
        <f>IFERROR($G$9*#REF!,0)+'AL Melting - Natural Gas'!F101</f>
        <v>1.7647058823529412E-8</v>
      </c>
      <c r="G68" s="328">
        <f t="shared" ref="G68" si="35">F68*8760/2000</f>
        <v>7.7294117647058823E-8</v>
      </c>
      <c r="H68" s="329">
        <f>'AL Melting - Natural Gas'!F130</f>
        <v>175.464114</v>
      </c>
      <c r="I68" s="328">
        <f t="shared" si="27"/>
        <v>768.53281932000004</v>
      </c>
      <c r="J68" s="329">
        <f>'AL Melting - Natural Gas'!F166</f>
        <v>175.464114</v>
      </c>
      <c r="K68" s="328">
        <f t="shared" si="28"/>
        <v>768.53281932000004</v>
      </c>
      <c r="L68" s="330">
        <f>'AL Melting - Natural Gas'!G22+'AL Melting - Natural Gas'!G58+'AL Melting - Natural Gas'!G94+'AL Melting - Natural Gas'!G130+'AL Melting - Natural Gas'!G166</f>
        <v>3842.6640966000004</v>
      </c>
    </row>
    <row r="69" spans="1:14">
      <c r="A69" s="319" t="s">
        <v>86</v>
      </c>
      <c r="B69" s="297">
        <f>'AL Melting - Natural Gas'!F23</f>
        <v>3.3069000000000002E-3</v>
      </c>
      <c r="C69" s="293">
        <f t="shared" ref="C69:C87" si="36">B69*8760/2000</f>
        <v>1.4484222000000001E-2</v>
      </c>
      <c r="D69" s="294">
        <f>'AL Melting - Natural Gas'!F59</f>
        <v>3.3069000000000002E-3</v>
      </c>
      <c r="E69" s="293">
        <f t="shared" ref="E69:E87" si="37">D69*8760/2000</f>
        <v>1.4484222000000001E-2</v>
      </c>
      <c r="F69" s="294">
        <f>IFERROR($G$9*#REF!,0)+'AL Melting - Natural Gas'!F102</f>
        <v>1.6176470588235295E-6</v>
      </c>
      <c r="G69" s="293">
        <f t="shared" ref="G69:G87" si="38">F69*8760/2000</f>
        <v>7.0852941176470598E-6</v>
      </c>
      <c r="H69" s="294">
        <f>'AL Melting - Natural Gas'!F131</f>
        <v>3.3069000000000002E-3</v>
      </c>
      <c r="I69" s="293">
        <f t="shared" ref="I69:I87" si="39">H69*8760/2000</f>
        <v>1.4484222000000001E-2</v>
      </c>
      <c r="J69" s="294">
        <f>'AL Melting - Natural Gas'!F167</f>
        <v>3.3069000000000002E-3</v>
      </c>
      <c r="K69" s="293">
        <f t="shared" ref="K69:K87" si="40">J69*8760/2000</f>
        <v>1.4484222000000001E-2</v>
      </c>
      <c r="L69" s="321">
        <f>'AL Melting - Natural Gas'!G23+'AL Melting - Natural Gas'!G59+'AL Melting - Natural Gas'!G95+'AL Melting - Natural Gas'!G131+'AL Melting - Natural Gas'!G167</f>
        <v>7.2421110000000011E-2</v>
      </c>
    </row>
    <row r="70" spans="1:14">
      <c r="A70" s="319" t="s">
        <v>87</v>
      </c>
      <c r="B70" s="297">
        <f>'AL Melting - Natural Gas'!F24</f>
        <v>3.3069000000000002E-4</v>
      </c>
      <c r="C70" s="293">
        <f t="shared" si="36"/>
        <v>1.4484222000000001E-3</v>
      </c>
      <c r="D70" s="294">
        <f>'AL Melting - Natural Gas'!F60</f>
        <v>3.3069000000000002E-4</v>
      </c>
      <c r="E70" s="293">
        <f t="shared" si="37"/>
        <v>1.4484222000000001E-3</v>
      </c>
      <c r="F70" s="294">
        <f>IFERROR($G$9*#REF!,0)+'AL Melting - Natural Gas'!F103</f>
        <v>2.0588235294117645E-6</v>
      </c>
      <c r="G70" s="293">
        <f t="shared" si="38"/>
        <v>9.0176470588235279E-6</v>
      </c>
      <c r="H70" s="294">
        <f>'AL Melting - Natural Gas'!F132</f>
        <v>3.3069000000000002E-4</v>
      </c>
      <c r="I70" s="293">
        <f t="shared" si="39"/>
        <v>1.4484222000000001E-3</v>
      </c>
      <c r="J70" s="294">
        <f>'AL Melting - Natural Gas'!F168</f>
        <v>3.3069000000000002E-4</v>
      </c>
      <c r="K70" s="293">
        <f t="shared" si="40"/>
        <v>1.4484222000000001E-3</v>
      </c>
      <c r="L70" s="321">
        <f>'AL Melting - Natural Gas'!G24+'AL Melting - Natural Gas'!G60+'AL Melting - Natural Gas'!G96+'AL Melting - Natural Gas'!G132+'AL Melting - Natural Gas'!G168</f>
        <v>7.2421110000000007E-3</v>
      </c>
    </row>
    <row r="71" spans="1:14" ht="13.5" thickBot="1">
      <c r="A71" s="322" t="s">
        <v>88</v>
      </c>
      <c r="B71" s="302">
        <f>'AL Melting - Natural Gas'!F25</f>
        <v>175.64533212000003</v>
      </c>
      <c r="C71" s="303">
        <f t="shared" si="36"/>
        <v>769.32655468560006</v>
      </c>
      <c r="D71" s="304">
        <f>'AL Melting - Natural Gas'!F61</f>
        <v>175.64533212000003</v>
      </c>
      <c r="E71" s="303">
        <f t="shared" si="37"/>
        <v>769.32655468560006</v>
      </c>
      <c r="F71" s="304">
        <f>IFERROR($G$9*#REF!,0)+'AL Melting - Natural Gas'!F104</f>
        <v>1.2352941176470587E-7</v>
      </c>
      <c r="G71" s="303">
        <f t="shared" si="38"/>
        <v>5.4105882352941171E-7</v>
      </c>
      <c r="H71" s="304">
        <f>'AL Melting - Natural Gas'!F133</f>
        <v>175.64533212000003</v>
      </c>
      <c r="I71" s="303">
        <f t="shared" si="39"/>
        <v>769.32655468560006</v>
      </c>
      <c r="J71" s="304">
        <f>'AL Melting - Natural Gas'!F169</f>
        <v>175.64533212000003</v>
      </c>
      <c r="K71" s="303">
        <f t="shared" si="40"/>
        <v>769.32655468560006</v>
      </c>
      <c r="L71" s="326">
        <f>'AL Melting - Natural Gas'!G25+'AL Melting - Natural Gas'!G61+'AL Melting - Natural Gas'!G97+'AL Melting - Natural Gas'!G133+'AL Melting - Natural Gas'!G169</f>
        <v>3846.6327734280003</v>
      </c>
    </row>
    <row r="72" spans="1:14">
      <c r="A72" s="327" t="s">
        <v>89</v>
      </c>
      <c r="B72" s="292">
        <f>'AL Melting - Natural Gas'!F26</f>
        <v>1.764705882352941E-6</v>
      </c>
      <c r="C72" s="328">
        <f t="shared" si="36"/>
        <v>7.7294117647058808E-6</v>
      </c>
      <c r="D72" s="329">
        <f>'AL Melting - Natural Gas'!F62</f>
        <v>1.764705882352941E-6</v>
      </c>
      <c r="E72" s="328">
        <f t="shared" si="37"/>
        <v>7.7294117647058808E-6</v>
      </c>
      <c r="F72" s="329">
        <f>'AL Melting - Natural Gas'!F98</f>
        <v>1.764705882352941E-6</v>
      </c>
      <c r="G72" s="328">
        <f t="shared" si="38"/>
        <v>7.7294117647058808E-6</v>
      </c>
      <c r="H72" s="329">
        <f>'AL Melting - Natural Gas'!F134</f>
        <v>1.764705882352941E-6</v>
      </c>
      <c r="I72" s="328">
        <f t="shared" si="39"/>
        <v>7.7294117647058808E-6</v>
      </c>
      <c r="J72" s="329">
        <f>'AL Melting - Natural Gas'!F170</f>
        <v>1.764705882352941E-6</v>
      </c>
      <c r="K72" s="328">
        <f t="shared" si="40"/>
        <v>7.7294117647058808E-6</v>
      </c>
      <c r="L72" s="331">
        <f>'AL Melting - Natural Gas'!G26+'AL Melting - Natural Gas'!G62+'AL Melting - Natural Gas'!G98+'AL Melting - Natural Gas'!G134+'AL Melting - Natural Gas'!G170</f>
        <v>3.8647058823529406E-5</v>
      </c>
      <c r="N72" s="332"/>
    </row>
    <row r="73" spans="1:14">
      <c r="A73" s="327" t="s">
        <v>90</v>
      </c>
      <c r="B73" s="297">
        <f>'AL Melting - Natural Gas'!F27</f>
        <v>2.9411764705882356E-7</v>
      </c>
      <c r="C73" s="293">
        <f t="shared" si="36"/>
        <v>1.2882352941176471E-6</v>
      </c>
      <c r="D73" s="294">
        <f>'AL Melting - Natural Gas'!F63</f>
        <v>2.9411764705882356E-7</v>
      </c>
      <c r="E73" s="293">
        <f t="shared" si="37"/>
        <v>1.2882352941176471E-6</v>
      </c>
      <c r="F73" s="294">
        <f>'AL Melting - Natural Gas'!F99</f>
        <v>2.9411764705882356E-7</v>
      </c>
      <c r="G73" s="293">
        <f t="shared" si="38"/>
        <v>1.2882352941176471E-6</v>
      </c>
      <c r="H73" s="294">
        <f>'AL Melting - Natural Gas'!F135</f>
        <v>2.9411764705882356E-7</v>
      </c>
      <c r="I73" s="293">
        <f t="shared" si="39"/>
        <v>1.2882352941176471E-6</v>
      </c>
      <c r="J73" s="294">
        <f>'AL Melting - Natural Gas'!F171</f>
        <v>2.9411764705882356E-7</v>
      </c>
      <c r="K73" s="293">
        <f t="shared" si="40"/>
        <v>1.2882352941176471E-6</v>
      </c>
      <c r="L73" s="331">
        <f>'AL Melting - Natural Gas'!G27+'AL Melting - Natural Gas'!G63+'AL Melting - Natural Gas'!G99+'AL Melting - Natural Gas'!G135+'AL Melting - Natural Gas'!G171</f>
        <v>6.4411764705882354E-6</v>
      </c>
      <c r="N73" s="332"/>
    </row>
    <row r="74" spans="1:14">
      <c r="A74" s="319" t="s">
        <v>91</v>
      </c>
      <c r="B74" s="297">
        <f>'AL Melting - Natural Gas'!F28</f>
        <v>3.0882352941176468E-6</v>
      </c>
      <c r="C74" s="293">
        <f t="shared" si="36"/>
        <v>1.3526470588235293E-5</v>
      </c>
      <c r="D74" s="294">
        <f>'AL Melting - Natural Gas'!F64</f>
        <v>3.0882352941176468E-6</v>
      </c>
      <c r="E74" s="293">
        <f t="shared" si="37"/>
        <v>1.3526470588235293E-5</v>
      </c>
      <c r="F74" s="294">
        <f>'AL Melting - Natural Gas'!F100</f>
        <v>3.0882352941176468E-6</v>
      </c>
      <c r="G74" s="293">
        <f t="shared" si="38"/>
        <v>1.3526470588235293E-5</v>
      </c>
      <c r="H74" s="294">
        <f>'AL Melting - Natural Gas'!F136</f>
        <v>3.0882352941176468E-6</v>
      </c>
      <c r="I74" s="293">
        <f t="shared" si="39"/>
        <v>1.3526470588235293E-5</v>
      </c>
      <c r="J74" s="294">
        <f>'AL Melting - Natural Gas'!F172</f>
        <v>3.0882352941176468E-6</v>
      </c>
      <c r="K74" s="293">
        <f t="shared" si="40"/>
        <v>1.3526470588235293E-5</v>
      </c>
      <c r="L74" s="331">
        <f>'AL Melting - Natural Gas'!G28+'AL Melting - Natural Gas'!G64+'AL Melting - Natural Gas'!G100+'AL Melting - Natural Gas'!G136+'AL Melting - Natural Gas'!G172</f>
        <v>6.7632352941176467E-5</v>
      </c>
      <c r="N74" s="332"/>
    </row>
    <row r="75" spans="1:14">
      <c r="A75" s="319" t="s">
        <v>92</v>
      </c>
      <c r="B75" s="297">
        <f>'AL Melting - Natural Gas'!F29</f>
        <v>1.7647058823529412E-8</v>
      </c>
      <c r="C75" s="293">
        <f t="shared" si="36"/>
        <v>7.7294117647058823E-8</v>
      </c>
      <c r="D75" s="294">
        <f>'AL Melting - Natural Gas'!F65</f>
        <v>1.7647058823529412E-8</v>
      </c>
      <c r="E75" s="293">
        <f t="shared" si="37"/>
        <v>7.7294117647058823E-8</v>
      </c>
      <c r="F75" s="294">
        <f>'AL Melting - Natural Gas'!F101</f>
        <v>1.7647058823529412E-8</v>
      </c>
      <c r="G75" s="293">
        <f t="shared" si="38"/>
        <v>7.7294117647058823E-8</v>
      </c>
      <c r="H75" s="294">
        <f>'AL Melting - Natural Gas'!F137</f>
        <v>1.7647058823529412E-8</v>
      </c>
      <c r="I75" s="293">
        <f t="shared" si="39"/>
        <v>7.7294117647058823E-8</v>
      </c>
      <c r="J75" s="294">
        <f>'AL Melting - Natural Gas'!F173</f>
        <v>1.7647058823529412E-8</v>
      </c>
      <c r="K75" s="293">
        <f t="shared" si="40"/>
        <v>7.7294117647058823E-8</v>
      </c>
      <c r="L75" s="331">
        <f>O37+'AL Melting - Natural Gas'!G29+'AL Melting - Natural Gas'!G65+'AL Melting - Natural Gas'!G101+'AL Melting - Natural Gas'!G137+'AL Melting - Natural Gas'!G173</f>
        <v>3.8386470588235299E-5</v>
      </c>
      <c r="N75" s="332"/>
    </row>
    <row r="76" spans="1:14">
      <c r="A76" s="319" t="s">
        <v>93</v>
      </c>
      <c r="B76" s="297">
        <f>'AL Melting - Natural Gas'!F30</f>
        <v>1.6176470588235295E-6</v>
      </c>
      <c r="C76" s="293">
        <f t="shared" si="36"/>
        <v>7.0852941176470598E-6</v>
      </c>
      <c r="D76" s="294">
        <f>'AL Melting - Natural Gas'!F66</f>
        <v>1.6176470588235295E-6</v>
      </c>
      <c r="E76" s="293">
        <f t="shared" si="37"/>
        <v>7.0852941176470598E-6</v>
      </c>
      <c r="F76" s="294">
        <f>'AL Melting - Natural Gas'!F102</f>
        <v>1.6176470588235295E-6</v>
      </c>
      <c r="G76" s="293">
        <f t="shared" si="38"/>
        <v>7.0852941176470598E-6</v>
      </c>
      <c r="H76" s="294">
        <f>'AL Melting - Natural Gas'!F138</f>
        <v>1.6176470588235295E-6</v>
      </c>
      <c r="I76" s="293">
        <f t="shared" si="39"/>
        <v>7.0852941176470598E-6</v>
      </c>
      <c r="J76" s="294">
        <f>'AL Melting - Natural Gas'!F174</f>
        <v>1.6176470588235295E-6</v>
      </c>
      <c r="K76" s="293">
        <f t="shared" si="40"/>
        <v>7.0852941176470598E-6</v>
      </c>
      <c r="L76" s="331">
        <f>O38+'AL Melting - Natural Gas'!G30+'AL Melting - Natural Gas'!G66+'AL Melting - Natural Gas'!G102+'AL Melting - Natural Gas'!G138+'AL Melting - Natural Gas'!G174</f>
        <v>4.4926470588235294E-5</v>
      </c>
      <c r="N76" s="332"/>
    </row>
    <row r="77" spans="1:14">
      <c r="A77" s="319" t="s">
        <v>94</v>
      </c>
      <c r="B77" s="297">
        <f>'AL Melting - Natural Gas'!F31</f>
        <v>2.0588235294117645E-6</v>
      </c>
      <c r="C77" s="293">
        <f t="shared" si="36"/>
        <v>9.0176470588235279E-6</v>
      </c>
      <c r="D77" s="294">
        <f>'AL Melting - Natural Gas'!F67</f>
        <v>2.0588235294117645E-6</v>
      </c>
      <c r="E77" s="293">
        <f t="shared" si="37"/>
        <v>9.0176470588235279E-6</v>
      </c>
      <c r="F77" s="294">
        <f>'AL Melting - Natural Gas'!F103</f>
        <v>2.0588235294117645E-6</v>
      </c>
      <c r="G77" s="293">
        <f t="shared" si="38"/>
        <v>9.0176470588235279E-6</v>
      </c>
      <c r="H77" s="294">
        <f>'AL Melting - Natural Gas'!F139</f>
        <v>2.0588235294117645E-6</v>
      </c>
      <c r="I77" s="293">
        <f t="shared" si="39"/>
        <v>9.0176470588235279E-6</v>
      </c>
      <c r="J77" s="294">
        <f>'AL Melting - Natural Gas'!F175</f>
        <v>2.0588235294117645E-6</v>
      </c>
      <c r="K77" s="293">
        <f t="shared" si="40"/>
        <v>9.0176470588235279E-6</v>
      </c>
      <c r="L77" s="331">
        <f>O39+'AL Melting - Natural Gas'!G31+'AL Melting - Natural Gas'!G67+'AL Melting - Natural Gas'!G103+'AL Melting - Natural Gas'!G139+'AL Melting - Natural Gas'!G175</f>
        <v>9.9508823529411762E-4</v>
      </c>
      <c r="N77" s="332"/>
    </row>
    <row r="78" spans="1:14">
      <c r="A78" s="319" t="s">
        <v>95</v>
      </c>
      <c r="B78" s="297">
        <f>'AL Melting - Natural Gas'!F32</f>
        <v>1.2352941176470587E-7</v>
      </c>
      <c r="C78" s="293">
        <f t="shared" si="36"/>
        <v>5.4105882352941171E-7</v>
      </c>
      <c r="D78" s="294">
        <f>'AL Melting - Natural Gas'!F68</f>
        <v>1.2352941176470587E-7</v>
      </c>
      <c r="E78" s="293">
        <f t="shared" si="37"/>
        <v>5.4105882352941171E-7</v>
      </c>
      <c r="F78" s="294">
        <f>'AL Melting - Natural Gas'!F104</f>
        <v>1.2352941176470587E-7</v>
      </c>
      <c r="G78" s="293">
        <f t="shared" si="38"/>
        <v>5.4105882352941171E-7</v>
      </c>
      <c r="H78" s="294">
        <f>'AL Melting - Natural Gas'!F140</f>
        <v>1.2352941176470587E-7</v>
      </c>
      <c r="I78" s="293">
        <f t="shared" si="39"/>
        <v>5.4105882352941171E-7</v>
      </c>
      <c r="J78" s="294">
        <f>'AL Melting - Natural Gas'!F176</f>
        <v>1.2352941176470587E-7</v>
      </c>
      <c r="K78" s="293">
        <f t="shared" si="40"/>
        <v>5.4105882352941171E-7</v>
      </c>
      <c r="L78" s="331">
        <f>'AL Melting - Natural Gas'!G32+'AL Melting - Natural Gas'!G68+'AL Melting - Natural Gas'!G104+'AL Melting - Natural Gas'!G140+'AL Melting - Natural Gas'!G176</f>
        <v>2.7052941176470585E-6</v>
      </c>
      <c r="N78" s="332"/>
    </row>
    <row r="79" spans="1:14">
      <c r="A79" s="319" t="s">
        <v>96</v>
      </c>
      <c r="B79" s="297">
        <f>'AL Melting - Natural Gas'!F33</f>
        <v>1.1029411764705881E-4</v>
      </c>
      <c r="C79" s="293">
        <f t="shared" si="36"/>
        <v>4.8308823529411758E-4</v>
      </c>
      <c r="D79" s="294">
        <f>'AL Melting - Natural Gas'!F69</f>
        <v>1.1029411764705881E-4</v>
      </c>
      <c r="E79" s="293">
        <f t="shared" si="37"/>
        <v>4.8308823529411758E-4</v>
      </c>
      <c r="F79" s="294">
        <f>'AL Melting - Natural Gas'!F105</f>
        <v>1.1029411764705881E-4</v>
      </c>
      <c r="G79" s="293">
        <f t="shared" si="38"/>
        <v>4.8308823529411758E-4</v>
      </c>
      <c r="H79" s="294">
        <f>'AL Melting - Natural Gas'!F141</f>
        <v>1.1029411764705881E-4</v>
      </c>
      <c r="I79" s="293">
        <f t="shared" si="39"/>
        <v>4.8308823529411758E-4</v>
      </c>
      <c r="J79" s="294">
        <f>'AL Melting - Natural Gas'!F177</f>
        <v>1.1029411764705881E-4</v>
      </c>
      <c r="K79" s="293">
        <f t="shared" si="40"/>
        <v>4.8308823529411758E-4</v>
      </c>
      <c r="L79" s="331">
        <f>'AL Melting - Natural Gas'!G33+'AL Melting - Natural Gas'!G69+'AL Melting - Natural Gas'!G105+'AL Melting - Natural Gas'!G141+'AL Melting - Natural Gas'!G177</f>
        <v>2.4154411764705881E-3</v>
      </c>
    </row>
    <row r="80" spans="1:14">
      <c r="A80" s="319" t="s">
        <v>97</v>
      </c>
      <c r="B80" s="297">
        <f>'AL Melting - Natural Gas'!F34</f>
        <v>2.6470588235294116E-3</v>
      </c>
      <c r="C80" s="293">
        <f t="shared" si="36"/>
        <v>1.1594117647058822E-2</v>
      </c>
      <c r="D80" s="294">
        <f>'AL Melting - Natural Gas'!F70</f>
        <v>2.6470588235294116E-3</v>
      </c>
      <c r="E80" s="293">
        <f t="shared" si="37"/>
        <v>1.1594117647058822E-2</v>
      </c>
      <c r="F80" s="294">
        <f>'AL Melting - Natural Gas'!F106</f>
        <v>2.6470588235294116E-3</v>
      </c>
      <c r="G80" s="293">
        <f t="shared" si="38"/>
        <v>1.1594117647058822E-2</v>
      </c>
      <c r="H80" s="294">
        <f>'AL Melting - Natural Gas'!F142</f>
        <v>2.6470588235294116E-3</v>
      </c>
      <c r="I80" s="293">
        <f t="shared" si="39"/>
        <v>1.1594117647058822E-2</v>
      </c>
      <c r="J80" s="294">
        <f>'AL Melting - Natural Gas'!F178</f>
        <v>2.6470588235294116E-3</v>
      </c>
      <c r="K80" s="293">
        <f t="shared" si="40"/>
        <v>1.1594117647058822E-2</v>
      </c>
      <c r="L80" s="331">
        <f>'AL Melting - Natural Gas'!G34+'AL Melting - Natural Gas'!G70+'AL Melting - Natural Gas'!G106+'AL Melting - Natural Gas'!G142+'AL Melting - Natural Gas'!G178</f>
        <v>5.7970588235294114E-2</v>
      </c>
    </row>
    <row r="81" spans="1:12">
      <c r="A81" s="319" t="s">
        <v>98</v>
      </c>
      <c r="B81" s="297">
        <f>'AL Melting - Natural Gas'!F35</f>
        <v>5.588235294117647E-7</v>
      </c>
      <c r="C81" s="293">
        <f t="shared" si="36"/>
        <v>2.4476470588235294E-6</v>
      </c>
      <c r="D81" s="294">
        <f>'AL Melting - Natural Gas'!F71</f>
        <v>5.588235294117647E-7</v>
      </c>
      <c r="E81" s="293">
        <f t="shared" si="37"/>
        <v>2.4476470588235294E-6</v>
      </c>
      <c r="F81" s="294">
        <f>'AL Melting - Natural Gas'!F107</f>
        <v>5.588235294117647E-7</v>
      </c>
      <c r="G81" s="293">
        <f t="shared" si="38"/>
        <v>2.4476470588235294E-6</v>
      </c>
      <c r="H81" s="294">
        <f>'AL Melting - Natural Gas'!F143</f>
        <v>5.588235294117647E-7</v>
      </c>
      <c r="I81" s="293">
        <f t="shared" si="39"/>
        <v>2.4476470588235294E-6</v>
      </c>
      <c r="J81" s="294">
        <f>'AL Melting - Natural Gas'!F179</f>
        <v>5.588235294117647E-7</v>
      </c>
      <c r="K81" s="293">
        <f t="shared" si="40"/>
        <v>2.4476470588235294E-6</v>
      </c>
      <c r="L81" s="331">
        <f>O40+'AL Melting - Natural Gas'!G35+'AL Melting - Natural Gas'!G71+'AL Melting - Natural Gas'!G107+'AL Melting - Natural Gas'!G143+'AL Melting - Natural Gas'!G179</f>
        <v>2.0737382352941183E-3</v>
      </c>
    </row>
    <row r="82" spans="1:12">
      <c r="A82" s="319" t="s">
        <v>99</v>
      </c>
      <c r="B82" s="297">
        <f>'AL Melting - Natural Gas'!F36</f>
        <v>3.8235294117647053E-7</v>
      </c>
      <c r="C82" s="293">
        <f t="shared" si="36"/>
        <v>1.674705882352941E-6</v>
      </c>
      <c r="D82" s="294">
        <f>'AL Melting - Natural Gas'!F72</f>
        <v>3.8235294117647053E-7</v>
      </c>
      <c r="E82" s="293">
        <f t="shared" si="37"/>
        <v>1.674705882352941E-6</v>
      </c>
      <c r="F82" s="294">
        <f>'AL Melting - Natural Gas'!F108</f>
        <v>3.8235294117647053E-7</v>
      </c>
      <c r="G82" s="293">
        <f t="shared" si="38"/>
        <v>1.674705882352941E-6</v>
      </c>
      <c r="H82" s="294">
        <f>'AL Melting - Natural Gas'!F144</f>
        <v>3.8235294117647053E-7</v>
      </c>
      <c r="I82" s="293">
        <f t="shared" si="39"/>
        <v>1.674705882352941E-6</v>
      </c>
      <c r="J82" s="294">
        <f>'AL Melting - Natural Gas'!F180</f>
        <v>3.8235294117647053E-7</v>
      </c>
      <c r="K82" s="293">
        <f t="shared" si="40"/>
        <v>1.674705882352941E-6</v>
      </c>
      <c r="L82" s="331">
        <f>'AL Melting - Natural Gas'!G36+'AL Melting - Natural Gas'!G72+'AL Melting - Natural Gas'!G108+'AL Melting - Natural Gas'!G144+'AL Melting - Natural Gas'!G180</f>
        <v>8.3735294117647043E-6</v>
      </c>
    </row>
    <row r="83" spans="1:12">
      <c r="A83" s="319" t="s">
        <v>100</v>
      </c>
      <c r="B83" s="297">
        <f>'AL Melting - Natural Gas'!F37</f>
        <v>8.9705882352941166E-7</v>
      </c>
      <c r="C83" s="293">
        <f t="shared" si="36"/>
        <v>3.9291176470588234E-6</v>
      </c>
      <c r="D83" s="294">
        <f>'AL Melting - Natural Gas'!F73</f>
        <v>8.9705882352941166E-7</v>
      </c>
      <c r="E83" s="293">
        <f t="shared" si="37"/>
        <v>3.9291176470588234E-6</v>
      </c>
      <c r="F83" s="294">
        <f>'AL Melting - Natural Gas'!F109</f>
        <v>8.9705882352941166E-7</v>
      </c>
      <c r="G83" s="293">
        <f t="shared" si="38"/>
        <v>3.9291176470588234E-6</v>
      </c>
      <c r="H83" s="294">
        <f>'AL Melting - Natural Gas'!F145</f>
        <v>8.9705882352941166E-7</v>
      </c>
      <c r="I83" s="293">
        <f t="shared" si="39"/>
        <v>3.9291176470588234E-6</v>
      </c>
      <c r="J83" s="294">
        <f>'AL Melting - Natural Gas'!F181</f>
        <v>8.9705882352941166E-7</v>
      </c>
      <c r="K83" s="293">
        <f t="shared" si="40"/>
        <v>3.9291176470588234E-6</v>
      </c>
      <c r="L83" s="331">
        <f>'AL Melting - Natural Gas'!G37+'AL Melting - Natural Gas'!G73+'AL Melting - Natural Gas'!G109+'AL Melting - Natural Gas'!G145+'AL Melting - Natural Gas'!G181</f>
        <v>1.9645588235294119E-5</v>
      </c>
    </row>
    <row r="84" spans="1:12">
      <c r="A84" s="319" t="s">
        <v>101</v>
      </c>
      <c r="B84" s="297">
        <f>'AL Melting - Natural Gas'!F38</f>
        <v>3.0882352941176468E-6</v>
      </c>
      <c r="C84" s="293">
        <f t="shared" si="36"/>
        <v>1.3526470588235293E-5</v>
      </c>
      <c r="D84" s="294">
        <f>'AL Melting - Natural Gas'!F74</f>
        <v>3.0882352941176468E-6</v>
      </c>
      <c r="E84" s="293">
        <f t="shared" si="37"/>
        <v>1.3526470588235293E-5</v>
      </c>
      <c r="F84" s="294">
        <f>'AL Melting - Natural Gas'!F110</f>
        <v>3.0882352941176468E-6</v>
      </c>
      <c r="G84" s="293">
        <f t="shared" si="38"/>
        <v>1.3526470588235293E-5</v>
      </c>
      <c r="H84" s="294">
        <f>'AL Melting - Natural Gas'!F146</f>
        <v>3.0882352941176468E-6</v>
      </c>
      <c r="I84" s="293">
        <f t="shared" si="39"/>
        <v>1.3526470588235293E-5</v>
      </c>
      <c r="J84" s="294">
        <f>'AL Melting - Natural Gas'!F182</f>
        <v>3.0882352941176468E-6</v>
      </c>
      <c r="K84" s="293">
        <f t="shared" si="40"/>
        <v>1.3526470588235293E-5</v>
      </c>
      <c r="L84" s="331">
        <f>O41+'AL Melting - Natural Gas'!G38+'AL Melting - Natural Gas'!G74+'AL Melting - Natural Gas'!G110+'AL Melting - Natural Gas'!G146+'AL Melting - Natural Gas'!G182</f>
        <v>9.2263235294117645E-4</v>
      </c>
    </row>
    <row r="85" spans="1:12">
      <c r="A85" s="319" t="s">
        <v>102</v>
      </c>
      <c r="B85" s="297">
        <f>'AL Melting - Natural Gas'!F39</f>
        <v>1.0267647058823528E-6</v>
      </c>
      <c r="C85" s="293">
        <f t="shared" si="36"/>
        <v>4.4972294117647047E-6</v>
      </c>
      <c r="D85" s="294">
        <f>'AL Melting - Natural Gas'!F75</f>
        <v>1.0267647058823528E-6</v>
      </c>
      <c r="E85" s="293">
        <f t="shared" si="37"/>
        <v>4.4972294117647047E-6</v>
      </c>
      <c r="F85" s="294">
        <f>'AL Melting - Natural Gas'!F111</f>
        <v>1.0267647058823528E-6</v>
      </c>
      <c r="G85" s="293">
        <f t="shared" si="38"/>
        <v>4.4972294117647047E-6</v>
      </c>
      <c r="H85" s="294">
        <f>'AL Melting - Natural Gas'!F147</f>
        <v>1.0267647058823528E-6</v>
      </c>
      <c r="I85" s="293">
        <f t="shared" si="39"/>
        <v>4.4972294117647047E-6</v>
      </c>
      <c r="J85" s="294">
        <f>'AL Melting - Natural Gas'!F183</f>
        <v>1.0267647058823528E-6</v>
      </c>
      <c r="K85" s="293">
        <f t="shared" si="40"/>
        <v>4.4972294117647047E-6</v>
      </c>
      <c r="L85" s="331">
        <f>'AL Melting - Natural Gas'!G39+'AL Melting - Natural Gas'!G75+'AL Melting - Natural Gas'!G111+'AL Melting - Natural Gas'!G147+'AL Melting - Natural Gas'!G183</f>
        <v>2.2486147058823524E-5</v>
      </c>
    </row>
    <row r="86" spans="1:12">
      <c r="A86" s="319" t="s">
        <v>103</v>
      </c>
      <c r="B86" s="297">
        <f>'AL Melting - Natural Gas'!F40</f>
        <v>3.5294117647058824E-8</v>
      </c>
      <c r="C86" s="293">
        <f t="shared" si="36"/>
        <v>1.5458823529411765E-7</v>
      </c>
      <c r="D86" s="294">
        <f>'AL Melting - Natural Gas'!F76</f>
        <v>3.5294117647058824E-8</v>
      </c>
      <c r="E86" s="293">
        <f t="shared" si="37"/>
        <v>1.5458823529411765E-7</v>
      </c>
      <c r="F86" s="294">
        <f>'AL Melting - Natural Gas'!F112</f>
        <v>3.5294117647058824E-8</v>
      </c>
      <c r="G86" s="293">
        <f t="shared" si="38"/>
        <v>1.5458823529411765E-7</v>
      </c>
      <c r="H86" s="294">
        <f>'AL Melting - Natural Gas'!F148</f>
        <v>3.5294117647058824E-8</v>
      </c>
      <c r="I86" s="293">
        <f t="shared" si="39"/>
        <v>1.5458823529411765E-7</v>
      </c>
      <c r="J86" s="294">
        <f>'AL Melting - Natural Gas'!F184</f>
        <v>3.5294117647058824E-8</v>
      </c>
      <c r="K86" s="293">
        <f t="shared" si="40"/>
        <v>1.5458823529411765E-7</v>
      </c>
      <c r="L86" s="331">
        <f>'AL Melting - Natural Gas'!G40+'AL Melting - Natural Gas'!G76+'AL Melting - Natural Gas'!G112+'AL Melting - Natural Gas'!G148+'AL Melting - Natural Gas'!G184</f>
        <v>7.7294117647058823E-7</v>
      </c>
    </row>
    <row r="87" spans="1:12" ht="13.5" thickBot="1">
      <c r="A87" s="322" t="s">
        <v>104</v>
      </c>
      <c r="B87" s="302">
        <f>'AL Melting - Natural Gas'!F41</f>
        <v>4.9999999999999996E-6</v>
      </c>
      <c r="C87" s="303">
        <f t="shared" si="36"/>
        <v>2.19E-5</v>
      </c>
      <c r="D87" s="304">
        <f>'AL Melting - Natural Gas'!F77</f>
        <v>4.9999999999999996E-6</v>
      </c>
      <c r="E87" s="303">
        <f t="shared" si="37"/>
        <v>2.19E-5</v>
      </c>
      <c r="F87" s="304">
        <f>'AL Melting - Natural Gas'!F113</f>
        <v>4.9999999999999996E-6</v>
      </c>
      <c r="G87" s="303">
        <f t="shared" si="38"/>
        <v>2.19E-5</v>
      </c>
      <c r="H87" s="304">
        <f>'AL Melting - Natural Gas'!F149</f>
        <v>4.9999999999999996E-6</v>
      </c>
      <c r="I87" s="303">
        <f t="shared" si="39"/>
        <v>2.19E-5</v>
      </c>
      <c r="J87" s="304">
        <f>'AL Melting - Natural Gas'!F185</f>
        <v>4.9999999999999996E-6</v>
      </c>
      <c r="K87" s="303">
        <f t="shared" si="40"/>
        <v>2.19E-5</v>
      </c>
      <c r="L87" s="333">
        <f>'AL Melting - Natural Gas'!G41+'AL Melting - Natural Gas'!G77+'AL Melting - Natural Gas'!G113+'AL Melting - Natural Gas'!G149+'AL Melting - Natural Gas'!G185</f>
        <v>1.0950000000000001E-4</v>
      </c>
    </row>
  </sheetData>
  <mergeCells count="15">
    <mergeCell ref="J57:K57"/>
    <mergeCell ref="B57:C57"/>
    <mergeCell ref="D57:E57"/>
    <mergeCell ref="F57:G57"/>
    <mergeCell ref="H57:I57"/>
    <mergeCell ref="A42:O43"/>
    <mergeCell ref="E4:G4"/>
    <mergeCell ref="A22:H23"/>
    <mergeCell ref="A45:O46"/>
    <mergeCell ref="A26:D26"/>
    <mergeCell ref="E26:F26"/>
    <mergeCell ref="G26:H26"/>
    <mergeCell ref="I26:J26"/>
    <mergeCell ref="K26:L26"/>
    <mergeCell ref="M26:N26"/>
  </mergeCells>
  <pageMargins left="0.7" right="0.7" top="0.75" bottom="0.75" header="0.3" footer="0.3"/>
  <pageSetup paperSize="3" scale="80" fitToHeight="0" orientation="landscape" r:id="rId1"/>
  <headerFooter>
    <oddHeader>&amp;C&amp;"Aptos Narrow,Bold"&amp;14&amp;A Emission Calculations</oddHeader>
    <oddFooter>&amp;L&amp;"Aptos Narrow,Regular"St. Paul Brass &amp; Aluminum Foundry (Facility ID: 12300001)
B2303515&amp;C&amp;"Aptos Narrow,Regular"
&amp;P of &amp;N&amp;R&amp;"Aptos Narrow,Regular"&amp;D</oddFooter>
  </headerFooter>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58237-7181-4656-ADA0-69943DCC47D8}">
  <sheetPr codeName="Sheet3">
    <pageSetUpPr fitToPage="1"/>
  </sheetPr>
  <dimension ref="A1:H22"/>
  <sheetViews>
    <sheetView zoomScaleNormal="100" workbookViewId="0">
      <selection activeCell="A14" sqref="A14:XFD14"/>
    </sheetView>
  </sheetViews>
  <sheetFormatPr defaultColWidth="9.1796875" defaultRowHeight="14.5"/>
  <cols>
    <col min="1" max="1" width="27.54296875" style="186" bestFit="1" customWidth="1"/>
    <col min="2" max="2" width="9.1796875" style="186"/>
    <col min="3" max="8" width="14.7265625" style="187" customWidth="1"/>
    <col min="9" max="16384" width="9.1796875" style="186"/>
  </cols>
  <sheetData>
    <row r="1" spans="1:8" ht="18.5">
      <c r="A1" s="185" t="s">
        <v>418</v>
      </c>
    </row>
    <row r="2" spans="1:8">
      <c r="A2" s="188" t="s">
        <v>419</v>
      </c>
    </row>
    <row r="3" spans="1:8">
      <c r="A3" s="189">
        <v>44924</v>
      </c>
    </row>
    <row r="4" spans="1:8" ht="15" thickBot="1">
      <c r="A4" s="188"/>
    </row>
    <row r="5" spans="1:8" ht="15" customHeight="1">
      <c r="C5" s="1551" t="s">
        <v>420</v>
      </c>
      <c r="D5" s="1552"/>
      <c r="E5" s="1552"/>
      <c r="F5" s="1552"/>
      <c r="G5" s="1553"/>
      <c r="H5" s="190" t="s">
        <v>421</v>
      </c>
    </row>
    <row r="6" spans="1:8" ht="15" thickBot="1">
      <c r="C6" s="1554" t="s">
        <v>422</v>
      </c>
      <c r="D6" s="1555"/>
      <c r="E6" s="1555"/>
      <c r="F6" s="1555"/>
      <c r="G6" s="1556"/>
      <c r="H6" s="191" t="s">
        <v>422</v>
      </c>
    </row>
    <row r="7" spans="1:8" ht="15" thickBot="1">
      <c r="A7" s="192" t="s">
        <v>423</v>
      </c>
      <c r="B7" s="193"/>
      <c r="C7" s="194" t="s">
        <v>424</v>
      </c>
      <c r="D7" s="195" t="s">
        <v>425</v>
      </c>
      <c r="E7" s="195" t="s">
        <v>426</v>
      </c>
      <c r="F7" s="195" t="s">
        <v>427</v>
      </c>
      <c r="G7" s="196" t="s">
        <v>428</v>
      </c>
      <c r="H7" s="197"/>
    </row>
    <row r="8" spans="1:8">
      <c r="A8" s="198" t="s">
        <v>429</v>
      </c>
      <c r="B8" s="199" t="s">
        <v>430</v>
      </c>
      <c r="C8" s="200">
        <v>6</v>
      </c>
      <c r="D8" s="201">
        <v>4.57</v>
      </c>
      <c r="E8" s="201">
        <v>7.2</v>
      </c>
      <c r="F8" s="201">
        <v>0.08</v>
      </c>
      <c r="G8" s="202">
        <v>0.12</v>
      </c>
      <c r="H8" s="203">
        <f>MAX(C8:G8)</f>
        <v>7.2</v>
      </c>
    </row>
    <row r="9" spans="1:8">
      <c r="A9" s="204" t="s">
        <v>268</v>
      </c>
      <c r="B9" s="205" t="s">
        <v>431</v>
      </c>
      <c r="C9" s="206">
        <v>0.17</v>
      </c>
      <c r="D9" s="207">
        <v>1.2E-2</v>
      </c>
      <c r="E9" s="207">
        <v>2E-3</v>
      </c>
      <c r="F9" s="207">
        <v>0.217</v>
      </c>
      <c r="G9" s="208">
        <v>9.1999999999999998E-2</v>
      </c>
      <c r="H9" s="210">
        <f t="shared" ref="H9:H22" si="0">MAX(C9:G9)</f>
        <v>0.217</v>
      </c>
    </row>
    <row r="10" spans="1:8">
      <c r="A10" s="204" t="s">
        <v>432</v>
      </c>
      <c r="B10" s="205" t="s">
        <v>433</v>
      </c>
      <c r="C10" s="206">
        <v>0.1</v>
      </c>
      <c r="D10" s="207">
        <v>0.01</v>
      </c>
      <c r="E10" s="207" t="s">
        <v>434</v>
      </c>
      <c r="F10" s="207" t="s">
        <v>434</v>
      </c>
      <c r="G10" s="208">
        <v>0.03</v>
      </c>
      <c r="H10" s="210">
        <f t="shared" si="0"/>
        <v>0.1</v>
      </c>
    </row>
    <row r="11" spans="1:8">
      <c r="A11" s="204" t="s">
        <v>337</v>
      </c>
      <c r="B11" s="205" t="s">
        <v>435</v>
      </c>
      <c r="C11" s="206">
        <v>0.09</v>
      </c>
      <c r="D11" s="207">
        <v>0.02</v>
      </c>
      <c r="E11" s="207">
        <v>3.0000000000000001E-3</v>
      </c>
      <c r="F11" s="207">
        <v>3.0000000000000001E-3</v>
      </c>
      <c r="G11" s="208">
        <v>7.5999999999999998E-2</v>
      </c>
      <c r="H11" s="210">
        <f t="shared" si="0"/>
        <v>0.09</v>
      </c>
    </row>
    <row r="12" spans="1:8">
      <c r="A12" s="204" t="s">
        <v>436</v>
      </c>
      <c r="B12" s="205" t="s">
        <v>437</v>
      </c>
      <c r="C12" s="206">
        <v>3.16</v>
      </c>
      <c r="D12" s="207">
        <v>1.26</v>
      </c>
      <c r="E12" s="207" t="s">
        <v>434</v>
      </c>
      <c r="F12" s="207" t="s">
        <v>434</v>
      </c>
      <c r="G12" s="208">
        <v>0.72</v>
      </c>
      <c r="H12" s="209">
        <f t="shared" si="0"/>
        <v>3.16</v>
      </c>
    </row>
    <row r="13" spans="1:8">
      <c r="A13" s="204" t="s">
        <v>438</v>
      </c>
      <c r="B13" s="205" t="s">
        <v>439</v>
      </c>
      <c r="C13" s="206">
        <v>0.02</v>
      </c>
      <c r="D13" s="207">
        <v>0.01</v>
      </c>
      <c r="E13" s="207">
        <v>0.01</v>
      </c>
      <c r="F13" s="207" t="s">
        <v>434</v>
      </c>
      <c r="G13" s="208">
        <v>0.01</v>
      </c>
      <c r="H13" s="209">
        <f t="shared" si="0"/>
        <v>0.02</v>
      </c>
    </row>
    <row r="14" spans="1:8">
      <c r="A14" s="204" t="s">
        <v>40</v>
      </c>
      <c r="B14" s="205" t="s">
        <v>440</v>
      </c>
      <c r="C14" s="206">
        <v>5.7000000000000002E-2</v>
      </c>
      <c r="D14" s="207" t="s">
        <v>434</v>
      </c>
      <c r="E14" s="207" t="s">
        <v>434</v>
      </c>
      <c r="F14" s="207" t="s">
        <v>434</v>
      </c>
      <c r="G14" s="208" t="s">
        <v>434</v>
      </c>
      <c r="H14" s="210">
        <f t="shared" si="0"/>
        <v>5.7000000000000002E-2</v>
      </c>
    </row>
    <row r="15" spans="1:8">
      <c r="A15" s="204" t="s">
        <v>441</v>
      </c>
      <c r="B15" s="205" t="s">
        <v>442</v>
      </c>
      <c r="C15" s="206">
        <v>0.72</v>
      </c>
      <c r="D15" s="207">
        <v>0.12</v>
      </c>
      <c r="E15" s="207">
        <v>0.08</v>
      </c>
      <c r="F15" s="207">
        <v>0.1</v>
      </c>
      <c r="G15" s="208">
        <v>0.57999999999999996</v>
      </c>
      <c r="H15" s="209">
        <f t="shared" si="0"/>
        <v>0.72</v>
      </c>
    </row>
    <row r="16" spans="1:8">
      <c r="A16" s="204" t="s">
        <v>443</v>
      </c>
      <c r="B16" s="205" t="s">
        <v>444</v>
      </c>
      <c r="C16" s="206" t="s">
        <v>445</v>
      </c>
      <c r="D16" s="207" t="s">
        <v>445</v>
      </c>
      <c r="E16" s="207" t="s">
        <v>445</v>
      </c>
      <c r="F16" s="207" t="s">
        <v>445</v>
      </c>
      <c r="G16" s="208" t="s">
        <v>445</v>
      </c>
      <c r="H16" s="209">
        <f t="shared" si="0"/>
        <v>0</v>
      </c>
    </row>
    <row r="17" spans="1:8">
      <c r="A17" s="204" t="s">
        <v>446</v>
      </c>
      <c r="B17" s="205" t="s">
        <v>447</v>
      </c>
      <c r="C17" s="206">
        <v>0.08</v>
      </c>
      <c r="D17" s="207">
        <v>0.47</v>
      </c>
      <c r="E17" s="207">
        <v>0.37</v>
      </c>
      <c r="F17" s="207">
        <v>6.1</v>
      </c>
      <c r="G17" s="208">
        <v>0.3</v>
      </c>
      <c r="H17" s="209">
        <f t="shared" si="0"/>
        <v>6.1</v>
      </c>
    </row>
    <row r="18" spans="1:8">
      <c r="A18" s="204" t="s">
        <v>448</v>
      </c>
      <c r="B18" s="205" t="s">
        <v>449</v>
      </c>
      <c r="C18" s="206">
        <v>0.04</v>
      </c>
      <c r="D18" s="207">
        <v>0.09</v>
      </c>
      <c r="E18" s="207">
        <v>0.12</v>
      </c>
      <c r="F18" s="207">
        <v>0.19</v>
      </c>
      <c r="G18" s="208">
        <v>0.13</v>
      </c>
      <c r="H18" s="209">
        <f t="shared" si="0"/>
        <v>0.19</v>
      </c>
    </row>
    <row r="19" spans="1:8">
      <c r="A19" s="204" t="s">
        <v>266</v>
      </c>
      <c r="B19" s="205" t="s">
        <v>450</v>
      </c>
      <c r="C19" s="206" t="s">
        <v>451</v>
      </c>
      <c r="D19" s="207" t="s">
        <v>451</v>
      </c>
      <c r="E19" s="207" t="s">
        <v>451</v>
      </c>
      <c r="F19" s="207" t="s">
        <v>451</v>
      </c>
      <c r="G19" s="208" t="s">
        <v>451</v>
      </c>
      <c r="H19" s="210">
        <v>1E-3</v>
      </c>
    </row>
    <row r="20" spans="1:8">
      <c r="A20" s="204" t="s">
        <v>452</v>
      </c>
      <c r="B20" s="205" t="s">
        <v>453</v>
      </c>
      <c r="C20" s="211" t="s">
        <v>454</v>
      </c>
      <c r="D20" s="212" t="s">
        <v>454</v>
      </c>
      <c r="E20" s="212" t="s">
        <v>454</v>
      </c>
      <c r="F20" s="207" t="s">
        <v>451</v>
      </c>
      <c r="G20" s="213" t="s">
        <v>454</v>
      </c>
      <c r="H20" s="209">
        <v>1E-3</v>
      </c>
    </row>
    <row r="21" spans="1:8">
      <c r="A21" s="204" t="s">
        <v>265</v>
      </c>
      <c r="B21" s="205" t="s">
        <v>455</v>
      </c>
      <c r="C21" s="206" t="s">
        <v>451</v>
      </c>
      <c r="D21" s="207" t="s">
        <v>451</v>
      </c>
      <c r="E21" s="207" t="s">
        <v>451</v>
      </c>
      <c r="F21" s="207">
        <v>4.0000000000000001E-3</v>
      </c>
      <c r="G21" s="208" t="s">
        <v>451</v>
      </c>
      <c r="H21" s="210">
        <f t="shared" si="0"/>
        <v>4.0000000000000001E-3</v>
      </c>
    </row>
    <row r="22" spans="1:8" ht="15" thickBot="1">
      <c r="A22" s="214" t="s">
        <v>456</v>
      </c>
      <c r="B22" s="215" t="s">
        <v>457</v>
      </c>
      <c r="C22" s="216">
        <v>1</v>
      </c>
      <c r="D22" s="217">
        <v>0.03</v>
      </c>
      <c r="E22" s="217" t="s">
        <v>434</v>
      </c>
      <c r="F22" s="217">
        <v>0.02</v>
      </c>
      <c r="G22" s="218">
        <v>7.08</v>
      </c>
      <c r="H22" s="219">
        <f t="shared" si="0"/>
        <v>7.08</v>
      </c>
    </row>
  </sheetData>
  <mergeCells count="2">
    <mergeCell ref="C5:G5"/>
    <mergeCell ref="C6:G6"/>
  </mergeCells>
  <pageMargins left="0.7" right="0.7" top="0.75" bottom="0.75" header="0.3" footer="0.3"/>
  <pageSetup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E9616-1589-42A7-BD15-E040F179478F}">
  <sheetPr codeName="Sheet6"/>
  <dimension ref="A1:H192"/>
  <sheetViews>
    <sheetView topLeftCell="A98" zoomScaleNormal="100" workbookViewId="0">
      <selection activeCell="E98" sqref="E98"/>
    </sheetView>
  </sheetViews>
  <sheetFormatPr defaultColWidth="9.1796875" defaultRowHeight="13"/>
  <cols>
    <col min="1" max="1" width="26.7265625" style="220" customWidth="1"/>
    <col min="2" max="8" width="19.7265625" style="220" customWidth="1"/>
    <col min="9" max="16384" width="9.1796875" style="220"/>
  </cols>
  <sheetData>
    <row r="1" spans="1:8" ht="18.5">
      <c r="A1" s="458" t="s">
        <v>275</v>
      </c>
      <c r="C1" s="221" t="s">
        <v>936</v>
      </c>
      <c r="D1" s="460"/>
      <c r="E1" s="460"/>
      <c r="F1" s="460"/>
      <c r="G1" s="460"/>
      <c r="H1" s="589" t="s">
        <v>59</v>
      </c>
    </row>
    <row r="2" spans="1:8" ht="18.5">
      <c r="A2" s="458"/>
      <c r="C2" s="221" t="s">
        <v>4</v>
      </c>
      <c r="D2" s="462"/>
      <c r="E2" s="462"/>
      <c r="F2" s="462"/>
      <c r="G2" s="462"/>
      <c r="H2" s="590" t="s">
        <v>60</v>
      </c>
    </row>
    <row r="3" spans="1:8" ht="18.5">
      <c r="A3" s="458"/>
      <c r="D3" s="463"/>
      <c r="E3" s="463"/>
      <c r="F3" s="463"/>
      <c r="G3" s="463"/>
      <c r="H3" s="591" t="s">
        <v>61</v>
      </c>
    </row>
    <row r="4" spans="1:8" ht="18.5">
      <c r="A4" s="458"/>
      <c r="D4" s="463"/>
      <c r="E4" s="463"/>
      <c r="F4" s="463"/>
      <c r="G4" s="463"/>
      <c r="H4" s="591" t="s">
        <v>62</v>
      </c>
    </row>
    <row r="5" spans="1:8" ht="13.5" thickBot="1">
      <c r="A5" s="516"/>
    </row>
    <row r="6" spans="1:8">
      <c r="A6" s="465"/>
      <c r="B6" s="466" t="s">
        <v>63</v>
      </c>
      <c r="C6" s="467" t="s">
        <v>276</v>
      </c>
      <c r="D6" s="468"/>
      <c r="E6" s="468"/>
      <c r="F6" s="468"/>
      <c r="G6" s="468"/>
      <c r="H6" s="469"/>
    </row>
    <row r="7" spans="1:8">
      <c r="A7" s="465"/>
      <c r="B7" s="470" t="s">
        <v>64</v>
      </c>
      <c r="C7" s="471">
        <f>'AL Melting'!G6</f>
        <v>1.5</v>
      </c>
      <c r="D7" s="465"/>
      <c r="E7" s="465"/>
      <c r="F7" s="465"/>
      <c r="G7" s="465"/>
      <c r="H7" s="472"/>
    </row>
    <row r="8" spans="1:8">
      <c r="A8" s="465"/>
      <c r="B8" s="470" t="s">
        <v>65</v>
      </c>
      <c r="C8" s="471">
        <f>C7/'AL Melting'!G20</f>
        <v>1.4705882352941176E-3</v>
      </c>
      <c r="D8" s="465"/>
      <c r="E8" s="465"/>
      <c r="F8" s="465"/>
      <c r="G8" s="465"/>
      <c r="H8" s="472"/>
    </row>
    <row r="9" spans="1:8">
      <c r="A9" s="465"/>
      <c r="B9" s="473" t="s">
        <v>66</v>
      </c>
      <c r="C9" s="474">
        <v>8760</v>
      </c>
      <c r="D9" s="465"/>
      <c r="E9" s="592"/>
      <c r="F9" s="465"/>
      <c r="G9" s="465"/>
      <c r="H9" s="472"/>
    </row>
    <row r="10" spans="1:8">
      <c r="A10" s="465"/>
      <c r="B10" s="473" t="s">
        <v>67</v>
      </c>
      <c r="C10" s="474"/>
      <c r="D10" s="465"/>
      <c r="E10" s="465"/>
      <c r="F10" s="465"/>
      <c r="G10" s="465"/>
      <c r="H10" s="472"/>
    </row>
    <row r="11" spans="1:8" ht="13.5" thickBot="1">
      <c r="A11" s="465"/>
      <c r="B11" s="475" t="s">
        <v>68</v>
      </c>
      <c r="C11" s="476" t="s">
        <v>69</v>
      </c>
      <c r="D11" s="477"/>
      <c r="E11" s="477"/>
      <c r="F11" s="477"/>
      <c r="G11" s="477"/>
      <c r="H11" s="478"/>
    </row>
    <row r="12" spans="1:8" ht="39.5" thickBot="1">
      <c r="A12" s="479" t="s">
        <v>70</v>
      </c>
      <c r="B12" s="480" t="s">
        <v>71</v>
      </c>
      <c r="C12" s="481" t="s">
        <v>72</v>
      </c>
      <c r="D12" s="481" t="s">
        <v>73</v>
      </c>
      <c r="E12" s="481" t="s">
        <v>831</v>
      </c>
      <c r="F12" s="482" t="s">
        <v>74</v>
      </c>
      <c r="G12" s="482" t="s">
        <v>75</v>
      </c>
      <c r="H12" s="483" t="s">
        <v>76</v>
      </c>
    </row>
    <row r="13" spans="1:8">
      <c r="A13" s="314" t="s">
        <v>19</v>
      </c>
      <c r="B13" s="484">
        <f>IFERROR(INDEX('Emission Factors'!$A$2:$CH$104,MATCH($A13,'Emission Factors'!$A$2:$A$104,0),MATCH(C$11,'Emission Factors'!$A$2:$CH$2,0)),"")</f>
        <v>7.6</v>
      </c>
      <c r="C13" s="485"/>
      <c r="D13" s="486"/>
      <c r="E13" s="487">
        <f t="shared" ref="E13:E21" si="0">IF(C13&gt;0,C13,B13)*C$8</f>
        <v>1.1176470588235293E-2</v>
      </c>
      <c r="F13" s="487">
        <f t="shared" ref="F13:F21" si="1">IF(C13&gt;0,C13,B13)*C$8*(1-D13)</f>
        <v>1.1176470588235293E-2</v>
      </c>
      <c r="G13" s="487">
        <f t="shared" ref="G13:G21" si="2">IF(C13&gt;0,C13,B13)*C$8*C$9/2000</f>
        <v>4.8952941176470581E-2</v>
      </c>
      <c r="H13" s="488">
        <f t="shared" ref="H13:H21" si="3">IF(C13&gt;0,C13,B13)*C$8*(1-D13)*C$10/2000</f>
        <v>0</v>
      </c>
    </row>
    <row r="14" spans="1:8">
      <c r="A14" s="319" t="s">
        <v>77</v>
      </c>
      <c r="B14" s="489">
        <f>IFERROR(INDEX('Emission Factors'!$A$2:$CH$104,MATCH($A14,'Emission Factors'!$A$2:$A$104,0),MATCH(C$11,'Emission Factors'!$A$2:$CH$2,0)),"")</f>
        <v>7.6</v>
      </c>
      <c r="C14" s="490"/>
      <c r="D14" s="491"/>
      <c r="E14" s="492">
        <f t="shared" si="0"/>
        <v>1.1176470588235293E-2</v>
      </c>
      <c r="F14" s="492">
        <f t="shared" si="1"/>
        <v>1.1176470588235293E-2</v>
      </c>
      <c r="G14" s="492">
        <f t="shared" si="2"/>
        <v>4.8952941176470581E-2</v>
      </c>
      <c r="H14" s="493">
        <f t="shared" si="3"/>
        <v>0</v>
      </c>
    </row>
    <row r="15" spans="1:8">
      <c r="A15" s="319" t="s">
        <v>78</v>
      </c>
      <c r="B15" s="489">
        <f>IFERROR(INDEX('Emission Factors'!$A$2:$CH$104,MATCH($A15,'Emission Factors'!$A$2:$A$104,0),MATCH(C$11,'Emission Factors'!$A$2:$CH$2,0)),"")</f>
        <v>7.6</v>
      </c>
      <c r="C15" s="490"/>
      <c r="D15" s="491"/>
      <c r="E15" s="492">
        <f t="shared" si="0"/>
        <v>1.1176470588235293E-2</v>
      </c>
      <c r="F15" s="492">
        <f t="shared" si="1"/>
        <v>1.1176470588235293E-2</v>
      </c>
      <c r="G15" s="492">
        <f t="shared" si="2"/>
        <v>4.8952941176470581E-2</v>
      </c>
      <c r="H15" s="493">
        <f t="shared" si="3"/>
        <v>0</v>
      </c>
    </row>
    <row r="16" spans="1:8">
      <c r="A16" s="319" t="s">
        <v>79</v>
      </c>
      <c r="B16" s="489">
        <f>IFERROR(INDEX('Emission Factors'!$A$2:$CH$104,MATCH($A16,'Emission Factors'!$A$2:$A$104,0),MATCH(C$11,'Emission Factors'!$A$2:$CH$2,0)),"")</f>
        <v>100</v>
      </c>
      <c r="C16" s="490"/>
      <c r="D16" s="491"/>
      <c r="E16" s="492">
        <f t="shared" si="0"/>
        <v>0.14705882352941177</v>
      </c>
      <c r="F16" s="492">
        <f t="shared" si="1"/>
        <v>0.14705882352941177</v>
      </c>
      <c r="G16" s="492">
        <f t="shared" si="2"/>
        <v>0.64411764705882357</v>
      </c>
      <c r="H16" s="493">
        <f t="shared" si="3"/>
        <v>0</v>
      </c>
    </row>
    <row r="17" spans="1:8">
      <c r="A17" s="319" t="s">
        <v>80</v>
      </c>
      <c r="B17" s="489">
        <f>IFERROR(INDEX('Emission Factors'!$A$2:$CH$104,MATCH($A17,'Emission Factors'!$A$2:$A$104,0),MATCH(C$11,'Emission Factors'!$A$2:$CH$2,0)),"")</f>
        <v>84</v>
      </c>
      <c r="C17" s="490"/>
      <c r="D17" s="491"/>
      <c r="E17" s="492">
        <f t="shared" si="0"/>
        <v>0.12352941176470589</v>
      </c>
      <c r="F17" s="492">
        <f t="shared" si="1"/>
        <v>0.12352941176470589</v>
      </c>
      <c r="G17" s="492">
        <f t="shared" si="2"/>
        <v>0.54105882352941181</v>
      </c>
      <c r="H17" s="493">
        <f t="shared" si="3"/>
        <v>0</v>
      </c>
    </row>
    <row r="18" spans="1:8">
      <c r="A18" s="319" t="s">
        <v>81</v>
      </c>
      <c r="B18" s="489">
        <f>IFERROR(INDEX('Emission Factors'!$A$2:$CH$104,MATCH($A18,'Emission Factors'!$A$2:$A$104,0),MATCH(C$11,'Emission Factors'!$A$2:$CH$2,0)),"")</f>
        <v>0.6</v>
      </c>
      <c r="C18" s="490"/>
      <c r="D18" s="491"/>
      <c r="E18" s="492">
        <f t="shared" si="0"/>
        <v>8.8235294117647051E-4</v>
      </c>
      <c r="F18" s="492">
        <f t="shared" si="1"/>
        <v>8.8235294117647051E-4</v>
      </c>
      <c r="G18" s="492">
        <f t="shared" si="2"/>
        <v>3.8647058823529407E-3</v>
      </c>
      <c r="H18" s="493">
        <f t="shared" si="3"/>
        <v>0</v>
      </c>
    </row>
    <row r="19" spans="1:8">
      <c r="A19" s="319" t="s">
        <v>82</v>
      </c>
      <c r="B19" s="489">
        <f>IFERROR(INDEX('Emission Factors'!$A$2:$CH$104,MATCH($A19,'Emission Factors'!$A$2:$A$104,0),MATCH(C$11,'Emission Factors'!$A$2:$CH$2,0)),"")</f>
        <v>5.5</v>
      </c>
      <c r="C19" s="490"/>
      <c r="D19" s="491"/>
      <c r="E19" s="492">
        <f t="shared" si="0"/>
        <v>8.0882352941176461E-3</v>
      </c>
      <c r="F19" s="492">
        <f t="shared" si="1"/>
        <v>8.0882352941176461E-3</v>
      </c>
      <c r="G19" s="492">
        <f t="shared" si="2"/>
        <v>3.5426470588235288E-2</v>
      </c>
      <c r="H19" s="493">
        <f t="shared" si="3"/>
        <v>0</v>
      </c>
    </row>
    <row r="20" spans="1:8">
      <c r="A20" s="319" t="s">
        <v>83</v>
      </c>
      <c r="B20" s="489">
        <f>IFERROR(INDEX('Emission Factors'!$A$2:$CH$104,MATCH($A20,'Emission Factors'!$A$2:$A$104,0),MATCH(C$11,'Emission Factors'!$A$2:$CH$2,0)),"")</f>
        <v>5.0000000000000001E-4</v>
      </c>
      <c r="C20" s="490"/>
      <c r="D20" s="491"/>
      <c r="E20" s="492">
        <f t="shared" si="0"/>
        <v>7.3529411764705886E-7</v>
      </c>
      <c r="F20" s="492">
        <f t="shared" si="1"/>
        <v>7.3529411764705886E-7</v>
      </c>
      <c r="G20" s="492">
        <f t="shared" si="2"/>
        <v>3.2205882352941177E-6</v>
      </c>
      <c r="H20" s="493">
        <f t="shared" si="3"/>
        <v>0</v>
      </c>
    </row>
    <row r="21" spans="1:8" ht="13.5" thickBot="1">
      <c r="A21" s="322" t="s">
        <v>84</v>
      </c>
      <c r="B21" s="494">
        <f>IFERROR(INDEX('Emission Factors'!$A$2:$CH$104,MATCH($A21,'Emission Factors'!$A$2:$A$104,0),MATCH(C$11,'Emission Factors'!$A$2:$CH$2,0)),"")</f>
        <v>1.8879582000000001</v>
      </c>
      <c r="C21" s="495"/>
      <c r="D21" s="496"/>
      <c r="E21" s="497">
        <f t="shared" si="0"/>
        <v>2.7764091176470588E-3</v>
      </c>
      <c r="F21" s="497">
        <f t="shared" si="1"/>
        <v>2.7764091176470588E-3</v>
      </c>
      <c r="G21" s="497">
        <f t="shared" si="2"/>
        <v>1.2160671935294118E-2</v>
      </c>
      <c r="H21" s="498">
        <f t="shared" si="3"/>
        <v>0</v>
      </c>
    </row>
    <row r="22" spans="1:8">
      <c r="A22" s="314" t="s">
        <v>85</v>
      </c>
      <c r="B22" s="484">
        <f>IFERROR(INDEX('Emission Factors'!$A$2:$CH$104,MATCH($A22,'Emission Factors'!$A$2:$A$104,0),MATCH(C$11,'Emission Factors'!$A$2:$CH$2,0))*2.2046,"")</f>
        <v>116.97607600000001</v>
      </c>
      <c r="C22" s="485"/>
      <c r="D22" s="486"/>
      <c r="E22" s="487">
        <f>IF(C22&gt;0,C22,B22)*C$7</f>
        <v>175.464114</v>
      </c>
      <c r="F22" s="487">
        <f>IF(C22&gt;0,C22,B22)*C$7*(1-D22)</f>
        <v>175.464114</v>
      </c>
      <c r="G22" s="487">
        <f>IF(C22&gt;0,C22,B22)*C$7*C$9/2000</f>
        <v>768.53281932000004</v>
      </c>
      <c r="H22" s="488">
        <f>IF(C22&gt;0,C22,B22)*C$7*(1-D22)*C$10/2000</f>
        <v>0</v>
      </c>
    </row>
    <row r="23" spans="1:8">
      <c r="A23" s="319" t="s">
        <v>86</v>
      </c>
      <c r="B23" s="489">
        <f>IFERROR(INDEX('Emission Factors'!$A$2:$CH$104,MATCH($A23,'Emission Factors'!$A$2:$A$104,0),MATCH(C$11,'Emission Factors'!$A$2:$CH$2,0))*2.2046,"")</f>
        <v>2.2046000000000001E-3</v>
      </c>
      <c r="C23" s="490"/>
      <c r="D23" s="491"/>
      <c r="E23" s="492">
        <f>IF(C23&gt;0,C23,B23)*C$7</f>
        <v>3.3069000000000002E-3</v>
      </c>
      <c r="F23" s="492">
        <f>IF(C23&gt;0,C23,B23)*C$7*(1-D23)</f>
        <v>3.3069000000000002E-3</v>
      </c>
      <c r="G23" s="492">
        <f>IF(C23&gt;0,C23,B23)*C$7*C$9/2000</f>
        <v>1.4484222000000001E-2</v>
      </c>
      <c r="H23" s="493">
        <f>IF(C23&gt;0,C23,B23)*C$7*(1-D23)*C$10/2000</f>
        <v>0</v>
      </c>
    </row>
    <row r="24" spans="1:8">
      <c r="A24" s="319" t="s">
        <v>87</v>
      </c>
      <c r="B24" s="489">
        <f>IFERROR(INDEX('Emission Factors'!$A$2:$CH$104,MATCH($A24,'Emission Factors'!$A$2:$A$104,0),MATCH(C$11,'Emission Factors'!$A$2:$CH$2,0))*2.2046,"")</f>
        <v>2.2046000000000001E-4</v>
      </c>
      <c r="C24" s="490"/>
      <c r="D24" s="491"/>
      <c r="E24" s="492">
        <f>IF(C24&gt;0,C24,B24)*C$7</f>
        <v>3.3069000000000002E-4</v>
      </c>
      <c r="F24" s="492">
        <f>IF(C24&gt;0,C24,B24)*C$7*(1-D24)</f>
        <v>3.3069000000000002E-4</v>
      </c>
      <c r="G24" s="492">
        <f>IF(C24&gt;0,C24,B24)*C$7*C$9/2000</f>
        <v>1.4484222000000001E-3</v>
      </c>
      <c r="H24" s="493">
        <f>IF(C24&gt;0,C24,B24)*C$7*(1-D24)*C$10/2000</f>
        <v>0</v>
      </c>
    </row>
    <row r="25" spans="1:8" ht="13.5" thickBot="1">
      <c r="A25" s="322" t="s">
        <v>88</v>
      </c>
      <c r="B25" s="499">
        <f>IFERROR(INDEX('Emission Factors'!$A$2:$CH$104,MATCH($A25,'Emission Factors'!$A$2:$A$104,0),MATCH(C$11,'Emission Factors'!$A$2:$CH$2,0))*2.2046,"")</f>
        <v>117.09688808000001</v>
      </c>
      <c r="C25" s="500"/>
      <c r="D25" s="501"/>
      <c r="E25" s="502">
        <f>IF(C25&gt;0,C25,B25)*C$7</f>
        <v>175.64533212000003</v>
      </c>
      <c r="F25" s="502">
        <f>IF(C25&gt;0,C25,B25)*C$7*(1-D25)</f>
        <v>175.64533212000003</v>
      </c>
      <c r="G25" s="502">
        <f>IF(C25&gt;0,C25,B25)*C$7*C$9/2000</f>
        <v>769.32655468560006</v>
      </c>
      <c r="H25" s="503">
        <f>IF(C25&gt;0,C25,B25)*C$7*(1-D25)*C$10/2000</f>
        <v>0</v>
      </c>
    </row>
    <row r="26" spans="1:8">
      <c r="A26" s="314" t="s">
        <v>89</v>
      </c>
      <c r="B26" s="504">
        <f>IFERROR(INDEX('Emission Factors'!$A$2:$CH$104,MATCH($A26,'Emission Factors'!$A$2:$A$104,0),MATCH(C$11,'Emission Factors'!$A$2:$CH$2,0)),"")</f>
        <v>1.1999999999999999E-3</v>
      </c>
      <c r="C26" s="485"/>
      <c r="D26" s="486"/>
      <c r="E26" s="505">
        <f t="shared" ref="E26:E41" si="4">IF(C26&gt;0,C26,B26)*C$8</f>
        <v>1.764705882352941E-6</v>
      </c>
      <c r="F26" s="505">
        <f t="shared" ref="F26:F41" si="5">IF(C26&gt;0,C26,B26)*C$8*(1-D26)</f>
        <v>1.764705882352941E-6</v>
      </c>
      <c r="G26" s="505">
        <f t="shared" ref="G26:G41" si="6">IF(C26&gt;0,C26,B26)*C$8*C$9/2000</f>
        <v>7.7294117647058808E-6</v>
      </c>
      <c r="H26" s="506">
        <f t="shared" ref="H26:H41" si="7">IF(C26&gt;0,C26,B26)*C$8*(1-D26)*C$10/2000</f>
        <v>0</v>
      </c>
    </row>
    <row r="27" spans="1:8">
      <c r="A27" s="327" t="s">
        <v>90</v>
      </c>
      <c r="B27" s="504">
        <f>IFERROR(INDEX('Emission Factors'!$A$2:$CH$104,MATCH($A27,'Emission Factors'!$A$2:$A$104,0),MATCH(C$11,'Emission Factors'!$A$2:$CH$2,0)),"")</f>
        <v>2.0000000000000001E-4</v>
      </c>
      <c r="C27" s="507"/>
      <c r="D27" s="508"/>
      <c r="E27" s="505">
        <f t="shared" si="4"/>
        <v>2.9411764705882356E-7</v>
      </c>
      <c r="F27" s="505">
        <f t="shared" si="5"/>
        <v>2.9411764705882356E-7</v>
      </c>
      <c r="G27" s="505">
        <f t="shared" si="6"/>
        <v>1.2882352941176471E-6</v>
      </c>
      <c r="H27" s="506">
        <f t="shared" si="7"/>
        <v>0</v>
      </c>
    </row>
    <row r="28" spans="1:8">
      <c r="A28" s="319" t="s">
        <v>91</v>
      </c>
      <c r="B28" s="489">
        <f>IFERROR(INDEX('Emission Factors'!$A$2:$CH$104,MATCH($A28,'Emission Factors'!$A$2:$A$104,0),MATCH(C$11,'Emission Factors'!$A$2:$CH$2,0)),"")</f>
        <v>2.0999999999999999E-3</v>
      </c>
      <c r="C28" s="490"/>
      <c r="D28" s="491"/>
      <c r="E28" s="492">
        <f t="shared" si="4"/>
        <v>3.0882352941176468E-6</v>
      </c>
      <c r="F28" s="492">
        <f t="shared" si="5"/>
        <v>3.0882352941176468E-6</v>
      </c>
      <c r="G28" s="492">
        <f t="shared" si="6"/>
        <v>1.3526470588235293E-5</v>
      </c>
      <c r="H28" s="493">
        <f t="shared" si="7"/>
        <v>0</v>
      </c>
    </row>
    <row r="29" spans="1:8">
      <c r="A29" s="319" t="s">
        <v>92</v>
      </c>
      <c r="B29" s="489">
        <f>IFERROR(INDEX('Emission Factors'!$A$2:$CH$104,MATCH($A29,'Emission Factors'!$A$2:$A$104,0),MATCH(C$11,'Emission Factors'!$A$2:$CH$2,0)),"")</f>
        <v>1.2E-5</v>
      </c>
      <c r="C29" s="490"/>
      <c r="D29" s="491"/>
      <c r="E29" s="492">
        <f t="shared" si="4"/>
        <v>1.7647058823529412E-8</v>
      </c>
      <c r="F29" s="492">
        <f t="shared" si="5"/>
        <v>1.7647058823529412E-8</v>
      </c>
      <c r="G29" s="492">
        <f t="shared" si="6"/>
        <v>7.7294117647058823E-8</v>
      </c>
      <c r="H29" s="493">
        <f t="shared" si="7"/>
        <v>0</v>
      </c>
    </row>
    <row r="30" spans="1:8">
      <c r="A30" s="319" t="s">
        <v>93</v>
      </c>
      <c r="B30" s="489">
        <f>IFERROR(INDEX('Emission Factors'!$A$2:$CH$104,MATCH($A30,'Emission Factors'!$A$2:$A$104,0),MATCH(C$11,'Emission Factors'!$A$2:$CH$2,0)),"")</f>
        <v>1.1000000000000001E-3</v>
      </c>
      <c r="C30" s="490"/>
      <c r="D30" s="491"/>
      <c r="E30" s="492">
        <f t="shared" si="4"/>
        <v>1.6176470588235295E-6</v>
      </c>
      <c r="F30" s="492">
        <f t="shared" si="5"/>
        <v>1.6176470588235295E-6</v>
      </c>
      <c r="G30" s="492">
        <f t="shared" si="6"/>
        <v>7.0852941176470598E-6</v>
      </c>
      <c r="H30" s="493">
        <f t="shared" si="7"/>
        <v>0</v>
      </c>
    </row>
    <row r="31" spans="1:8">
      <c r="A31" s="319" t="s">
        <v>94</v>
      </c>
      <c r="B31" s="489">
        <f>IFERROR(INDEX('Emission Factors'!$A$2:$CH$104,MATCH($A31,'Emission Factors'!$A$2:$A$104,0),MATCH(C$11,'Emission Factors'!$A$2:$CH$2,0)),"")</f>
        <v>1.4E-3</v>
      </c>
      <c r="C31" s="490"/>
      <c r="D31" s="491"/>
      <c r="E31" s="492">
        <f t="shared" si="4"/>
        <v>2.0588235294117645E-6</v>
      </c>
      <c r="F31" s="492">
        <f t="shared" si="5"/>
        <v>2.0588235294117645E-6</v>
      </c>
      <c r="G31" s="492">
        <f t="shared" si="6"/>
        <v>9.0176470588235279E-6</v>
      </c>
      <c r="H31" s="493">
        <f t="shared" si="7"/>
        <v>0</v>
      </c>
    </row>
    <row r="32" spans="1:8">
      <c r="A32" s="319" t="s">
        <v>95</v>
      </c>
      <c r="B32" s="489">
        <f>IFERROR(INDEX('Emission Factors'!$A$2:$CH$104,MATCH($A32,'Emission Factors'!$A$2:$A$104,0),MATCH(C$11,'Emission Factors'!$A$2:$CH$2,0)),"")</f>
        <v>8.3999999999999995E-5</v>
      </c>
      <c r="C32" s="490"/>
      <c r="D32" s="491"/>
      <c r="E32" s="492">
        <f t="shared" si="4"/>
        <v>1.2352941176470587E-7</v>
      </c>
      <c r="F32" s="492">
        <f t="shared" si="5"/>
        <v>1.2352941176470587E-7</v>
      </c>
      <c r="G32" s="492">
        <f t="shared" si="6"/>
        <v>5.4105882352941171E-7</v>
      </c>
      <c r="H32" s="493">
        <f t="shared" si="7"/>
        <v>0</v>
      </c>
    </row>
    <row r="33" spans="1:8">
      <c r="A33" s="319" t="s">
        <v>96</v>
      </c>
      <c r="B33" s="489">
        <f>IFERROR(INDEX('Emission Factors'!$A$2:$CH$104,MATCH($A33,'Emission Factors'!$A$2:$A$104,0),MATCH(C$11,'Emission Factors'!$A$2:$CH$2,0)),"")</f>
        <v>7.4999999999999997E-2</v>
      </c>
      <c r="C33" s="490"/>
      <c r="D33" s="491"/>
      <c r="E33" s="492">
        <f t="shared" si="4"/>
        <v>1.1029411764705881E-4</v>
      </c>
      <c r="F33" s="492">
        <f t="shared" si="5"/>
        <v>1.1029411764705881E-4</v>
      </c>
      <c r="G33" s="492">
        <f t="shared" si="6"/>
        <v>4.8308823529411758E-4</v>
      </c>
      <c r="H33" s="493">
        <f t="shared" si="7"/>
        <v>0</v>
      </c>
    </row>
    <row r="34" spans="1:8">
      <c r="A34" s="319" t="s">
        <v>97</v>
      </c>
      <c r="B34" s="489">
        <f>IFERROR(INDEX('Emission Factors'!$A$2:$CH$104,MATCH($A34,'Emission Factors'!$A$2:$A$104,0),MATCH(C$11,'Emission Factors'!$A$2:$CH$2,0)),"")</f>
        <v>1.8</v>
      </c>
      <c r="C34" s="490"/>
      <c r="D34" s="491"/>
      <c r="E34" s="492">
        <f t="shared" si="4"/>
        <v>2.6470588235294116E-3</v>
      </c>
      <c r="F34" s="492">
        <f t="shared" si="5"/>
        <v>2.6470588235294116E-3</v>
      </c>
      <c r="G34" s="492">
        <f t="shared" si="6"/>
        <v>1.1594117647058822E-2</v>
      </c>
      <c r="H34" s="493">
        <f t="shared" si="7"/>
        <v>0</v>
      </c>
    </row>
    <row r="35" spans="1:8">
      <c r="A35" s="319" t="s">
        <v>98</v>
      </c>
      <c r="B35" s="489">
        <f>IFERROR(INDEX('Emission Factors'!$A$2:$CH$104,MATCH($A35,'Emission Factors'!$A$2:$A$104,0),MATCH(C$11,'Emission Factors'!$A$2:$CH$2,0)),"")</f>
        <v>3.8000000000000002E-4</v>
      </c>
      <c r="C35" s="490"/>
      <c r="D35" s="491"/>
      <c r="E35" s="492">
        <f t="shared" si="4"/>
        <v>5.588235294117647E-7</v>
      </c>
      <c r="F35" s="492">
        <f t="shared" si="5"/>
        <v>5.588235294117647E-7</v>
      </c>
      <c r="G35" s="492">
        <f t="shared" si="6"/>
        <v>2.4476470588235294E-6</v>
      </c>
      <c r="H35" s="493">
        <f t="shared" si="7"/>
        <v>0</v>
      </c>
    </row>
    <row r="36" spans="1:8">
      <c r="A36" s="319" t="s">
        <v>99</v>
      </c>
      <c r="B36" s="489">
        <f>IFERROR(INDEX('Emission Factors'!$A$2:$CH$104,MATCH($A36,'Emission Factors'!$A$2:$A$104,0),MATCH(C$11,'Emission Factors'!$A$2:$CH$2,0)),"")</f>
        <v>2.5999999999999998E-4</v>
      </c>
      <c r="C36" s="490"/>
      <c r="D36" s="491"/>
      <c r="E36" s="492">
        <f t="shared" si="4"/>
        <v>3.8235294117647053E-7</v>
      </c>
      <c r="F36" s="492">
        <f t="shared" si="5"/>
        <v>3.8235294117647053E-7</v>
      </c>
      <c r="G36" s="492">
        <f t="shared" si="6"/>
        <v>1.674705882352941E-6</v>
      </c>
      <c r="H36" s="493">
        <f t="shared" si="7"/>
        <v>0</v>
      </c>
    </row>
    <row r="37" spans="1:8">
      <c r="A37" s="319" t="s">
        <v>100</v>
      </c>
      <c r="B37" s="489">
        <f>IFERROR(INDEX('Emission Factors'!$A$2:$CH$104,MATCH($A37,'Emission Factors'!$A$2:$A$104,0),MATCH(C$11,'Emission Factors'!$A$2:$CH$2,0)),"")</f>
        <v>6.0999999999999997E-4</v>
      </c>
      <c r="C37" s="490"/>
      <c r="D37" s="491"/>
      <c r="E37" s="492">
        <f t="shared" si="4"/>
        <v>8.9705882352941166E-7</v>
      </c>
      <c r="F37" s="492">
        <f t="shared" si="5"/>
        <v>8.9705882352941166E-7</v>
      </c>
      <c r="G37" s="492">
        <f t="shared" si="6"/>
        <v>3.9291176470588234E-6</v>
      </c>
      <c r="H37" s="493">
        <f t="shared" si="7"/>
        <v>0</v>
      </c>
    </row>
    <row r="38" spans="1:8">
      <c r="A38" s="319" t="s">
        <v>101</v>
      </c>
      <c r="B38" s="489">
        <f>IFERROR(INDEX('Emission Factors'!$A$2:$CH$104,MATCH($A38,'Emission Factors'!$A$2:$A$104,0),MATCH(C$11,'Emission Factors'!$A$2:$CH$2,0)),"")</f>
        <v>2.0999999999999999E-3</v>
      </c>
      <c r="C38" s="490"/>
      <c r="D38" s="491"/>
      <c r="E38" s="492">
        <f t="shared" si="4"/>
        <v>3.0882352941176468E-6</v>
      </c>
      <c r="F38" s="492">
        <f t="shared" si="5"/>
        <v>3.0882352941176468E-6</v>
      </c>
      <c r="G38" s="492">
        <f t="shared" si="6"/>
        <v>1.3526470588235293E-5</v>
      </c>
      <c r="H38" s="493">
        <f t="shared" si="7"/>
        <v>0</v>
      </c>
    </row>
    <row r="39" spans="1:8">
      <c r="A39" s="319" t="s">
        <v>102</v>
      </c>
      <c r="B39" s="489">
        <f>IFERROR(INDEX('Emission Factors'!$A$2:$CH$104,MATCH($A39,'Emission Factors'!$A$2:$A$104,0),MATCH(C$11,'Emission Factors'!$A$2:$CH$2,0)),"")</f>
        <v>6.9819999999999995E-4</v>
      </c>
      <c r="C39" s="490"/>
      <c r="D39" s="491"/>
      <c r="E39" s="492">
        <f t="shared" si="4"/>
        <v>1.0267647058823528E-6</v>
      </c>
      <c r="F39" s="492">
        <f t="shared" si="5"/>
        <v>1.0267647058823528E-6</v>
      </c>
      <c r="G39" s="492">
        <f t="shared" si="6"/>
        <v>4.4972294117647047E-6</v>
      </c>
      <c r="H39" s="493">
        <f t="shared" si="7"/>
        <v>0</v>
      </c>
    </row>
    <row r="40" spans="1:8">
      <c r="A40" s="319" t="s">
        <v>103</v>
      </c>
      <c r="B40" s="489">
        <f>IFERROR(INDEX('Emission Factors'!$A$2:$CH$104,MATCH($A40,'Emission Factors'!$A$2:$A$104,0),MATCH(C$11,'Emission Factors'!$A$2:$CH$2,0)),"")</f>
        <v>2.4000000000000001E-5</v>
      </c>
      <c r="C40" s="490"/>
      <c r="D40" s="491"/>
      <c r="E40" s="492">
        <f t="shared" si="4"/>
        <v>3.5294117647058824E-8</v>
      </c>
      <c r="F40" s="492">
        <f t="shared" si="5"/>
        <v>3.5294117647058824E-8</v>
      </c>
      <c r="G40" s="492">
        <f t="shared" si="6"/>
        <v>1.5458823529411765E-7</v>
      </c>
      <c r="H40" s="493">
        <f t="shared" si="7"/>
        <v>0</v>
      </c>
    </row>
    <row r="41" spans="1:8" ht="13.5" thickBot="1">
      <c r="A41" s="322" t="s">
        <v>104</v>
      </c>
      <c r="B41" s="499">
        <f>IFERROR(INDEX('Emission Factors'!$A$2:$CH$104,MATCH($A41,'Emission Factors'!$A$2:$A$104,0),MATCH(C$11,'Emission Factors'!$A$2:$CH$2,0)),"")</f>
        <v>3.3999999999999998E-3</v>
      </c>
      <c r="C41" s="500"/>
      <c r="D41" s="501"/>
      <c r="E41" s="502">
        <f t="shared" si="4"/>
        <v>4.9999999999999996E-6</v>
      </c>
      <c r="F41" s="502">
        <f t="shared" si="5"/>
        <v>4.9999999999999996E-6</v>
      </c>
      <c r="G41" s="502">
        <f t="shared" si="6"/>
        <v>2.19E-5</v>
      </c>
      <c r="H41" s="503">
        <f t="shared" si="7"/>
        <v>0</v>
      </c>
    </row>
    <row r="42" spans="1:8">
      <c r="A42" s="465"/>
      <c r="B42" s="466" t="s">
        <v>63</v>
      </c>
      <c r="C42" s="467" t="s">
        <v>277</v>
      </c>
      <c r="D42" s="468"/>
      <c r="E42" s="468"/>
      <c r="F42" s="468"/>
      <c r="G42" s="468"/>
      <c r="H42" s="469"/>
    </row>
    <row r="43" spans="1:8">
      <c r="A43" s="465"/>
      <c r="B43" s="470" t="s">
        <v>64</v>
      </c>
      <c r="C43" s="471">
        <f>'AL Melting'!G8</f>
        <v>1.5</v>
      </c>
      <c r="D43" s="465"/>
      <c r="E43" s="465"/>
      <c r="F43" s="465"/>
      <c r="G43" s="465"/>
      <c r="H43" s="472"/>
    </row>
    <row r="44" spans="1:8">
      <c r="A44" s="465"/>
      <c r="B44" s="470" t="s">
        <v>65</v>
      </c>
      <c r="C44" s="471">
        <f>C43/'AL Melting'!$G$20</f>
        <v>1.4705882352941176E-3</v>
      </c>
      <c r="D44" s="465"/>
      <c r="E44" s="465"/>
      <c r="F44" s="465"/>
      <c r="G44" s="465"/>
      <c r="H44" s="472"/>
    </row>
    <row r="45" spans="1:8">
      <c r="A45" s="465"/>
      <c r="B45" s="473" t="s">
        <v>66</v>
      </c>
      <c r="C45" s="474">
        <v>8760</v>
      </c>
      <c r="D45" s="465"/>
      <c r="E45" s="465"/>
      <c r="F45" s="465"/>
      <c r="G45" s="465"/>
      <c r="H45" s="472"/>
    </row>
    <row r="46" spans="1:8">
      <c r="A46" s="465"/>
      <c r="B46" s="473" t="s">
        <v>67</v>
      </c>
      <c r="C46" s="474"/>
      <c r="D46" s="465"/>
      <c r="E46" s="465"/>
      <c r="F46" s="465"/>
      <c r="G46" s="465"/>
      <c r="H46" s="472"/>
    </row>
    <row r="47" spans="1:8" ht="13.5" thickBot="1">
      <c r="A47" s="465"/>
      <c r="B47" s="475" t="s">
        <v>68</v>
      </c>
      <c r="C47" s="476" t="s">
        <v>69</v>
      </c>
      <c r="D47" s="477"/>
      <c r="E47" s="477"/>
      <c r="F47" s="477"/>
      <c r="G47" s="477"/>
      <c r="H47" s="478"/>
    </row>
    <row r="48" spans="1:8" ht="26.5" thickBot="1">
      <c r="A48" s="479" t="s">
        <v>70</v>
      </c>
      <c r="B48" s="480" t="s">
        <v>71</v>
      </c>
      <c r="C48" s="481" t="s">
        <v>72</v>
      </c>
      <c r="D48" s="481" t="s">
        <v>73</v>
      </c>
      <c r="E48" s="481" t="s">
        <v>833</v>
      </c>
      <c r="F48" s="482" t="s">
        <v>279</v>
      </c>
      <c r="G48" s="482" t="s">
        <v>280</v>
      </c>
      <c r="H48" s="483" t="s">
        <v>281</v>
      </c>
    </row>
    <row r="49" spans="1:8">
      <c r="A49" s="314" t="s">
        <v>19</v>
      </c>
      <c r="B49" s="484">
        <f>IFERROR(INDEX('Emission Factors'!$A$2:$CH$104,MATCH($A49,'Emission Factors'!$A$2:$A$104,0),MATCH(C$11,'Emission Factors'!$A$2:$CH$2,0)),"")</f>
        <v>7.6</v>
      </c>
      <c r="C49" s="485"/>
      <c r="D49" s="486"/>
      <c r="E49" s="487">
        <f t="shared" ref="E49:E57" si="8">IF(C49&gt;0,C49,B49)*C$8</f>
        <v>1.1176470588235293E-2</v>
      </c>
      <c r="F49" s="487">
        <f t="shared" ref="F49:F57" si="9">IF(C49&gt;0,C49,B49)*C$8*(1-D49)</f>
        <v>1.1176470588235293E-2</v>
      </c>
      <c r="G49" s="487">
        <f t="shared" ref="G49:G57" si="10">IF(C49&gt;0,C49,B49)*C$8*C$9/2000</f>
        <v>4.8952941176470581E-2</v>
      </c>
      <c r="H49" s="488">
        <f t="shared" ref="H49:H57" si="11">IF(C49&gt;0,C49,B49)*C$8*(1-D49)*C$10/2000</f>
        <v>0</v>
      </c>
    </row>
    <row r="50" spans="1:8">
      <c r="A50" s="319" t="s">
        <v>77</v>
      </c>
      <c r="B50" s="489">
        <f>IFERROR(INDEX('Emission Factors'!$A$2:$CH$104,MATCH($A50,'Emission Factors'!$A$2:$A$104,0),MATCH(C$11,'Emission Factors'!$A$2:$CH$2,0)),"")</f>
        <v>7.6</v>
      </c>
      <c r="C50" s="490"/>
      <c r="D50" s="491"/>
      <c r="E50" s="492">
        <f t="shared" si="8"/>
        <v>1.1176470588235293E-2</v>
      </c>
      <c r="F50" s="492">
        <f t="shared" si="9"/>
        <v>1.1176470588235293E-2</v>
      </c>
      <c r="G50" s="492">
        <f t="shared" si="10"/>
        <v>4.8952941176470581E-2</v>
      </c>
      <c r="H50" s="493">
        <f t="shared" si="11"/>
        <v>0</v>
      </c>
    </row>
    <row r="51" spans="1:8">
      <c r="A51" s="319" t="s">
        <v>78</v>
      </c>
      <c r="B51" s="489">
        <f>IFERROR(INDEX('Emission Factors'!$A$2:$CH$104,MATCH($A51,'Emission Factors'!$A$2:$A$104,0),MATCH(C$11,'Emission Factors'!$A$2:$CH$2,0)),"")</f>
        <v>7.6</v>
      </c>
      <c r="C51" s="490"/>
      <c r="D51" s="491"/>
      <c r="E51" s="492">
        <f t="shared" si="8"/>
        <v>1.1176470588235293E-2</v>
      </c>
      <c r="F51" s="492">
        <f t="shared" si="9"/>
        <v>1.1176470588235293E-2</v>
      </c>
      <c r="G51" s="492">
        <f t="shared" si="10"/>
        <v>4.8952941176470581E-2</v>
      </c>
      <c r="H51" s="493">
        <f t="shared" si="11"/>
        <v>0</v>
      </c>
    </row>
    <row r="52" spans="1:8">
      <c r="A52" s="319" t="s">
        <v>79</v>
      </c>
      <c r="B52" s="489">
        <f>IFERROR(INDEX('Emission Factors'!$A$2:$CH$104,MATCH($A52,'Emission Factors'!$A$2:$A$104,0),MATCH(C$11,'Emission Factors'!$A$2:$CH$2,0)),"")</f>
        <v>100</v>
      </c>
      <c r="C52" s="490"/>
      <c r="D52" s="491"/>
      <c r="E52" s="492">
        <f t="shared" si="8"/>
        <v>0.14705882352941177</v>
      </c>
      <c r="F52" s="492">
        <f t="shared" si="9"/>
        <v>0.14705882352941177</v>
      </c>
      <c r="G52" s="492">
        <f t="shared" si="10"/>
        <v>0.64411764705882357</v>
      </c>
      <c r="H52" s="493">
        <f t="shared" si="11"/>
        <v>0</v>
      </c>
    </row>
    <row r="53" spans="1:8">
      <c r="A53" s="319" t="s">
        <v>80</v>
      </c>
      <c r="B53" s="489">
        <f>IFERROR(INDEX('Emission Factors'!$A$2:$CH$104,MATCH($A53,'Emission Factors'!$A$2:$A$104,0),MATCH(C$11,'Emission Factors'!$A$2:$CH$2,0)),"")</f>
        <v>84</v>
      </c>
      <c r="C53" s="490"/>
      <c r="D53" s="491"/>
      <c r="E53" s="492">
        <f t="shared" si="8"/>
        <v>0.12352941176470589</v>
      </c>
      <c r="F53" s="492">
        <f t="shared" si="9"/>
        <v>0.12352941176470589</v>
      </c>
      <c r="G53" s="492">
        <f t="shared" si="10"/>
        <v>0.54105882352941181</v>
      </c>
      <c r="H53" s="493">
        <f t="shared" si="11"/>
        <v>0</v>
      </c>
    </row>
    <row r="54" spans="1:8">
      <c r="A54" s="319" t="s">
        <v>81</v>
      </c>
      <c r="B54" s="489">
        <f>IFERROR(INDEX('Emission Factors'!$A$2:$CH$104,MATCH($A54,'Emission Factors'!$A$2:$A$104,0),MATCH(C$11,'Emission Factors'!$A$2:$CH$2,0)),"")</f>
        <v>0.6</v>
      </c>
      <c r="C54" s="490"/>
      <c r="D54" s="491"/>
      <c r="E54" s="492">
        <f t="shared" si="8"/>
        <v>8.8235294117647051E-4</v>
      </c>
      <c r="F54" s="492">
        <f t="shared" si="9"/>
        <v>8.8235294117647051E-4</v>
      </c>
      <c r="G54" s="492">
        <f t="shared" si="10"/>
        <v>3.8647058823529407E-3</v>
      </c>
      <c r="H54" s="493">
        <f t="shared" si="11"/>
        <v>0</v>
      </c>
    </row>
    <row r="55" spans="1:8">
      <c r="A55" s="319" t="s">
        <v>82</v>
      </c>
      <c r="B55" s="489">
        <f>IFERROR(INDEX('Emission Factors'!$A$2:$CH$104,MATCH($A55,'Emission Factors'!$A$2:$A$104,0),MATCH(C$11,'Emission Factors'!$A$2:$CH$2,0)),"")</f>
        <v>5.5</v>
      </c>
      <c r="C55" s="490"/>
      <c r="D55" s="491"/>
      <c r="E55" s="492">
        <f t="shared" si="8"/>
        <v>8.0882352941176461E-3</v>
      </c>
      <c r="F55" s="492">
        <f t="shared" si="9"/>
        <v>8.0882352941176461E-3</v>
      </c>
      <c r="G55" s="492">
        <f t="shared" si="10"/>
        <v>3.5426470588235288E-2</v>
      </c>
      <c r="H55" s="493">
        <f t="shared" si="11"/>
        <v>0</v>
      </c>
    </row>
    <row r="56" spans="1:8">
      <c r="A56" s="319" t="s">
        <v>83</v>
      </c>
      <c r="B56" s="489">
        <f>IFERROR(INDEX('Emission Factors'!$A$2:$CH$104,MATCH($A56,'Emission Factors'!$A$2:$A$104,0),MATCH(C$11,'Emission Factors'!$A$2:$CH$2,0)),"")</f>
        <v>5.0000000000000001E-4</v>
      </c>
      <c r="C56" s="490"/>
      <c r="D56" s="491"/>
      <c r="E56" s="492">
        <f t="shared" si="8"/>
        <v>7.3529411764705886E-7</v>
      </c>
      <c r="F56" s="492">
        <f t="shared" si="9"/>
        <v>7.3529411764705886E-7</v>
      </c>
      <c r="G56" s="492">
        <f t="shared" si="10"/>
        <v>3.2205882352941177E-6</v>
      </c>
      <c r="H56" s="493">
        <f t="shared" si="11"/>
        <v>0</v>
      </c>
    </row>
    <row r="57" spans="1:8" ht="13.5" thickBot="1">
      <c r="A57" s="322" t="s">
        <v>84</v>
      </c>
      <c r="B57" s="494">
        <f>IFERROR(INDEX('Emission Factors'!$A$2:$CH$104,MATCH($A57,'Emission Factors'!$A$2:$A$104,0),MATCH(C$11,'Emission Factors'!$A$2:$CH$2,0)),"")</f>
        <v>1.8879582000000001</v>
      </c>
      <c r="C57" s="495"/>
      <c r="D57" s="496"/>
      <c r="E57" s="497">
        <f t="shared" si="8"/>
        <v>2.7764091176470588E-3</v>
      </c>
      <c r="F57" s="497">
        <f t="shared" si="9"/>
        <v>2.7764091176470588E-3</v>
      </c>
      <c r="G57" s="497">
        <f t="shared" si="10"/>
        <v>1.2160671935294118E-2</v>
      </c>
      <c r="H57" s="498">
        <f t="shared" si="11"/>
        <v>0</v>
      </c>
    </row>
    <row r="58" spans="1:8">
      <c r="A58" s="314" t="s">
        <v>85</v>
      </c>
      <c r="B58" s="484">
        <f>IFERROR(INDEX('Emission Factors'!$A$2:$CH$104,MATCH($A58,'Emission Factors'!$A$2:$A$104,0),MATCH(C$11,'Emission Factors'!$A$2:$CH$2,0))*2.2046,"")</f>
        <v>116.97607600000001</v>
      </c>
      <c r="C58" s="485"/>
      <c r="D58" s="486"/>
      <c r="E58" s="487">
        <f>IF(C58&gt;0,C58,B58)*C$7</f>
        <v>175.464114</v>
      </c>
      <c r="F58" s="487">
        <f>IF(C58&gt;0,C58,B58)*C$7*(1-D58)</f>
        <v>175.464114</v>
      </c>
      <c r="G58" s="487">
        <f>IF(C58&gt;0,C58,B58)*C$7*C$9/2000</f>
        <v>768.53281932000004</v>
      </c>
      <c r="H58" s="488">
        <f>IF(C58&gt;0,C58,B58)*C$7*(1-D58)*C$10/2000</f>
        <v>0</v>
      </c>
    </row>
    <row r="59" spans="1:8">
      <c r="A59" s="319" t="s">
        <v>86</v>
      </c>
      <c r="B59" s="489">
        <f>IFERROR(INDEX('Emission Factors'!$A$2:$CH$104,MATCH($A59,'Emission Factors'!$A$2:$A$104,0),MATCH(C$11,'Emission Factors'!$A$2:$CH$2,0))*2.2046,"")</f>
        <v>2.2046000000000001E-3</v>
      </c>
      <c r="C59" s="490"/>
      <c r="D59" s="491"/>
      <c r="E59" s="492">
        <f>IF(C59&gt;0,C59,B59)*C$7</f>
        <v>3.3069000000000002E-3</v>
      </c>
      <c r="F59" s="492">
        <f>IF(C59&gt;0,C59,B59)*C$7*(1-D59)</f>
        <v>3.3069000000000002E-3</v>
      </c>
      <c r="G59" s="492">
        <f>IF(C59&gt;0,C59,B59)*C$7*C$9/2000</f>
        <v>1.4484222000000001E-2</v>
      </c>
      <c r="H59" s="493">
        <f>IF(C59&gt;0,C59,B59)*C$7*(1-D59)*C$10/2000</f>
        <v>0</v>
      </c>
    </row>
    <row r="60" spans="1:8">
      <c r="A60" s="319" t="s">
        <v>87</v>
      </c>
      <c r="B60" s="489">
        <f>IFERROR(INDEX('Emission Factors'!$A$2:$CH$104,MATCH($A60,'Emission Factors'!$A$2:$A$104,0),MATCH(C$11,'Emission Factors'!$A$2:$CH$2,0))*2.2046,"")</f>
        <v>2.2046000000000001E-4</v>
      </c>
      <c r="C60" s="490"/>
      <c r="D60" s="491"/>
      <c r="E60" s="492">
        <f>IF(C60&gt;0,C60,B60)*C$7</f>
        <v>3.3069000000000002E-4</v>
      </c>
      <c r="F60" s="492">
        <f>IF(C60&gt;0,C60,B60)*C$7*(1-D60)</f>
        <v>3.3069000000000002E-4</v>
      </c>
      <c r="G60" s="492">
        <f>IF(C60&gt;0,C60,B60)*C$7*C$9/2000</f>
        <v>1.4484222000000001E-3</v>
      </c>
      <c r="H60" s="493">
        <f>IF(C60&gt;0,C60,B60)*C$7*(1-D60)*C$10/2000</f>
        <v>0</v>
      </c>
    </row>
    <row r="61" spans="1:8" ht="13.5" thickBot="1">
      <c r="A61" s="322" t="s">
        <v>88</v>
      </c>
      <c r="B61" s="499">
        <f>IFERROR(INDEX('Emission Factors'!$A$2:$CH$104,MATCH($A61,'Emission Factors'!$A$2:$A$104,0),MATCH(C$11,'Emission Factors'!$A$2:$CH$2,0))*2.2046,"")</f>
        <v>117.09688808000001</v>
      </c>
      <c r="C61" s="500"/>
      <c r="D61" s="501"/>
      <c r="E61" s="502">
        <f>IF(C61&gt;0,C61,B61)*C$7</f>
        <v>175.64533212000003</v>
      </c>
      <c r="F61" s="502">
        <f>IF(C61&gt;0,C61,B61)*C$7*(1-D61)</f>
        <v>175.64533212000003</v>
      </c>
      <c r="G61" s="502">
        <f>IF(C61&gt;0,C61,B61)*C$7*C$9/2000</f>
        <v>769.32655468560006</v>
      </c>
      <c r="H61" s="503">
        <f>IF(C61&gt;0,C61,B61)*C$7*(1-D61)*C$10/2000</f>
        <v>0</v>
      </c>
    </row>
    <row r="62" spans="1:8">
      <c r="A62" s="314" t="s">
        <v>89</v>
      </c>
      <c r="B62" s="504">
        <f>IFERROR(INDEX('Emission Factors'!$A$2:$CH$104,MATCH($A62,'Emission Factors'!$A$2:$A$104,0),MATCH(C$11,'Emission Factors'!$A$2:$CH$2,0)),"")</f>
        <v>1.1999999999999999E-3</v>
      </c>
      <c r="C62" s="485"/>
      <c r="D62" s="486"/>
      <c r="E62" s="505">
        <f t="shared" ref="E62:E77" si="12">IF(C62&gt;0,C62,B62)*C$8</f>
        <v>1.764705882352941E-6</v>
      </c>
      <c r="F62" s="505">
        <f t="shared" ref="F62:F77" si="13">IF(C62&gt;0,C62,B62)*C$8*(1-D62)</f>
        <v>1.764705882352941E-6</v>
      </c>
      <c r="G62" s="505">
        <f t="shared" ref="G62:G77" si="14">IF(C62&gt;0,C62,B62)*C$8*C$9/2000</f>
        <v>7.7294117647058808E-6</v>
      </c>
      <c r="H62" s="506">
        <f t="shared" ref="H62:H77" si="15">IF(C62&gt;0,C62,B62)*C$8*(1-D62)*C$10/2000</f>
        <v>0</v>
      </c>
    </row>
    <row r="63" spans="1:8">
      <c r="A63" s="327" t="s">
        <v>90</v>
      </c>
      <c r="B63" s="504">
        <f>IFERROR(INDEX('Emission Factors'!$A$2:$CH$104,MATCH($A63,'Emission Factors'!$A$2:$A$104,0),MATCH(C$11,'Emission Factors'!$A$2:$CH$2,0)),"")</f>
        <v>2.0000000000000001E-4</v>
      </c>
      <c r="C63" s="507"/>
      <c r="D63" s="508"/>
      <c r="E63" s="505">
        <f t="shared" si="12"/>
        <v>2.9411764705882356E-7</v>
      </c>
      <c r="F63" s="505">
        <f t="shared" si="13"/>
        <v>2.9411764705882356E-7</v>
      </c>
      <c r="G63" s="505">
        <f t="shared" si="14"/>
        <v>1.2882352941176471E-6</v>
      </c>
      <c r="H63" s="506">
        <f t="shared" si="15"/>
        <v>0</v>
      </c>
    </row>
    <row r="64" spans="1:8">
      <c r="A64" s="319" t="s">
        <v>91</v>
      </c>
      <c r="B64" s="489">
        <f>IFERROR(INDEX('Emission Factors'!$A$2:$CH$104,MATCH($A64,'Emission Factors'!$A$2:$A$104,0),MATCH(C$11,'Emission Factors'!$A$2:$CH$2,0)),"")</f>
        <v>2.0999999999999999E-3</v>
      </c>
      <c r="C64" s="490"/>
      <c r="D64" s="491"/>
      <c r="E64" s="492">
        <f t="shared" si="12"/>
        <v>3.0882352941176468E-6</v>
      </c>
      <c r="F64" s="492">
        <f t="shared" si="13"/>
        <v>3.0882352941176468E-6</v>
      </c>
      <c r="G64" s="492">
        <f t="shared" si="14"/>
        <v>1.3526470588235293E-5</v>
      </c>
      <c r="H64" s="493">
        <f t="shared" si="15"/>
        <v>0</v>
      </c>
    </row>
    <row r="65" spans="1:8">
      <c r="A65" s="319" t="s">
        <v>92</v>
      </c>
      <c r="B65" s="489">
        <f>IFERROR(INDEX('Emission Factors'!$A$2:$CH$104,MATCH($A65,'Emission Factors'!$A$2:$A$104,0),MATCH(C$11,'Emission Factors'!$A$2:$CH$2,0)),"")</f>
        <v>1.2E-5</v>
      </c>
      <c r="C65" s="490"/>
      <c r="D65" s="491"/>
      <c r="E65" s="492">
        <f t="shared" si="12"/>
        <v>1.7647058823529412E-8</v>
      </c>
      <c r="F65" s="492">
        <f t="shared" si="13"/>
        <v>1.7647058823529412E-8</v>
      </c>
      <c r="G65" s="492">
        <f t="shared" si="14"/>
        <v>7.7294117647058823E-8</v>
      </c>
      <c r="H65" s="493">
        <f t="shared" si="15"/>
        <v>0</v>
      </c>
    </row>
    <row r="66" spans="1:8">
      <c r="A66" s="319" t="s">
        <v>93</v>
      </c>
      <c r="B66" s="489">
        <f>IFERROR(INDEX('Emission Factors'!$A$2:$CH$104,MATCH($A66,'Emission Factors'!$A$2:$A$104,0),MATCH(C$11,'Emission Factors'!$A$2:$CH$2,0)),"")</f>
        <v>1.1000000000000001E-3</v>
      </c>
      <c r="C66" s="490"/>
      <c r="D66" s="491"/>
      <c r="E66" s="492">
        <f t="shared" si="12"/>
        <v>1.6176470588235295E-6</v>
      </c>
      <c r="F66" s="492">
        <f t="shared" si="13"/>
        <v>1.6176470588235295E-6</v>
      </c>
      <c r="G66" s="492">
        <f t="shared" si="14"/>
        <v>7.0852941176470598E-6</v>
      </c>
      <c r="H66" s="493">
        <f t="shared" si="15"/>
        <v>0</v>
      </c>
    </row>
    <row r="67" spans="1:8">
      <c r="A67" s="319" t="s">
        <v>94</v>
      </c>
      <c r="B67" s="489">
        <f>IFERROR(INDEX('Emission Factors'!$A$2:$CH$104,MATCH($A67,'Emission Factors'!$A$2:$A$104,0),MATCH(C$11,'Emission Factors'!$A$2:$CH$2,0)),"")</f>
        <v>1.4E-3</v>
      </c>
      <c r="C67" s="490"/>
      <c r="D67" s="491"/>
      <c r="E67" s="492">
        <f t="shared" si="12"/>
        <v>2.0588235294117645E-6</v>
      </c>
      <c r="F67" s="492">
        <f t="shared" si="13"/>
        <v>2.0588235294117645E-6</v>
      </c>
      <c r="G67" s="492">
        <f t="shared" si="14"/>
        <v>9.0176470588235279E-6</v>
      </c>
      <c r="H67" s="493">
        <f t="shared" si="15"/>
        <v>0</v>
      </c>
    </row>
    <row r="68" spans="1:8">
      <c r="A68" s="319" t="s">
        <v>95</v>
      </c>
      <c r="B68" s="489">
        <f>IFERROR(INDEX('Emission Factors'!$A$2:$CH$104,MATCH($A68,'Emission Factors'!$A$2:$A$104,0),MATCH(C$11,'Emission Factors'!$A$2:$CH$2,0)),"")</f>
        <v>8.3999999999999995E-5</v>
      </c>
      <c r="C68" s="490"/>
      <c r="D68" s="491"/>
      <c r="E68" s="492">
        <f t="shared" si="12"/>
        <v>1.2352941176470587E-7</v>
      </c>
      <c r="F68" s="492">
        <f t="shared" si="13"/>
        <v>1.2352941176470587E-7</v>
      </c>
      <c r="G68" s="492">
        <f t="shared" si="14"/>
        <v>5.4105882352941171E-7</v>
      </c>
      <c r="H68" s="493">
        <f t="shared" si="15"/>
        <v>0</v>
      </c>
    </row>
    <row r="69" spans="1:8">
      <c r="A69" s="319" t="s">
        <v>96</v>
      </c>
      <c r="B69" s="489">
        <f>IFERROR(INDEX('Emission Factors'!$A$2:$CH$104,MATCH($A69,'Emission Factors'!$A$2:$A$104,0),MATCH(C$11,'Emission Factors'!$A$2:$CH$2,0)),"")</f>
        <v>7.4999999999999997E-2</v>
      </c>
      <c r="C69" s="490"/>
      <c r="D69" s="491"/>
      <c r="E69" s="492">
        <f t="shared" si="12"/>
        <v>1.1029411764705881E-4</v>
      </c>
      <c r="F69" s="492">
        <f t="shared" si="13"/>
        <v>1.1029411764705881E-4</v>
      </c>
      <c r="G69" s="492">
        <f t="shared" si="14"/>
        <v>4.8308823529411758E-4</v>
      </c>
      <c r="H69" s="493">
        <f t="shared" si="15"/>
        <v>0</v>
      </c>
    </row>
    <row r="70" spans="1:8">
      <c r="A70" s="319" t="s">
        <v>97</v>
      </c>
      <c r="B70" s="489">
        <f>IFERROR(INDEX('Emission Factors'!$A$2:$CH$104,MATCH($A70,'Emission Factors'!$A$2:$A$104,0),MATCH(C$11,'Emission Factors'!$A$2:$CH$2,0)),"")</f>
        <v>1.8</v>
      </c>
      <c r="C70" s="490"/>
      <c r="D70" s="491"/>
      <c r="E70" s="492">
        <f t="shared" si="12"/>
        <v>2.6470588235294116E-3</v>
      </c>
      <c r="F70" s="492">
        <f t="shared" si="13"/>
        <v>2.6470588235294116E-3</v>
      </c>
      <c r="G70" s="492">
        <f t="shared" si="14"/>
        <v>1.1594117647058822E-2</v>
      </c>
      <c r="H70" s="493">
        <f t="shared" si="15"/>
        <v>0</v>
      </c>
    </row>
    <row r="71" spans="1:8">
      <c r="A71" s="319" t="s">
        <v>98</v>
      </c>
      <c r="B71" s="489">
        <f>IFERROR(INDEX('Emission Factors'!$A$2:$CH$104,MATCH($A71,'Emission Factors'!$A$2:$A$104,0),MATCH(C$11,'Emission Factors'!$A$2:$CH$2,0)),"")</f>
        <v>3.8000000000000002E-4</v>
      </c>
      <c r="C71" s="490"/>
      <c r="D71" s="491"/>
      <c r="E71" s="492">
        <f t="shared" si="12"/>
        <v>5.588235294117647E-7</v>
      </c>
      <c r="F71" s="492">
        <f t="shared" si="13"/>
        <v>5.588235294117647E-7</v>
      </c>
      <c r="G71" s="492">
        <f t="shared" si="14"/>
        <v>2.4476470588235294E-6</v>
      </c>
      <c r="H71" s="493">
        <f t="shared" si="15"/>
        <v>0</v>
      </c>
    </row>
    <row r="72" spans="1:8">
      <c r="A72" s="319" t="s">
        <v>99</v>
      </c>
      <c r="B72" s="489">
        <f>IFERROR(INDEX('Emission Factors'!$A$2:$CH$104,MATCH($A72,'Emission Factors'!$A$2:$A$104,0),MATCH(C$11,'Emission Factors'!$A$2:$CH$2,0)),"")</f>
        <v>2.5999999999999998E-4</v>
      </c>
      <c r="C72" s="490"/>
      <c r="D72" s="491"/>
      <c r="E72" s="492">
        <f t="shared" si="12"/>
        <v>3.8235294117647053E-7</v>
      </c>
      <c r="F72" s="492">
        <f t="shared" si="13"/>
        <v>3.8235294117647053E-7</v>
      </c>
      <c r="G72" s="492">
        <f t="shared" si="14"/>
        <v>1.674705882352941E-6</v>
      </c>
      <c r="H72" s="493">
        <f t="shared" si="15"/>
        <v>0</v>
      </c>
    </row>
    <row r="73" spans="1:8">
      <c r="A73" s="319" t="s">
        <v>100</v>
      </c>
      <c r="B73" s="489">
        <f>IFERROR(INDEX('Emission Factors'!$A$2:$CH$104,MATCH($A73,'Emission Factors'!$A$2:$A$104,0),MATCH(C$11,'Emission Factors'!$A$2:$CH$2,0)),"")</f>
        <v>6.0999999999999997E-4</v>
      </c>
      <c r="C73" s="490"/>
      <c r="D73" s="491"/>
      <c r="E73" s="492">
        <f t="shared" si="12"/>
        <v>8.9705882352941166E-7</v>
      </c>
      <c r="F73" s="492">
        <f t="shared" si="13"/>
        <v>8.9705882352941166E-7</v>
      </c>
      <c r="G73" s="492">
        <f t="shared" si="14"/>
        <v>3.9291176470588234E-6</v>
      </c>
      <c r="H73" s="493">
        <f t="shared" si="15"/>
        <v>0</v>
      </c>
    </row>
    <row r="74" spans="1:8">
      <c r="A74" s="319" t="s">
        <v>101</v>
      </c>
      <c r="B74" s="489">
        <f>IFERROR(INDEX('Emission Factors'!$A$2:$CH$104,MATCH($A74,'Emission Factors'!$A$2:$A$104,0),MATCH(C$11,'Emission Factors'!$A$2:$CH$2,0)),"")</f>
        <v>2.0999999999999999E-3</v>
      </c>
      <c r="C74" s="490"/>
      <c r="D74" s="491"/>
      <c r="E74" s="492">
        <f t="shared" si="12"/>
        <v>3.0882352941176468E-6</v>
      </c>
      <c r="F74" s="492">
        <f t="shared" si="13"/>
        <v>3.0882352941176468E-6</v>
      </c>
      <c r="G74" s="492">
        <f t="shared" si="14"/>
        <v>1.3526470588235293E-5</v>
      </c>
      <c r="H74" s="493">
        <f t="shared" si="15"/>
        <v>0</v>
      </c>
    </row>
    <row r="75" spans="1:8">
      <c r="A75" s="319" t="s">
        <v>102</v>
      </c>
      <c r="B75" s="489">
        <f>IFERROR(INDEX('Emission Factors'!$A$2:$CH$104,MATCH($A75,'Emission Factors'!$A$2:$A$104,0),MATCH(C$11,'Emission Factors'!$A$2:$CH$2,0)),"")</f>
        <v>6.9819999999999995E-4</v>
      </c>
      <c r="C75" s="490"/>
      <c r="D75" s="491"/>
      <c r="E75" s="492">
        <f t="shared" si="12"/>
        <v>1.0267647058823528E-6</v>
      </c>
      <c r="F75" s="492">
        <f t="shared" si="13"/>
        <v>1.0267647058823528E-6</v>
      </c>
      <c r="G75" s="492">
        <f t="shared" si="14"/>
        <v>4.4972294117647047E-6</v>
      </c>
      <c r="H75" s="493">
        <f t="shared" si="15"/>
        <v>0</v>
      </c>
    </row>
    <row r="76" spans="1:8">
      <c r="A76" s="319" t="s">
        <v>103</v>
      </c>
      <c r="B76" s="489">
        <f>IFERROR(INDEX('Emission Factors'!$A$2:$CH$104,MATCH($A76,'Emission Factors'!$A$2:$A$104,0),MATCH(C$11,'Emission Factors'!$A$2:$CH$2,0)),"")</f>
        <v>2.4000000000000001E-5</v>
      </c>
      <c r="C76" s="490"/>
      <c r="D76" s="491"/>
      <c r="E76" s="492">
        <f t="shared" si="12"/>
        <v>3.5294117647058824E-8</v>
      </c>
      <c r="F76" s="492">
        <f t="shared" si="13"/>
        <v>3.5294117647058824E-8</v>
      </c>
      <c r="G76" s="492">
        <f t="shared" si="14"/>
        <v>1.5458823529411765E-7</v>
      </c>
      <c r="H76" s="493">
        <f t="shared" si="15"/>
        <v>0</v>
      </c>
    </row>
    <row r="77" spans="1:8" ht="13.5" thickBot="1">
      <c r="A77" s="322" t="s">
        <v>104</v>
      </c>
      <c r="B77" s="499">
        <f>IFERROR(INDEX('Emission Factors'!$A$2:$CH$104,MATCH($A77,'Emission Factors'!$A$2:$A$104,0),MATCH(C$11,'Emission Factors'!$A$2:$CH$2,0)),"")</f>
        <v>3.3999999999999998E-3</v>
      </c>
      <c r="C77" s="500"/>
      <c r="D77" s="501"/>
      <c r="E77" s="502">
        <f t="shared" si="12"/>
        <v>4.9999999999999996E-6</v>
      </c>
      <c r="F77" s="502">
        <f t="shared" si="13"/>
        <v>4.9999999999999996E-6</v>
      </c>
      <c r="G77" s="502">
        <f t="shared" si="14"/>
        <v>2.19E-5</v>
      </c>
      <c r="H77" s="503">
        <f t="shared" si="15"/>
        <v>0</v>
      </c>
    </row>
    <row r="78" spans="1:8">
      <c r="A78" s="465"/>
      <c r="B78" s="466" t="s">
        <v>63</v>
      </c>
      <c r="C78" s="467" t="s">
        <v>282</v>
      </c>
      <c r="D78" s="468"/>
      <c r="E78" s="468"/>
      <c r="F78" s="468"/>
      <c r="G78" s="468"/>
      <c r="H78" s="469"/>
    </row>
    <row r="79" spans="1:8">
      <c r="A79" s="465"/>
      <c r="B79" s="470" t="s">
        <v>64</v>
      </c>
      <c r="C79" s="471">
        <f>'AL Melting'!G10</f>
        <v>1.5</v>
      </c>
      <c r="D79" s="465"/>
      <c r="E79" s="465"/>
      <c r="F79" s="465"/>
      <c r="G79" s="465"/>
      <c r="H79" s="472"/>
    </row>
    <row r="80" spans="1:8">
      <c r="A80" s="465"/>
      <c r="B80" s="470" t="s">
        <v>65</v>
      </c>
      <c r="C80" s="471">
        <f>C79/'AL Melting'!$G$20</f>
        <v>1.4705882352941176E-3</v>
      </c>
      <c r="D80" s="465"/>
      <c r="E80" s="465"/>
      <c r="F80" s="465"/>
      <c r="G80" s="465"/>
      <c r="H80" s="472"/>
    </row>
    <row r="81" spans="1:8">
      <c r="A81" s="465"/>
      <c r="B81" s="473" t="s">
        <v>66</v>
      </c>
      <c r="C81" s="474">
        <v>8760</v>
      </c>
      <c r="D81" s="465"/>
      <c r="E81" s="465"/>
      <c r="F81" s="465"/>
      <c r="G81" s="465"/>
      <c r="H81" s="472"/>
    </row>
    <row r="82" spans="1:8">
      <c r="A82" s="465"/>
      <c r="B82" s="473" t="s">
        <v>67</v>
      </c>
      <c r="C82" s="474"/>
      <c r="D82" s="465"/>
      <c r="E82" s="465"/>
      <c r="F82" s="465"/>
      <c r="G82" s="465"/>
      <c r="H82" s="472"/>
    </row>
    <row r="83" spans="1:8" ht="13.5" thickBot="1">
      <c r="A83" s="465"/>
      <c r="B83" s="475" t="s">
        <v>68</v>
      </c>
      <c r="C83" s="476" t="s">
        <v>69</v>
      </c>
      <c r="D83" s="477"/>
      <c r="E83" s="477"/>
      <c r="F83" s="477"/>
      <c r="G83" s="477"/>
      <c r="H83" s="478"/>
    </row>
    <row r="84" spans="1:8" ht="26.5" thickBot="1">
      <c r="A84" s="479" t="s">
        <v>70</v>
      </c>
      <c r="B84" s="480" t="s">
        <v>71</v>
      </c>
      <c r="C84" s="481" t="s">
        <v>72</v>
      </c>
      <c r="D84" s="481" t="s">
        <v>73</v>
      </c>
      <c r="E84" s="481" t="s">
        <v>833</v>
      </c>
      <c r="F84" s="482" t="s">
        <v>279</v>
      </c>
      <c r="G84" s="482" t="s">
        <v>280</v>
      </c>
      <c r="H84" s="483" t="s">
        <v>281</v>
      </c>
    </row>
    <row r="85" spans="1:8">
      <c r="A85" s="314" t="s">
        <v>19</v>
      </c>
      <c r="B85" s="484">
        <f>IFERROR(INDEX('Emission Factors'!$A$2:$CH$104,MATCH($A85,'Emission Factors'!$A$2:$A$104,0),MATCH(C$11,'Emission Factors'!$A$2:$CH$2,0)),"")</f>
        <v>7.6</v>
      </c>
      <c r="C85" s="485"/>
      <c r="D85" s="486"/>
      <c r="E85" s="487">
        <f t="shared" ref="E85:E93" si="16">IF(C85&gt;0,C85,B85)*C$8</f>
        <v>1.1176470588235293E-2</v>
      </c>
      <c r="F85" s="487">
        <f t="shared" ref="F85:F93" si="17">IF(C85&gt;0,C85,B85)*C$8*(1-D85)</f>
        <v>1.1176470588235293E-2</v>
      </c>
      <c r="G85" s="487">
        <f t="shared" ref="G85:G93" si="18">IF(C85&gt;0,C85,B85)*C$8*C$9/2000</f>
        <v>4.8952941176470581E-2</v>
      </c>
      <c r="H85" s="488">
        <f t="shared" ref="H85:H93" si="19">IF(C85&gt;0,C85,B85)*C$8*(1-D85)*C$10/2000</f>
        <v>0</v>
      </c>
    </row>
    <row r="86" spans="1:8">
      <c r="A86" s="319" t="s">
        <v>77</v>
      </c>
      <c r="B86" s="489">
        <f>IFERROR(INDEX('Emission Factors'!$A$2:$CH$104,MATCH($A86,'Emission Factors'!$A$2:$A$104,0),MATCH(C$11,'Emission Factors'!$A$2:$CH$2,0)),"")</f>
        <v>7.6</v>
      </c>
      <c r="C86" s="490"/>
      <c r="D86" s="491"/>
      <c r="E86" s="492">
        <f t="shared" si="16"/>
        <v>1.1176470588235293E-2</v>
      </c>
      <c r="F86" s="492">
        <f t="shared" si="17"/>
        <v>1.1176470588235293E-2</v>
      </c>
      <c r="G86" s="492">
        <f t="shared" si="18"/>
        <v>4.8952941176470581E-2</v>
      </c>
      <c r="H86" s="493">
        <f t="shared" si="19"/>
        <v>0</v>
      </c>
    </row>
    <row r="87" spans="1:8">
      <c r="A87" s="319" t="s">
        <v>78</v>
      </c>
      <c r="B87" s="489">
        <f>IFERROR(INDEX('Emission Factors'!$A$2:$CH$104,MATCH($A87,'Emission Factors'!$A$2:$A$104,0),MATCH(C$11,'Emission Factors'!$A$2:$CH$2,0)),"")</f>
        <v>7.6</v>
      </c>
      <c r="C87" s="490"/>
      <c r="D87" s="491"/>
      <c r="E87" s="492">
        <f t="shared" si="16"/>
        <v>1.1176470588235293E-2</v>
      </c>
      <c r="F87" s="492">
        <f t="shared" si="17"/>
        <v>1.1176470588235293E-2</v>
      </c>
      <c r="G87" s="492">
        <f t="shared" si="18"/>
        <v>4.8952941176470581E-2</v>
      </c>
      <c r="H87" s="493">
        <f t="shared" si="19"/>
        <v>0</v>
      </c>
    </row>
    <row r="88" spans="1:8">
      <c r="A88" s="319" t="s">
        <v>79</v>
      </c>
      <c r="B88" s="489">
        <f>IFERROR(INDEX('Emission Factors'!$A$2:$CH$104,MATCH($A88,'Emission Factors'!$A$2:$A$104,0),MATCH(C$11,'Emission Factors'!$A$2:$CH$2,0)),"")</f>
        <v>100</v>
      </c>
      <c r="C88" s="490"/>
      <c r="D88" s="491"/>
      <c r="E88" s="492">
        <f t="shared" si="16"/>
        <v>0.14705882352941177</v>
      </c>
      <c r="F88" s="492">
        <f t="shared" si="17"/>
        <v>0.14705882352941177</v>
      </c>
      <c r="G88" s="492">
        <f t="shared" si="18"/>
        <v>0.64411764705882357</v>
      </c>
      <c r="H88" s="493">
        <f t="shared" si="19"/>
        <v>0</v>
      </c>
    </row>
    <row r="89" spans="1:8">
      <c r="A89" s="319" t="s">
        <v>80</v>
      </c>
      <c r="B89" s="489">
        <f>IFERROR(INDEX('Emission Factors'!$A$2:$CH$104,MATCH($A89,'Emission Factors'!$A$2:$A$104,0),MATCH(C$11,'Emission Factors'!$A$2:$CH$2,0)),"")</f>
        <v>84</v>
      </c>
      <c r="C89" s="490"/>
      <c r="D89" s="491"/>
      <c r="E89" s="492">
        <f t="shared" si="16"/>
        <v>0.12352941176470589</v>
      </c>
      <c r="F89" s="492">
        <f t="shared" si="17"/>
        <v>0.12352941176470589</v>
      </c>
      <c r="G89" s="492">
        <f t="shared" si="18"/>
        <v>0.54105882352941181</v>
      </c>
      <c r="H89" s="493">
        <f t="shared" si="19"/>
        <v>0</v>
      </c>
    </row>
    <row r="90" spans="1:8">
      <c r="A90" s="319" t="s">
        <v>81</v>
      </c>
      <c r="B90" s="489">
        <f>IFERROR(INDEX('Emission Factors'!$A$2:$CH$104,MATCH($A90,'Emission Factors'!$A$2:$A$104,0),MATCH(C$11,'Emission Factors'!$A$2:$CH$2,0)),"")</f>
        <v>0.6</v>
      </c>
      <c r="C90" s="490"/>
      <c r="D90" s="491"/>
      <c r="E90" s="492">
        <f t="shared" si="16"/>
        <v>8.8235294117647051E-4</v>
      </c>
      <c r="F90" s="492">
        <f t="shared" si="17"/>
        <v>8.8235294117647051E-4</v>
      </c>
      <c r="G90" s="492">
        <f t="shared" si="18"/>
        <v>3.8647058823529407E-3</v>
      </c>
      <c r="H90" s="493">
        <f t="shared" si="19"/>
        <v>0</v>
      </c>
    </row>
    <row r="91" spans="1:8">
      <c r="A91" s="319" t="s">
        <v>82</v>
      </c>
      <c r="B91" s="489">
        <f>IFERROR(INDEX('Emission Factors'!$A$2:$CH$104,MATCH($A91,'Emission Factors'!$A$2:$A$104,0),MATCH(C$11,'Emission Factors'!$A$2:$CH$2,0)),"")</f>
        <v>5.5</v>
      </c>
      <c r="C91" s="490"/>
      <c r="D91" s="491"/>
      <c r="E91" s="492">
        <f t="shared" si="16"/>
        <v>8.0882352941176461E-3</v>
      </c>
      <c r="F91" s="492">
        <f t="shared" si="17"/>
        <v>8.0882352941176461E-3</v>
      </c>
      <c r="G91" s="492">
        <f t="shared" si="18"/>
        <v>3.5426470588235288E-2</v>
      </c>
      <c r="H91" s="493">
        <f t="shared" si="19"/>
        <v>0</v>
      </c>
    </row>
    <row r="92" spans="1:8">
      <c r="A92" s="319" t="s">
        <v>83</v>
      </c>
      <c r="B92" s="489">
        <f>IFERROR(INDEX('Emission Factors'!$A$2:$CH$104,MATCH($A92,'Emission Factors'!$A$2:$A$104,0),MATCH(C$11,'Emission Factors'!$A$2:$CH$2,0)),"")</f>
        <v>5.0000000000000001E-4</v>
      </c>
      <c r="C92" s="490"/>
      <c r="D92" s="491"/>
      <c r="E92" s="492">
        <f t="shared" si="16"/>
        <v>7.3529411764705886E-7</v>
      </c>
      <c r="F92" s="492">
        <f t="shared" si="17"/>
        <v>7.3529411764705886E-7</v>
      </c>
      <c r="G92" s="492">
        <f t="shared" si="18"/>
        <v>3.2205882352941177E-6</v>
      </c>
      <c r="H92" s="493">
        <f t="shared" si="19"/>
        <v>0</v>
      </c>
    </row>
    <row r="93" spans="1:8" ht="13.5" thickBot="1">
      <c r="A93" s="322" t="s">
        <v>84</v>
      </c>
      <c r="B93" s="494">
        <f>IFERROR(INDEX('Emission Factors'!$A$2:$CH$104,MATCH($A93,'Emission Factors'!$A$2:$A$104,0),MATCH(C$11,'Emission Factors'!$A$2:$CH$2,0)),"")</f>
        <v>1.8879582000000001</v>
      </c>
      <c r="C93" s="495"/>
      <c r="D93" s="496"/>
      <c r="E93" s="497">
        <f t="shared" si="16"/>
        <v>2.7764091176470588E-3</v>
      </c>
      <c r="F93" s="497">
        <f t="shared" si="17"/>
        <v>2.7764091176470588E-3</v>
      </c>
      <c r="G93" s="497">
        <f t="shared" si="18"/>
        <v>1.2160671935294118E-2</v>
      </c>
      <c r="H93" s="498">
        <f t="shared" si="19"/>
        <v>0</v>
      </c>
    </row>
    <row r="94" spans="1:8">
      <c r="A94" s="314" t="s">
        <v>85</v>
      </c>
      <c r="B94" s="484">
        <f>IFERROR(INDEX('Emission Factors'!$A$2:$CH$104,MATCH($A94,'Emission Factors'!$A$2:$A$104,0),MATCH(C$11,'Emission Factors'!$A$2:$CH$2,0))*2.2046,"")</f>
        <v>116.97607600000001</v>
      </c>
      <c r="C94" s="485"/>
      <c r="D94" s="486"/>
      <c r="E94" s="487">
        <f>IF(C94&gt;0,C94,B94)*C$7</f>
        <v>175.464114</v>
      </c>
      <c r="F94" s="487">
        <f>IF(C94&gt;0,C94,B94)*C$7*(1-D94)</f>
        <v>175.464114</v>
      </c>
      <c r="G94" s="487">
        <f>IF(C94&gt;0,C94,B94)*C$7*C$9/2000</f>
        <v>768.53281932000004</v>
      </c>
      <c r="H94" s="488">
        <f>IF(C94&gt;0,C94,B94)*C$7*(1-D94)*C$10/2000</f>
        <v>0</v>
      </c>
    </row>
    <row r="95" spans="1:8">
      <c r="A95" s="319" t="s">
        <v>86</v>
      </c>
      <c r="B95" s="489">
        <f>IFERROR(INDEX('Emission Factors'!$A$2:$CH$104,MATCH($A95,'Emission Factors'!$A$2:$A$104,0),MATCH(C$11,'Emission Factors'!$A$2:$CH$2,0))*2.2046,"")</f>
        <v>2.2046000000000001E-3</v>
      </c>
      <c r="C95" s="490"/>
      <c r="D95" s="491"/>
      <c r="E95" s="492">
        <f>IF(C95&gt;0,C95,B95)*C$7</f>
        <v>3.3069000000000002E-3</v>
      </c>
      <c r="F95" s="492">
        <f>IF(C95&gt;0,C95,B95)*C$7*(1-D95)</f>
        <v>3.3069000000000002E-3</v>
      </c>
      <c r="G95" s="492">
        <f>IF(C95&gt;0,C95,B95)*C$7*C$9/2000</f>
        <v>1.4484222000000001E-2</v>
      </c>
      <c r="H95" s="493">
        <f>IF(C95&gt;0,C95,B95)*C$7*(1-D95)*C$10/2000</f>
        <v>0</v>
      </c>
    </row>
    <row r="96" spans="1:8">
      <c r="A96" s="319" t="s">
        <v>87</v>
      </c>
      <c r="B96" s="489">
        <f>IFERROR(INDEX('Emission Factors'!$A$2:$CH$104,MATCH($A96,'Emission Factors'!$A$2:$A$104,0),MATCH(C$11,'Emission Factors'!$A$2:$CH$2,0))*2.2046,"")</f>
        <v>2.2046000000000001E-4</v>
      </c>
      <c r="C96" s="490"/>
      <c r="D96" s="491"/>
      <c r="E96" s="492">
        <f>IF(C96&gt;0,C96,B96)*C$7</f>
        <v>3.3069000000000002E-4</v>
      </c>
      <c r="F96" s="492">
        <f>IF(C96&gt;0,C96,B96)*C$7*(1-D96)</f>
        <v>3.3069000000000002E-4</v>
      </c>
      <c r="G96" s="492">
        <f>IF(C96&gt;0,C96,B96)*C$7*C$9/2000</f>
        <v>1.4484222000000001E-3</v>
      </c>
      <c r="H96" s="493">
        <f>IF(C96&gt;0,C96,B96)*C$7*(1-D96)*C$10/2000</f>
        <v>0</v>
      </c>
    </row>
    <row r="97" spans="1:8" ht="13.5" thickBot="1">
      <c r="A97" s="322" t="s">
        <v>88</v>
      </c>
      <c r="B97" s="499">
        <f>IFERROR(INDEX('Emission Factors'!$A$2:$CH$104,MATCH($A97,'Emission Factors'!$A$2:$A$104,0),MATCH(C$11,'Emission Factors'!$A$2:$CH$2,0))*2.2046,"")</f>
        <v>117.09688808000001</v>
      </c>
      <c r="C97" s="500"/>
      <c r="D97" s="501"/>
      <c r="E97" s="502">
        <f>IF(C97&gt;0,C97,B97)*C$7</f>
        <v>175.64533212000003</v>
      </c>
      <c r="F97" s="502">
        <f>IF(C97&gt;0,C97,B97)*C$7*(1-D97)</f>
        <v>175.64533212000003</v>
      </c>
      <c r="G97" s="502">
        <f>IF(C97&gt;0,C97,B97)*C$7*C$9/2000</f>
        <v>769.32655468560006</v>
      </c>
      <c r="H97" s="503">
        <f>IF(C97&gt;0,C97,B97)*C$7*(1-D97)*C$10/2000</f>
        <v>0</v>
      </c>
    </row>
    <row r="98" spans="1:8">
      <c r="A98" s="314" t="s">
        <v>89</v>
      </c>
      <c r="B98" s="504">
        <f>IFERROR(INDEX('Emission Factors'!$A$2:$CH$104,MATCH($A98,'Emission Factors'!$A$2:$A$104,0),MATCH(C$11,'Emission Factors'!$A$2:$CH$2,0)),"")</f>
        <v>1.1999999999999999E-3</v>
      </c>
      <c r="C98" s="485"/>
      <c r="D98" s="486"/>
      <c r="E98" s="505">
        <f t="shared" ref="E98:E113" si="20">IF(C98&gt;0,C98,B98)*C$8</f>
        <v>1.764705882352941E-6</v>
      </c>
      <c r="F98" s="505">
        <f t="shared" ref="F98:F113" si="21">IF(C98&gt;0,C98,B98)*C$8*(1-D98)</f>
        <v>1.764705882352941E-6</v>
      </c>
      <c r="G98" s="505">
        <f t="shared" ref="G98:G113" si="22">IF(C98&gt;0,C98,B98)*C$8*C$9/2000</f>
        <v>7.7294117647058808E-6</v>
      </c>
      <c r="H98" s="506">
        <f t="shared" ref="H98:H113" si="23">IF(C98&gt;0,C98,B98)*C$8*(1-D98)*C$10/2000</f>
        <v>0</v>
      </c>
    </row>
    <row r="99" spans="1:8">
      <c r="A99" s="327" t="s">
        <v>90</v>
      </c>
      <c r="B99" s="504">
        <f>IFERROR(INDEX('Emission Factors'!$A$2:$CH$104,MATCH($A99,'Emission Factors'!$A$2:$A$104,0),MATCH(C$11,'Emission Factors'!$A$2:$CH$2,0)),"")</f>
        <v>2.0000000000000001E-4</v>
      </c>
      <c r="C99" s="507"/>
      <c r="D99" s="508"/>
      <c r="E99" s="505">
        <f t="shared" si="20"/>
        <v>2.9411764705882356E-7</v>
      </c>
      <c r="F99" s="505">
        <f t="shared" si="21"/>
        <v>2.9411764705882356E-7</v>
      </c>
      <c r="G99" s="505">
        <f t="shared" si="22"/>
        <v>1.2882352941176471E-6</v>
      </c>
      <c r="H99" s="506">
        <f t="shared" si="23"/>
        <v>0</v>
      </c>
    </row>
    <row r="100" spans="1:8">
      <c r="A100" s="319" t="s">
        <v>91</v>
      </c>
      <c r="B100" s="489">
        <f>IFERROR(INDEX('Emission Factors'!$A$2:$CH$104,MATCH($A100,'Emission Factors'!$A$2:$A$104,0),MATCH(C$11,'Emission Factors'!$A$2:$CH$2,0)),"")</f>
        <v>2.0999999999999999E-3</v>
      </c>
      <c r="C100" s="490"/>
      <c r="D100" s="491"/>
      <c r="E100" s="492">
        <f t="shared" si="20"/>
        <v>3.0882352941176468E-6</v>
      </c>
      <c r="F100" s="492">
        <f t="shared" si="21"/>
        <v>3.0882352941176468E-6</v>
      </c>
      <c r="G100" s="492">
        <f t="shared" si="22"/>
        <v>1.3526470588235293E-5</v>
      </c>
      <c r="H100" s="493">
        <f t="shared" si="23"/>
        <v>0</v>
      </c>
    </row>
    <row r="101" spans="1:8">
      <c r="A101" s="319" t="s">
        <v>92</v>
      </c>
      <c r="B101" s="489">
        <f>IFERROR(INDEX('Emission Factors'!$A$2:$CH$104,MATCH($A101,'Emission Factors'!$A$2:$A$104,0),MATCH(C$11,'Emission Factors'!$A$2:$CH$2,0)),"")</f>
        <v>1.2E-5</v>
      </c>
      <c r="C101" s="490"/>
      <c r="D101" s="491"/>
      <c r="E101" s="492">
        <f t="shared" si="20"/>
        <v>1.7647058823529412E-8</v>
      </c>
      <c r="F101" s="492">
        <f t="shared" si="21"/>
        <v>1.7647058823529412E-8</v>
      </c>
      <c r="G101" s="492">
        <f t="shared" si="22"/>
        <v>7.7294117647058823E-8</v>
      </c>
      <c r="H101" s="493">
        <f t="shared" si="23"/>
        <v>0</v>
      </c>
    </row>
    <row r="102" spans="1:8">
      <c r="A102" s="319" t="s">
        <v>93</v>
      </c>
      <c r="B102" s="489">
        <f>IFERROR(INDEX('Emission Factors'!$A$2:$CH$104,MATCH($A102,'Emission Factors'!$A$2:$A$104,0),MATCH(C$11,'Emission Factors'!$A$2:$CH$2,0)),"")</f>
        <v>1.1000000000000001E-3</v>
      </c>
      <c r="C102" s="490"/>
      <c r="D102" s="491"/>
      <c r="E102" s="492">
        <f t="shared" si="20"/>
        <v>1.6176470588235295E-6</v>
      </c>
      <c r="F102" s="492">
        <f t="shared" si="21"/>
        <v>1.6176470588235295E-6</v>
      </c>
      <c r="G102" s="492">
        <f t="shared" si="22"/>
        <v>7.0852941176470598E-6</v>
      </c>
      <c r="H102" s="493">
        <f t="shared" si="23"/>
        <v>0</v>
      </c>
    </row>
    <row r="103" spans="1:8">
      <c r="A103" s="319" t="s">
        <v>94</v>
      </c>
      <c r="B103" s="489">
        <f>IFERROR(INDEX('Emission Factors'!$A$2:$CH$104,MATCH($A103,'Emission Factors'!$A$2:$A$104,0),MATCH(C$11,'Emission Factors'!$A$2:$CH$2,0)),"")</f>
        <v>1.4E-3</v>
      </c>
      <c r="C103" s="490"/>
      <c r="D103" s="491"/>
      <c r="E103" s="492">
        <f t="shared" si="20"/>
        <v>2.0588235294117645E-6</v>
      </c>
      <c r="F103" s="492">
        <f t="shared" si="21"/>
        <v>2.0588235294117645E-6</v>
      </c>
      <c r="G103" s="492">
        <f t="shared" si="22"/>
        <v>9.0176470588235279E-6</v>
      </c>
      <c r="H103" s="493">
        <f t="shared" si="23"/>
        <v>0</v>
      </c>
    </row>
    <row r="104" spans="1:8">
      <c r="A104" s="319" t="s">
        <v>95</v>
      </c>
      <c r="B104" s="489">
        <f>IFERROR(INDEX('Emission Factors'!$A$2:$CH$104,MATCH($A104,'Emission Factors'!$A$2:$A$104,0),MATCH(C$11,'Emission Factors'!$A$2:$CH$2,0)),"")</f>
        <v>8.3999999999999995E-5</v>
      </c>
      <c r="C104" s="490"/>
      <c r="D104" s="491"/>
      <c r="E104" s="492">
        <f t="shared" si="20"/>
        <v>1.2352941176470587E-7</v>
      </c>
      <c r="F104" s="492">
        <f t="shared" si="21"/>
        <v>1.2352941176470587E-7</v>
      </c>
      <c r="G104" s="492">
        <f t="shared" si="22"/>
        <v>5.4105882352941171E-7</v>
      </c>
      <c r="H104" s="493">
        <f t="shared" si="23"/>
        <v>0</v>
      </c>
    </row>
    <row r="105" spans="1:8">
      <c r="A105" s="319" t="s">
        <v>96</v>
      </c>
      <c r="B105" s="489">
        <f>IFERROR(INDEX('Emission Factors'!$A$2:$CH$104,MATCH($A105,'Emission Factors'!$A$2:$A$104,0),MATCH(C$11,'Emission Factors'!$A$2:$CH$2,0)),"")</f>
        <v>7.4999999999999997E-2</v>
      </c>
      <c r="C105" s="490"/>
      <c r="D105" s="491"/>
      <c r="E105" s="492">
        <f t="shared" si="20"/>
        <v>1.1029411764705881E-4</v>
      </c>
      <c r="F105" s="492">
        <f t="shared" si="21"/>
        <v>1.1029411764705881E-4</v>
      </c>
      <c r="G105" s="492">
        <f t="shared" si="22"/>
        <v>4.8308823529411758E-4</v>
      </c>
      <c r="H105" s="493">
        <f t="shared" si="23"/>
        <v>0</v>
      </c>
    </row>
    <row r="106" spans="1:8">
      <c r="A106" s="319" t="s">
        <v>97</v>
      </c>
      <c r="B106" s="489">
        <f>IFERROR(INDEX('Emission Factors'!$A$2:$CH$104,MATCH($A106,'Emission Factors'!$A$2:$A$104,0),MATCH(C$11,'Emission Factors'!$A$2:$CH$2,0)),"")</f>
        <v>1.8</v>
      </c>
      <c r="C106" s="490"/>
      <c r="D106" s="491"/>
      <c r="E106" s="492">
        <f t="shared" si="20"/>
        <v>2.6470588235294116E-3</v>
      </c>
      <c r="F106" s="492">
        <f t="shared" si="21"/>
        <v>2.6470588235294116E-3</v>
      </c>
      <c r="G106" s="492">
        <f t="shared" si="22"/>
        <v>1.1594117647058822E-2</v>
      </c>
      <c r="H106" s="493">
        <f t="shared" si="23"/>
        <v>0</v>
      </c>
    </row>
    <row r="107" spans="1:8">
      <c r="A107" s="319" t="s">
        <v>98</v>
      </c>
      <c r="B107" s="489">
        <f>IFERROR(INDEX('Emission Factors'!$A$2:$CH$104,MATCH($A107,'Emission Factors'!$A$2:$A$104,0),MATCH(C$11,'Emission Factors'!$A$2:$CH$2,0)),"")</f>
        <v>3.8000000000000002E-4</v>
      </c>
      <c r="C107" s="490"/>
      <c r="D107" s="491"/>
      <c r="E107" s="492">
        <f t="shared" si="20"/>
        <v>5.588235294117647E-7</v>
      </c>
      <c r="F107" s="492">
        <f t="shared" si="21"/>
        <v>5.588235294117647E-7</v>
      </c>
      <c r="G107" s="492">
        <f t="shared" si="22"/>
        <v>2.4476470588235294E-6</v>
      </c>
      <c r="H107" s="493">
        <f t="shared" si="23"/>
        <v>0</v>
      </c>
    </row>
    <row r="108" spans="1:8">
      <c r="A108" s="319" t="s">
        <v>99</v>
      </c>
      <c r="B108" s="489">
        <f>IFERROR(INDEX('Emission Factors'!$A$2:$CH$104,MATCH($A108,'Emission Factors'!$A$2:$A$104,0),MATCH(C$11,'Emission Factors'!$A$2:$CH$2,0)),"")</f>
        <v>2.5999999999999998E-4</v>
      </c>
      <c r="C108" s="490"/>
      <c r="D108" s="491"/>
      <c r="E108" s="492">
        <f t="shared" si="20"/>
        <v>3.8235294117647053E-7</v>
      </c>
      <c r="F108" s="492">
        <f t="shared" si="21"/>
        <v>3.8235294117647053E-7</v>
      </c>
      <c r="G108" s="492">
        <f t="shared" si="22"/>
        <v>1.674705882352941E-6</v>
      </c>
      <c r="H108" s="493">
        <f t="shared" si="23"/>
        <v>0</v>
      </c>
    </row>
    <row r="109" spans="1:8">
      <c r="A109" s="319" t="s">
        <v>100</v>
      </c>
      <c r="B109" s="489">
        <f>IFERROR(INDEX('Emission Factors'!$A$2:$CH$104,MATCH($A109,'Emission Factors'!$A$2:$A$104,0),MATCH(C$11,'Emission Factors'!$A$2:$CH$2,0)),"")</f>
        <v>6.0999999999999997E-4</v>
      </c>
      <c r="C109" s="490"/>
      <c r="D109" s="491"/>
      <c r="E109" s="492">
        <f t="shared" si="20"/>
        <v>8.9705882352941166E-7</v>
      </c>
      <c r="F109" s="492">
        <f t="shared" si="21"/>
        <v>8.9705882352941166E-7</v>
      </c>
      <c r="G109" s="492">
        <f t="shared" si="22"/>
        <v>3.9291176470588234E-6</v>
      </c>
      <c r="H109" s="493">
        <f t="shared" si="23"/>
        <v>0</v>
      </c>
    </row>
    <row r="110" spans="1:8">
      <c r="A110" s="319" t="s">
        <v>101</v>
      </c>
      <c r="B110" s="489">
        <f>IFERROR(INDEX('Emission Factors'!$A$2:$CH$104,MATCH($A110,'Emission Factors'!$A$2:$A$104,0),MATCH(C$11,'Emission Factors'!$A$2:$CH$2,0)),"")</f>
        <v>2.0999999999999999E-3</v>
      </c>
      <c r="C110" s="490"/>
      <c r="D110" s="491"/>
      <c r="E110" s="492">
        <f t="shared" si="20"/>
        <v>3.0882352941176468E-6</v>
      </c>
      <c r="F110" s="492">
        <f t="shared" si="21"/>
        <v>3.0882352941176468E-6</v>
      </c>
      <c r="G110" s="492">
        <f t="shared" si="22"/>
        <v>1.3526470588235293E-5</v>
      </c>
      <c r="H110" s="493">
        <f t="shared" si="23"/>
        <v>0</v>
      </c>
    </row>
    <row r="111" spans="1:8">
      <c r="A111" s="319" t="s">
        <v>102</v>
      </c>
      <c r="B111" s="489">
        <f>IFERROR(INDEX('Emission Factors'!$A$2:$CH$104,MATCH($A111,'Emission Factors'!$A$2:$A$104,0),MATCH(C$11,'Emission Factors'!$A$2:$CH$2,0)),"")</f>
        <v>6.9819999999999995E-4</v>
      </c>
      <c r="C111" s="490"/>
      <c r="D111" s="491"/>
      <c r="E111" s="492">
        <f t="shared" si="20"/>
        <v>1.0267647058823528E-6</v>
      </c>
      <c r="F111" s="492">
        <f t="shared" si="21"/>
        <v>1.0267647058823528E-6</v>
      </c>
      <c r="G111" s="492">
        <f t="shared" si="22"/>
        <v>4.4972294117647047E-6</v>
      </c>
      <c r="H111" s="493">
        <f t="shared" si="23"/>
        <v>0</v>
      </c>
    </row>
    <row r="112" spans="1:8">
      <c r="A112" s="319" t="s">
        <v>103</v>
      </c>
      <c r="B112" s="489">
        <f>IFERROR(INDEX('Emission Factors'!$A$2:$CH$104,MATCH($A112,'Emission Factors'!$A$2:$A$104,0),MATCH(C$11,'Emission Factors'!$A$2:$CH$2,0)),"")</f>
        <v>2.4000000000000001E-5</v>
      </c>
      <c r="C112" s="490"/>
      <c r="D112" s="491"/>
      <c r="E112" s="492">
        <f t="shared" si="20"/>
        <v>3.5294117647058824E-8</v>
      </c>
      <c r="F112" s="492">
        <f t="shared" si="21"/>
        <v>3.5294117647058824E-8</v>
      </c>
      <c r="G112" s="492">
        <f t="shared" si="22"/>
        <v>1.5458823529411765E-7</v>
      </c>
      <c r="H112" s="493">
        <f t="shared" si="23"/>
        <v>0</v>
      </c>
    </row>
    <row r="113" spans="1:8" ht="13.5" thickBot="1">
      <c r="A113" s="322" t="s">
        <v>104</v>
      </c>
      <c r="B113" s="499">
        <f>IFERROR(INDEX('Emission Factors'!$A$2:$CH$104,MATCH($A113,'Emission Factors'!$A$2:$A$104,0),MATCH(C$11,'Emission Factors'!$A$2:$CH$2,0)),"")</f>
        <v>3.3999999999999998E-3</v>
      </c>
      <c r="C113" s="500"/>
      <c r="D113" s="501"/>
      <c r="E113" s="502">
        <f t="shared" si="20"/>
        <v>4.9999999999999996E-6</v>
      </c>
      <c r="F113" s="502">
        <f t="shared" si="21"/>
        <v>4.9999999999999996E-6</v>
      </c>
      <c r="G113" s="502">
        <f t="shared" si="22"/>
        <v>2.19E-5</v>
      </c>
      <c r="H113" s="503">
        <f t="shared" si="23"/>
        <v>0</v>
      </c>
    </row>
    <row r="114" spans="1:8">
      <c r="A114" s="465"/>
      <c r="B114" s="466" t="s">
        <v>63</v>
      </c>
      <c r="C114" s="467" t="s">
        <v>283</v>
      </c>
      <c r="D114" s="468"/>
      <c r="E114" s="468"/>
      <c r="F114" s="468"/>
      <c r="G114" s="468"/>
      <c r="H114" s="469"/>
    </row>
    <row r="115" spans="1:8">
      <c r="A115" s="465"/>
      <c r="B115" s="470" t="s">
        <v>64</v>
      </c>
      <c r="C115" s="471">
        <f>'AL Melting'!G12</f>
        <v>1.5</v>
      </c>
      <c r="D115" s="465"/>
      <c r="E115" s="465"/>
      <c r="F115" s="465"/>
      <c r="G115" s="465"/>
      <c r="H115" s="472"/>
    </row>
    <row r="116" spans="1:8">
      <c r="A116" s="465"/>
      <c r="B116" s="470" t="s">
        <v>65</v>
      </c>
      <c r="C116" s="471">
        <f>C115/'AL Melting'!$G$20</f>
        <v>1.4705882352941176E-3</v>
      </c>
      <c r="D116" s="465"/>
      <c r="E116" s="465"/>
      <c r="F116" s="465"/>
      <c r="G116" s="465"/>
      <c r="H116" s="472"/>
    </row>
    <row r="117" spans="1:8">
      <c r="A117" s="465"/>
      <c r="B117" s="473" t="s">
        <v>66</v>
      </c>
      <c r="C117" s="474">
        <v>8760</v>
      </c>
      <c r="D117" s="465"/>
      <c r="E117" s="465"/>
      <c r="F117" s="465"/>
      <c r="G117" s="465"/>
      <c r="H117" s="472"/>
    </row>
    <row r="118" spans="1:8">
      <c r="A118" s="465"/>
      <c r="B118" s="473" t="s">
        <v>67</v>
      </c>
      <c r="C118" s="474"/>
      <c r="D118" s="465"/>
      <c r="E118" s="465"/>
      <c r="F118" s="465"/>
      <c r="G118" s="465"/>
      <c r="H118" s="472"/>
    </row>
    <row r="119" spans="1:8" ht="13.5" thickBot="1">
      <c r="A119" s="465"/>
      <c r="B119" s="475" t="s">
        <v>68</v>
      </c>
      <c r="C119" s="476" t="s">
        <v>69</v>
      </c>
      <c r="D119" s="477"/>
      <c r="E119" s="477"/>
      <c r="F119" s="477"/>
      <c r="G119" s="477"/>
      <c r="H119" s="478"/>
    </row>
    <row r="120" spans="1:8" ht="26.5" thickBot="1">
      <c r="A120" s="479" t="s">
        <v>70</v>
      </c>
      <c r="B120" s="480" t="s">
        <v>71</v>
      </c>
      <c r="C120" s="481" t="s">
        <v>72</v>
      </c>
      <c r="D120" s="481" t="s">
        <v>73</v>
      </c>
      <c r="E120" s="481" t="s">
        <v>833</v>
      </c>
      <c r="F120" s="482" t="s">
        <v>279</v>
      </c>
      <c r="G120" s="482" t="s">
        <v>280</v>
      </c>
      <c r="H120" s="483" t="s">
        <v>281</v>
      </c>
    </row>
    <row r="121" spans="1:8">
      <c r="A121" s="314" t="s">
        <v>19</v>
      </c>
      <c r="B121" s="484">
        <f>IFERROR(INDEX('Emission Factors'!$A$2:$CH$104,MATCH($A121,'Emission Factors'!$A$2:$A$104,0),MATCH(C$11,'Emission Factors'!$A$2:$CH$2,0)),"")</f>
        <v>7.6</v>
      </c>
      <c r="C121" s="485"/>
      <c r="D121" s="486"/>
      <c r="E121" s="487">
        <f t="shared" ref="E121:E129" si="24">IF(C121&gt;0,C121,B121)*C$8</f>
        <v>1.1176470588235293E-2</v>
      </c>
      <c r="F121" s="487">
        <f t="shared" ref="F121:F129" si="25">IF(C121&gt;0,C121,B121)*C$8*(1-D121)</f>
        <v>1.1176470588235293E-2</v>
      </c>
      <c r="G121" s="487">
        <f t="shared" ref="G121:G129" si="26">IF(C121&gt;0,C121,B121)*C$8*C$9/2000</f>
        <v>4.8952941176470581E-2</v>
      </c>
      <c r="H121" s="488">
        <f t="shared" ref="H121:H129" si="27">IF(C121&gt;0,C121,B121)*C$8*(1-D121)*C$10/2000</f>
        <v>0</v>
      </c>
    </row>
    <row r="122" spans="1:8">
      <c r="A122" s="319" t="s">
        <v>77</v>
      </c>
      <c r="B122" s="489">
        <f>IFERROR(INDEX('Emission Factors'!$A$2:$CH$104,MATCH($A122,'Emission Factors'!$A$2:$A$104,0),MATCH(C$11,'Emission Factors'!$A$2:$CH$2,0)),"")</f>
        <v>7.6</v>
      </c>
      <c r="C122" s="490"/>
      <c r="D122" s="491"/>
      <c r="E122" s="492">
        <f t="shared" si="24"/>
        <v>1.1176470588235293E-2</v>
      </c>
      <c r="F122" s="492">
        <f t="shared" si="25"/>
        <v>1.1176470588235293E-2</v>
      </c>
      <c r="G122" s="492">
        <f t="shared" si="26"/>
        <v>4.8952941176470581E-2</v>
      </c>
      <c r="H122" s="493">
        <f t="shared" si="27"/>
        <v>0</v>
      </c>
    </row>
    <row r="123" spans="1:8">
      <c r="A123" s="319" t="s">
        <v>78</v>
      </c>
      <c r="B123" s="489">
        <f>IFERROR(INDEX('Emission Factors'!$A$2:$CH$104,MATCH($A123,'Emission Factors'!$A$2:$A$104,0),MATCH(C$11,'Emission Factors'!$A$2:$CH$2,0)),"")</f>
        <v>7.6</v>
      </c>
      <c r="C123" s="490"/>
      <c r="D123" s="491"/>
      <c r="E123" s="492">
        <f t="shared" si="24"/>
        <v>1.1176470588235293E-2</v>
      </c>
      <c r="F123" s="492">
        <f t="shared" si="25"/>
        <v>1.1176470588235293E-2</v>
      </c>
      <c r="G123" s="492">
        <f t="shared" si="26"/>
        <v>4.8952941176470581E-2</v>
      </c>
      <c r="H123" s="493">
        <f t="shared" si="27"/>
        <v>0</v>
      </c>
    </row>
    <row r="124" spans="1:8">
      <c r="A124" s="319" t="s">
        <v>79</v>
      </c>
      <c r="B124" s="489">
        <f>IFERROR(INDEX('Emission Factors'!$A$2:$CH$104,MATCH($A124,'Emission Factors'!$A$2:$A$104,0),MATCH(C$11,'Emission Factors'!$A$2:$CH$2,0)),"")</f>
        <v>100</v>
      </c>
      <c r="C124" s="490"/>
      <c r="D124" s="491"/>
      <c r="E124" s="492">
        <f t="shared" si="24"/>
        <v>0.14705882352941177</v>
      </c>
      <c r="F124" s="492">
        <f t="shared" si="25"/>
        <v>0.14705882352941177</v>
      </c>
      <c r="G124" s="492">
        <f t="shared" si="26"/>
        <v>0.64411764705882357</v>
      </c>
      <c r="H124" s="493">
        <f t="shared" si="27"/>
        <v>0</v>
      </c>
    </row>
    <row r="125" spans="1:8">
      <c r="A125" s="319" t="s">
        <v>80</v>
      </c>
      <c r="B125" s="489">
        <f>IFERROR(INDEX('Emission Factors'!$A$2:$CH$104,MATCH($A125,'Emission Factors'!$A$2:$A$104,0),MATCH(C$11,'Emission Factors'!$A$2:$CH$2,0)),"")</f>
        <v>84</v>
      </c>
      <c r="C125" s="490"/>
      <c r="D125" s="491"/>
      <c r="E125" s="492">
        <f t="shared" si="24"/>
        <v>0.12352941176470589</v>
      </c>
      <c r="F125" s="492">
        <f t="shared" si="25"/>
        <v>0.12352941176470589</v>
      </c>
      <c r="G125" s="492">
        <f t="shared" si="26"/>
        <v>0.54105882352941181</v>
      </c>
      <c r="H125" s="493">
        <f t="shared" si="27"/>
        <v>0</v>
      </c>
    </row>
    <row r="126" spans="1:8">
      <c r="A126" s="319" t="s">
        <v>81</v>
      </c>
      <c r="B126" s="489">
        <f>IFERROR(INDEX('Emission Factors'!$A$2:$CH$104,MATCH($A126,'Emission Factors'!$A$2:$A$104,0),MATCH(C$11,'Emission Factors'!$A$2:$CH$2,0)),"")</f>
        <v>0.6</v>
      </c>
      <c r="C126" s="490"/>
      <c r="D126" s="491"/>
      <c r="E126" s="492">
        <f t="shared" si="24"/>
        <v>8.8235294117647051E-4</v>
      </c>
      <c r="F126" s="492">
        <f t="shared" si="25"/>
        <v>8.8235294117647051E-4</v>
      </c>
      <c r="G126" s="492">
        <f t="shared" si="26"/>
        <v>3.8647058823529407E-3</v>
      </c>
      <c r="H126" s="493">
        <f t="shared" si="27"/>
        <v>0</v>
      </c>
    </row>
    <row r="127" spans="1:8">
      <c r="A127" s="319" t="s">
        <v>82</v>
      </c>
      <c r="B127" s="489">
        <f>IFERROR(INDEX('Emission Factors'!$A$2:$CH$104,MATCH($A127,'Emission Factors'!$A$2:$A$104,0),MATCH(C$11,'Emission Factors'!$A$2:$CH$2,0)),"")</f>
        <v>5.5</v>
      </c>
      <c r="C127" s="490"/>
      <c r="D127" s="491"/>
      <c r="E127" s="492">
        <f t="shared" si="24"/>
        <v>8.0882352941176461E-3</v>
      </c>
      <c r="F127" s="492">
        <f t="shared" si="25"/>
        <v>8.0882352941176461E-3</v>
      </c>
      <c r="G127" s="492">
        <f t="shared" si="26"/>
        <v>3.5426470588235288E-2</v>
      </c>
      <c r="H127" s="493">
        <f t="shared" si="27"/>
        <v>0</v>
      </c>
    </row>
    <row r="128" spans="1:8">
      <c r="A128" s="319" t="s">
        <v>83</v>
      </c>
      <c r="B128" s="489">
        <f>IFERROR(INDEX('Emission Factors'!$A$2:$CH$104,MATCH($A128,'Emission Factors'!$A$2:$A$104,0),MATCH(C$11,'Emission Factors'!$A$2:$CH$2,0)),"")</f>
        <v>5.0000000000000001E-4</v>
      </c>
      <c r="C128" s="490"/>
      <c r="D128" s="491"/>
      <c r="E128" s="492">
        <f t="shared" si="24"/>
        <v>7.3529411764705886E-7</v>
      </c>
      <c r="F128" s="492">
        <f t="shared" si="25"/>
        <v>7.3529411764705886E-7</v>
      </c>
      <c r="G128" s="492">
        <f t="shared" si="26"/>
        <v>3.2205882352941177E-6</v>
      </c>
      <c r="H128" s="493">
        <f t="shared" si="27"/>
        <v>0</v>
      </c>
    </row>
    <row r="129" spans="1:8" ht="13.5" thickBot="1">
      <c r="A129" s="322" t="s">
        <v>84</v>
      </c>
      <c r="B129" s="494">
        <f>IFERROR(INDEX('Emission Factors'!$A$2:$CH$104,MATCH($A129,'Emission Factors'!$A$2:$A$104,0),MATCH(C$11,'Emission Factors'!$A$2:$CH$2,0)),"")</f>
        <v>1.8879582000000001</v>
      </c>
      <c r="C129" s="495"/>
      <c r="D129" s="496"/>
      <c r="E129" s="497">
        <f t="shared" si="24"/>
        <v>2.7764091176470588E-3</v>
      </c>
      <c r="F129" s="497">
        <f t="shared" si="25"/>
        <v>2.7764091176470588E-3</v>
      </c>
      <c r="G129" s="497">
        <f t="shared" si="26"/>
        <v>1.2160671935294118E-2</v>
      </c>
      <c r="H129" s="498">
        <f t="shared" si="27"/>
        <v>0</v>
      </c>
    </row>
    <row r="130" spans="1:8">
      <c r="A130" s="314" t="s">
        <v>85</v>
      </c>
      <c r="B130" s="484">
        <f>IFERROR(INDEX('Emission Factors'!$A$2:$CH$104,MATCH($A130,'Emission Factors'!$A$2:$A$104,0),MATCH(C$11,'Emission Factors'!$A$2:$CH$2,0))*2.2046,"")</f>
        <v>116.97607600000001</v>
      </c>
      <c r="C130" s="485"/>
      <c r="D130" s="486"/>
      <c r="E130" s="487">
        <f>IF(C130&gt;0,C130,B130)*C$7</f>
        <v>175.464114</v>
      </c>
      <c r="F130" s="487">
        <f>IF(C130&gt;0,C130,B130)*C$7*(1-D130)</f>
        <v>175.464114</v>
      </c>
      <c r="G130" s="487">
        <f>IF(C130&gt;0,C130,B130)*C$7*C$9/2000</f>
        <v>768.53281932000004</v>
      </c>
      <c r="H130" s="488">
        <f>IF(C130&gt;0,C130,B130)*C$7*(1-D130)*C$10/2000</f>
        <v>0</v>
      </c>
    </row>
    <row r="131" spans="1:8">
      <c r="A131" s="319" t="s">
        <v>86</v>
      </c>
      <c r="B131" s="489">
        <f>IFERROR(INDEX('Emission Factors'!$A$2:$CH$104,MATCH($A131,'Emission Factors'!$A$2:$A$104,0),MATCH(C$11,'Emission Factors'!$A$2:$CH$2,0))*2.2046,"")</f>
        <v>2.2046000000000001E-3</v>
      </c>
      <c r="C131" s="490"/>
      <c r="D131" s="491"/>
      <c r="E131" s="492">
        <f>IF(C131&gt;0,C131,B131)*C$7</f>
        <v>3.3069000000000002E-3</v>
      </c>
      <c r="F131" s="492">
        <f>IF(C131&gt;0,C131,B131)*C$7*(1-D131)</f>
        <v>3.3069000000000002E-3</v>
      </c>
      <c r="G131" s="492">
        <f>IF(C131&gt;0,C131,B131)*C$7*C$9/2000</f>
        <v>1.4484222000000001E-2</v>
      </c>
      <c r="H131" s="493">
        <f>IF(C131&gt;0,C131,B131)*C$7*(1-D131)*C$10/2000</f>
        <v>0</v>
      </c>
    </row>
    <row r="132" spans="1:8">
      <c r="A132" s="319" t="s">
        <v>87</v>
      </c>
      <c r="B132" s="489">
        <f>IFERROR(INDEX('Emission Factors'!$A$2:$CH$104,MATCH($A132,'Emission Factors'!$A$2:$A$104,0),MATCH(C$11,'Emission Factors'!$A$2:$CH$2,0))*2.2046,"")</f>
        <v>2.2046000000000001E-4</v>
      </c>
      <c r="C132" s="490"/>
      <c r="D132" s="491"/>
      <c r="E132" s="492">
        <f>IF(C132&gt;0,C132,B132)*C$7</f>
        <v>3.3069000000000002E-4</v>
      </c>
      <c r="F132" s="492">
        <f>IF(C132&gt;0,C132,B132)*C$7*(1-D132)</f>
        <v>3.3069000000000002E-4</v>
      </c>
      <c r="G132" s="492">
        <f>IF(C132&gt;0,C132,B132)*C$7*C$9/2000</f>
        <v>1.4484222000000001E-3</v>
      </c>
      <c r="H132" s="493">
        <f>IF(C132&gt;0,C132,B132)*C$7*(1-D132)*C$10/2000</f>
        <v>0</v>
      </c>
    </row>
    <row r="133" spans="1:8" ht="13.5" thickBot="1">
      <c r="A133" s="322" t="s">
        <v>88</v>
      </c>
      <c r="B133" s="499">
        <f>IFERROR(INDEX('Emission Factors'!$A$2:$CH$104,MATCH($A133,'Emission Factors'!$A$2:$A$104,0),MATCH(C$11,'Emission Factors'!$A$2:$CH$2,0))*2.2046,"")</f>
        <v>117.09688808000001</v>
      </c>
      <c r="C133" s="500"/>
      <c r="D133" s="501"/>
      <c r="E133" s="502">
        <f>IF(C133&gt;0,C133,B133)*C$7</f>
        <v>175.64533212000003</v>
      </c>
      <c r="F133" s="502">
        <f>IF(C133&gt;0,C133,B133)*C$7*(1-D133)</f>
        <v>175.64533212000003</v>
      </c>
      <c r="G133" s="502">
        <f>IF(C133&gt;0,C133,B133)*C$7*C$9/2000</f>
        <v>769.32655468560006</v>
      </c>
      <c r="H133" s="503">
        <f>IF(C133&gt;0,C133,B133)*C$7*(1-D133)*C$10/2000</f>
        <v>0</v>
      </c>
    </row>
    <row r="134" spans="1:8">
      <c r="A134" s="314" t="s">
        <v>89</v>
      </c>
      <c r="B134" s="504">
        <f>IFERROR(INDEX('Emission Factors'!$A$2:$CH$104,MATCH($A134,'Emission Factors'!$A$2:$A$104,0),MATCH(C$11,'Emission Factors'!$A$2:$CH$2,0)),"")</f>
        <v>1.1999999999999999E-3</v>
      </c>
      <c r="C134" s="485"/>
      <c r="D134" s="486"/>
      <c r="E134" s="505">
        <f t="shared" ref="E134:E149" si="28">IF(C134&gt;0,C134,B134)*C$8</f>
        <v>1.764705882352941E-6</v>
      </c>
      <c r="F134" s="505">
        <f t="shared" ref="F134:F149" si="29">IF(C134&gt;0,C134,B134)*C$8*(1-D134)</f>
        <v>1.764705882352941E-6</v>
      </c>
      <c r="G134" s="505">
        <f t="shared" ref="G134:G149" si="30">IF(C134&gt;0,C134,B134)*C$8*C$9/2000</f>
        <v>7.7294117647058808E-6</v>
      </c>
      <c r="H134" s="506">
        <f t="shared" ref="H134:H149" si="31">IF(C134&gt;0,C134,B134)*C$8*(1-D134)*C$10/2000</f>
        <v>0</v>
      </c>
    </row>
    <row r="135" spans="1:8">
      <c r="A135" s="327" t="s">
        <v>90</v>
      </c>
      <c r="B135" s="504">
        <f>IFERROR(INDEX('Emission Factors'!$A$2:$CH$104,MATCH($A135,'Emission Factors'!$A$2:$A$104,0),MATCH(C$11,'Emission Factors'!$A$2:$CH$2,0)),"")</f>
        <v>2.0000000000000001E-4</v>
      </c>
      <c r="C135" s="507"/>
      <c r="D135" s="508"/>
      <c r="E135" s="505">
        <f t="shared" si="28"/>
        <v>2.9411764705882356E-7</v>
      </c>
      <c r="F135" s="505">
        <f t="shared" si="29"/>
        <v>2.9411764705882356E-7</v>
      </c>
      <c r="G135" s="505">
        <f t="shared" si="30"/>
        <v>1.2882352941176471E-6</v>
      </c>
      <c r="H135" s="506">
        <f t="shared" si="31"/>
        <v>0</v>
      </c>
    </row>
    <row r="136" spans="1:8">
      <c r="A136" s="319" t="s">
        <v>91</v>
      </c>
      <c r="B136" s="489">
        <f>IFERROR(INDEX('Emission Factors'!$A$2:$CH$104,MATCH($A136,'Emission Factors'!$A$2:$A$104,0),MATCH(C$11,'Emission Factors'!$A$2:$CH$2,0)),"")</f>
        <v>2.0999999999999999E-3</v>
      </c>
      <c r="C136" s="490"/>
      <c r="D136" s="491"/>
      <c r="E136" s="492">
        <f t="shared" si="28"/>
        <v>3.0882352941176468E-6</v>
      </c>
      <c r="F136" s="492">
        <f t="shared" si="29"/>
        <v>3.0882352941176468E-6</v>
      </c>
      <c r="G136" s="492">
        <f t="shared" si="30"/>
        <v>1.3526470588235293E-5</v>
      </c>
      <c r="H136" s="493">
        <f t="shared" si="31"/>
        <v>0</v>
      </c>
    </row>
    <row r="137" spans="1:8">
      <c r="A137" s="319" t="s">
        <v>92</v>
      </c>
      <c r="B137" s="489">
        <f>IFERROR(INDEX('Emission Factors'!$A$2:$CH$104,MATCH($A137,'Emission Factors'!$A$2:$A$104,0),MATCH(C$11,'Emission Factors'!$A$2:$CH$2,0)),"")</f>
        <v>1.2E-5</v>
      </c>
      <c r="C137" s="490"/>
      <c r="D137" s="491"/>
      <c r="E137" s="492">
        <f t="shared" si="28"/>
        <v>1.7647058823529412E-8</v>
      </c>
      <c r="F137" s="492">
        <f t="shared" si="29"/>
        <v>1.7647058823529412E-8</v>
      </c>
      <c r="G137" s="492">
        <f t="shared" si="30"/>
        <v>7.7294117647058823E-8</v>
      </c>
      <c r="H137" s="493">
        <f t="shared" si="31"/>
        <v>0</v>
      </c>
    </row>
    <row r="138" spans="1:8">
      <c r="A138" s="319" t="s">
        <v>93</v>
      </c>
      <c r="B138" s="489">
        <f>IFERROR(INDEX('Emission Factors'!$A$2:$CH$104,MATCH($A138,'Emission Factors'!$A$2:$A$104,0),MATCH(C$11,'Emission Factors'!$A$2:$CH$2,0)),"")</f>
        <v>1.1000000000000001E-3</v>
      </c>
      <c r="C138" s="490"/>
      <c r="D138" s="491"/>
      <c r="E138" s="492">
        <f t="shared" si="28"/>
        <v>1.6176470588235295E-6</v>
      </c>
      <c r="F138" s="492">
        <f t="shared" si="29"/>
        <v>1.6176470588235295E-6</v>
      </c>
      <c r="G138" s="492">
        <f t="shared" si="30"/>
        <v>7.0852941176470598E-6</v>
      </c>
      <c r="H138" s="493">
        <f t="shared" si="31"/>
        <v>0</v>
      </c>
    </row>
    <row r="139" spans="1:8">
      <c r="A139" s="319" t="s">
        <v>94</v>
      </c>
      <c r="B139" s="489">
        <f>IFERROR(INDEX('Emission Factors'!$A$2:$CH$104,MATCH($A139,'Emission Factors'!$A$2:$A$104,0),MATCH(C$11,'Emission Factors'!$A$2:$CH$2,0)),"")</f>
        <v>1.4E-3</v>
      </c>
      <c r="C139" s="490"/>
      <c r="D139" s="491"/>
      <c r="E139" s="492">
        <f t="shared" si="28"/>
        <v>2.0588235294117645E-6</v>
      </c>
      <c r="F139" s="492">
        <f t="shared" si="29"/>
        <v>2.0588235294117645E-6</v>
      </c>
      <c r="G139" s="492">
        <f t="shared" si="30"/>
        <v>9.0176470588235279E-6</v>
      </c>
      <c r="H139" s="493">
        <f t="shared" si="31"/>
        <v>0</v>
      </c>
    </row>
    <row r="140" spans="1:8">
      <c r="A140" s="319" t="s">
        <v>95</v>
      </c>
      <c r="B140" s="489">
        <f>IFERROR(INDEX('Emission Factors'!$A$2:$CH$104,MATCH($A140,'Emission Factors'!$A$2:$A$104,0),MATCH(C$11,'Emission Factors'!$A$2:$CH$2,0)),"")</f>
        <v>8.3999999999999995E-5</v>
      </c>
      <c r="C140" s="490"/>
      <c r="D140" s="491"/>
      <c r="E140" s="492">
        <f t="shared" si="28"/>
        <v>1.2352941176470587E-7</v>
      </c>
      <c r="F140" s="492">
        <f t="shared" si="29"/>
        <v>1.2352941176470587E-7</v>
      </c>
      <c r="G140" s="492">
        <f t="shared" si="30"/>
        <v>5.4105882352941171E-7</v>
      </c>
      <c r="H140" s="493">
        <f t="shared" si="31"/>
        <v>0</v>
      </c>
    </row>
    <row r="141" spans="1:8">
      <c r="A141" s="319" t="s">
        <v>96</v>
      </c>
      <c r="B141" s="489">
        <f>IFERROR(INDEX('Emission Factors'!$A$2:$CH$104,MATCH($A141,'Emission Factors'!$A$2:$A$104,0),MATCH(C$11,'Emission Factors'!$A$2:$CH$2,0)),"")</f>
        <v>7.4999999999999997E-2</v>
      </c>
      <c r="C141" s="490"/>
      <c r="D141" s="491"/>
      <c r="E141" s="492">
        <f t="shared" si="28"/>
        <v>1.1029411764705881E-4</v>
      </c>
      <c r="F141" s="492">
        <f t="shared" si="29"/>
        <v>1.1029411764705881E-4</v>
      </c>
      <c r="G141" s="492">
        <f t="shared" si="30"/>
        <v>4.8308823529411758E-4</v>
      </c>
      <c r="H141" s="493">
        <f t="shared" si="31"/>
        <v>0</v>
      </c>
    </row>
    <row r="142" spans="1:8">
      <c r="A142" s="319" t="s">
        <v>97</v>
      </c>
      <c r="B142" s="489">
        <f>IFERROR(INDEX('Emission Factors'!$A$2:$CH$104,MATCH($A142,'Emission Factors'!$A$2:$A$104,0),MATCH(C$11,'Emission Factors'!$A$2:$CH$2,0)),"")</f>
        <v>1.8</v>
      </c>
      <c r="C142" s="490"/>
      <c r="D142" s="491"/>
      <c r="E142" s="492">
        <f t="shared" si="28"/>
        <v>2.6470588235294116E-3</v>
      </c>
      <c r="F142" s="492">
        <f t="shared" si="29"/>
        <v>2.6470588235294116E-3</v>
      </c>
      <c r="G142" s="492">
        <f t="shared" si="30"/>
        <v>1.1594117647058822E-2</v>
      </c>
      <c r="H142" s="493">
        <f t="shared" si="31"/>
        <v>0</v>
      </c>
    </row>
    <row r="143" spans="1:8">
      <c r="A143" s="319" t="s">
        <v>98</v>
      </c>
      <c r="B143" s="489">
        <f>IFERROR(INDEX('Emission Factors'!$A$2:$CH$104,MATCH($A143,'Emission Factors'!$A$2:$A$104,0),MATCH(C$11,'Emission Factors'!$A$2:$CH$2,0)),"")</f>
        <v>3.8000000000000002E-4</v>
      </c>
      <c r="C143" s="490"/>
      <c r="D143" s="491"/>
      <c r="E143" s="492">
        <f t="shared" si="28"/>
        <v>5.588235294117647E-7</v>
      </c>
      <c r="F143" s="492">
        <f t="shared" si="29"/>
        <v>5.588235294117647E-7</v>
      </c>
      <c r="G143" s="492">
        <f t="shared" si="30"/>
        <v>2.4476470588235294E-6</v>
      </c>
      <c r="H143" s="493">
        <f t="shared" si="31"/>
        <v>0</v>
      </c>
    </row>
    <row r="144" spans="1:8">
      <c r="A144" s="319" t="s">
        <v>99</v>
      </c>
      <c r="B144" s="489">
        <f>IFERROR(INDEX('Emission Factors'!$A$2:$CH$104,MATCH($A144,'Emission Factors'!$A$2:$A$104,0),MATCH(C$11,'Emission Factors'!$A$2:$CH$2,0)),"")</f>
        <v>2.5999999999999998E-4</v>
      </c>
      <c r="C144" s="490"/>
      <c r="D144" s="491"/>
      <c r="E144" s="492">
        <f t="shared" si="28"/>
        <v>3.8235294117647053E-7</v>
      </c>
      <c r="F144" s="492">
        <f t="shared" si="29"/>
        <v>3.8235294117647053E-7</v>
      </c>
      <c r="G144" s="492">
        <f t="shared" si="30"/>
        <v>1.674705882352941E-6</v>
      </c>
      <c r="H144" s="493">
        <f t="shared" si="31"/>
        <v>0</v>
      </c>
    </row>
    <row r="145" spans="1:8">
      <c r="A145" s="319" t="s">
        <v>100</v>
      </c>
      <c r="B145" s="489">
        <f>IFERROR(INDEX('Emission Factors'!$A$2:$CH$104,MATCH($A145,'Emission Factors'!$A$2:$A$104,0),MATCH(C$11,'Emission Factors'!$A$2:$CH$2,0)),"")</f>
        <v>6.0999999999999997E-4</v>
      </c>
      <c r="C145" s="490"/>
      <c r="D145" s="491"/>
      <c r="E145" s="492">
        <f t="shared" si="28"/>
        <v>8.9705882352941166E-7</v>
      </c>
      <c r="F145" s="492">
        <f t="shared" si="29"/>
        <v>8.9705882352941166E-7</v>
      </c>
      <c r="G145" s="492">
        <f t="shared" si="30"/>
        <v>3.9291176470588234E-6</v>
      </c>
      <c r="H145" s="493">
        <f t="shared" si="31"/>
        <v>0</v>
      </c>
    </row>
    <row r="146" spans="1:8">
      <c r="A146" s="319" t="s">
        <v>101</v>
      </c>
      <c r="B146" s="489">
        <f>IFERROR(INDEX('Emission Factors'!$A$2:$CH$104,MATCH($A146,'Emission Factors'!$A$2:$A$104,0),MATCH(C$11,'Emission Factors'!$A$2:$CH$2,0)),"")</f>
        <v>2.0999999999999999E-3</v>
      </c>
      <c r="C146" s="490"/>
      <c r="D146" s="491"/>
      <c r="E146" s="492">
        <f t="shared" si="28"/>
        <v>3.0882352941176468E-6</v>
      </c>
      <c r="F146" s="492">
        <f t="shared" si="29"/>
        <v>3.0882352941176468E-6</v>
      </c>
      <c r="G146" s="492">
        <f t="shared" si="30"/>
        <v>1.3526470588235293E-5</v>
      </c>
      <c r="H146" s="493">
        <f t="shared" si="31"/>
        <v>0</v>
      </c>
    </row>
    <row r="147" spans="1:8">
      <c r="A147" s="319" t="s">
        <v>102</v>
      </c>
      <c r="B147" s="489">
        <f>IFERROR(INDEX('Emission Factors'!$A$2:$CH$104,MATCH($A147,'Emission Factors'!$A$2:$A$104,0),MATCH(C$11,'Emission Factors'!$A$2:$CH$2,0)),"")</f>
        <v>6.9819999999999995E-4</v>
      </c>
      <c r="C147" s="490"/>
      <c r="D147" s="491"/>
      <c r="E147" s="492">
        <f t="shared" si="28"/>
        <v>1.0267647058823528E-6</v>
      </c>
      <c r="F147" s="492">
        <f t="shared" si="29"/>
        <v>1.0267647058823528E-6</v>
      </c>
      <c r="G147" s="492">
        <f t="shared" si="30"/>
        <v>4.4972294117647047E-6</v>
      </c>
      <c r="H147" s="493">
        <f t="shared" si="31"/>
        <v>0</v>
      </c>
    </row>
    <row r="148" spans="1:8">
      <c r="A148" s="319" t="s">
        <v>103</v>
      </c>
      <c r="B148" s="489">
        <f>IFERROR(INDEX('Emission Factors'!$A$2:$CH$104,MATCH($A148,'Emission Factors'!$A$2:$A$104,0),MATCH(C$11,'Emission Factors'!$A$2:$CH$2,0)),"")</f>
        <v>2.4000000000000001E-5</v>
      </c>
      <c r="C148" s="490"/>
      <c r="D148" s="491"/>
      <c r="E148" s="492">
        <f t="shared" si="28"/>
        <v>3.5294117647058824E-8</v>
      </c>
      <c r="F148" s="492">
        <f t="shared" si="29"/>
        <v>3.5294117647058824E-8</v>
      </c>
      <c r="G148" s="492">
        <f t="shared" si="30"/>
        <v>1.5458823529411765E-7</v>
      </c>
      <c r="H148" s="493">
        <f t="shared" si="31"/>
        <v>0</v>
      </c>
    </row>
    <row r="149" spans="1:8" ht="13.5" thickBot="1">
      <c r="A149" s="322" t="s">
        <v>104</v>
      </c>
      <c r="B149" s="499">
        <f>IFERROR(INDEX('Emission Factors'!$A$2:$CH$104,MATCH($A149,'Emission Factors'!$A$2:$A$104,0),MATCH(C$11,'Emission Factors'!$A$2:$CH$2,0)),"")</f>
        <v>3.3999999999999998E-3</v>
      </c>
      <c r="C149" s="500"/>
      <c r="D149" s="501"/>
      <c r="E149" s="502">
        <f t="shared" si="28"/>
        <v>4.9999999999999996E-6</v>
      </c>
      <c r="F149" s="502">
        <f t="shared" si="29"/>
        <v>4.9999999999999996E-6</v>
      </c>
      <c r="G149" s="502">
        <f t="shared" si="30"/>
        <v>2.19E-5</v>
      </c>
      <c r="H149" s="503">
        <f t="shared" si="31"/>
        <v>0</v>
      </c>
    </row>
    <row r="150" spans="1:8">
      <c r="A150" s="465"/>
      <c r="B150" s="466" t="s">
        <v>63</v>
      </c>
      <c r="C150" s="467" t="s">
        <v>284</v>
      </c>
      <c r="D150" s="468"/>
      <c r="E150" s="468"/>
      <c r="F150" s="468"/>
      <c r="G150" s="468"/>
      <c r="H150" s="469"/>
    </row>
    <row r="151" spans="1:8">
      <c r="A151" s="465"/>
      <c r="B151" s="470" t="s">
        <v>64</v>
      </c>
      <c r="C151" s="471">
        <f>'AL Melting'!G14</f>
        <v>1.5</v>
      </c>
      <c r="D151" s="465"/>
      <c r="E151" s="465"/>
      <c r="F151" s="465"/>
      <c r="G151" s="465"/>
      <c r="H151" s="472"/>
    </row>
    <row r="152" spans="1:8">
      <c r="A152" s="465"/>
      <c r="B152" s="470" t="s">
        <v>65</v>
      </c>
      <c r="C152" s="471">
        <f>C151/'AL Melting'!$G$20</f>
        <v>1.4705882352941176E-3</v>
      </c>
      <c r="D152" s="465"/>
      <c r="E152" s="465"/>
      <c r="F152" s="465"/>
      <c r="G152" s="465"/>
      <c r="H152" s="472"/>
    </row>
    <row r="153" spans="1:8">
      <c r="A153" s="465"/>
      <c r="B153" s="473" t="s">
        <v>66</v>
      </c>
      <c r="C153" s="474">
        <v>8760</v>
      </c>
      <c r="D153" s="465"/>
      <c r="E153" s="465"/>
      <c r="F153" s="465"/>
      <c r="G153" s="465"/>
      <c r="H153" s="472"/>
    </row>
    <row r="154" spans="1:8">
      <c r="A154" s="465"/>
      <c r="B154" s="473" t="s">
        <v>67</v>
      </c>
      <c r="C154" s="474"/>
      <c r="D154" s="465"/>
      <c r="E154" s="465"/>
      <c r="F154" s="465"/>
      <c r="G154" s="465"/>
      <c r="H154" s="472"/>
    </row>
    <row r="155" spans="1:8" ht="13.5" thickBot="1">
      <c r="A155" s="465"/>
      <c r="B155" s="475" t="s">
        <v>68</v>
      </c>
      <c r="C155" s="476" t="s">
        <v>69</v>
      </c>
      <c r="D155" s="477"/>
      <c r="E155" s="477"/>
      <c r="F155" s="477"/>
      <c r="G155" s="477"/>
      <c r="H155" s="478"/>
    </row>
    <row r="156" spans="1:8" ht="26.5" thickBot="1">
      <c r="A156" s="479" t="s">
        <v>70</v>
      </c>
      <c r="B156" s="480" t="s">
        <v>71</v>
      </c>
      <c r="C156" s="481" t="s">
        <v>72</v>
      </c>
      <c r="D156" s="481" t="s">
        <v>73</v>
      </c>
      <c r="E156" s="481" t="s">
        <v>833</v>
      </c>
      <c r="F156" s="482" t="s">
        <v>279</v>
      </c>
      <c r="G156" s="482" t="s">
        <v>280</v>
      </c>
      <c r="H156" s="483" t="s">
        <v>281</v>
      </c>
    </row>
    <row r="157" spans="1:8">
      <c r="A157" s="314" t="s">
        <v>19</v>
      </c>
      <c r="B157" s="484">
        <f>IFERROR(INDEX('Emission Factors'!$A$2:$CH$104,MATCH($A157,'Emission Factors'!$A$2:$A$104,0),MATCH(C$11,'Emission Factors'!$A$2:$CH$2,0)),"")</f>
        <v>7.6</v>
      </c>
      <c r="C157" s="485"/>
      <c r="D157" s="486"/>
      <c r="E157" s="487">
        <f t="shared" ref="E157:E165" si="32">IF(C157&gt;0,C157,B157)*C$8</f>
        <v>1.1176470588235293E-2</v>
      </c>
      <c r="F157" s="487">
        <f t="shared" ref="F157:F165" si="33">IF(C157&gt;0,C157,B157)*C$8*(1-D157)</f>
        <v>1.1176470588235293E-2</v>
      </c>
      <c r="G157" s="487">
        <f t="shared" ref="G157:G165" si="34">IF(C157&gt;0,C157,B157)*C$8*C$9/2000</f>
        <v>4.8952941176470581E-2</v>
      </c>
      <c r="H157" s="488">
        <f t="shared" ref="H157:H165" si="35">IF(C157&gt;0,C157,B157)*C$8*(1-D157)*C$10/2000</f>
        <v>0</v>
      </c>
    </row>
    <row r="158" spans="1:8">
      <c r="A158" s="319" t="s">
        <v>77</v>
      </c>
      <c r="B158" s="489">
        <f>IFERROR(INDEX('Emission Factors'!$A$2:$CH$104,MATCH($A158,'Emission Factors'!$A$2:$A$104,0),MATCH(C$11,'Emission Factors'!$A$2:$CH$2,0)),"")</f>
        <v>7.6</v>
      </c>
      <c r="C158" s="490"/>
      <c r="D158" s="491"/>
      <c r="E158" s="492">
        <f t="shared" si="32"/>
        <v>1.1176470588235293E-2</v>
      </c>
      <c r="F158" s="492">
        <f t="shared" si="33"/>
        <v>1.1176470588235293E-2</v>
      </c>
      <c r="G158" s="492">
        <f t="shared" si="34"/>
        <v>4.8952941176470581E-2</v>
      </c>
      <c r="H158" s="493">
        <f t="shared" si="35"/>
        <v>0</v>
      </c>
    </row>
    <row r="159" spans="1:8">
      <c r="A159" s="319" t="s">
        <v>78</v>
      </c>
      <c r="B159" s="489">
        <f>IFERROR(INDEX('Emission Factors'!$A$2:$CH$104,MATCH($A159,'Emission Factors'!$A$2:$A$104,0),MATCH(C$11,'Emission Factors'!$A$2:$CH$2,0)),"")</f>
        <v>7.6</v>
      </c>
      <c r="C159" s="490"/>
      <c r="D159" s="491"/>
      <c r="E159" s="492">
        <f t="shared" si="32"/>
        <v>1.1176470588235293E-2</v>
      </c>
      <c r="F159" s="492">
        <f t="shared" si="33"/>
        <v>1.1176470588235293E-2</v>
      </c>
      <c r="G159" s="492">
        <f t="shared" si="34"/>
        <v>4.8952941176470581E-2</v>
      </c>
      <c r="H159" s="493">
        <f t="shared" si="35"/>
        <v>0</v>
      </c>
    </row>
    <row r="160" spans="1:8">
      <c r="A160" s="319" t="s">
        <v>79</v>
      </c>
      <c r="B160" s="489">
        <f>IFERROR(INDEX('Emission Factors'!$A$2:$CH$104,MATCH($A160,'Emission Factors'!$A$2:$A$104,0),MATCH(C$11,'Emission Factors'!$A$2:$CH$2,0)),"")</f>
        <v>100</v>
      </c>
      <c r="C160" s="490"/>
      <c r="D160" s="491"/>
      <c r="E160" s="492">
        <f t="shared" si="32"/>
        <v>0.14705882352941177</v>
      </c>
      <c r="F160" s="492">
        <f t="shared" si="33"/>
        <v>0.14705882352941177</v>
      </c>
      <c r="G160" s="492">
        <f t="shared" si="34"/>
        <v>0.64411764705882357</v>
      </c>
      <c r="H160" s="493">
        <f t="shared" si="35"/>
        <v>0</v>
      </c>
    </row>
    <row r="161" spans="1:8">
      <c r="A161" s="319" t="s">
        <v>80</v>
      </c>
      <c r="B161" s="489">
        <f>IFERROR(INDEX('Emission Factors'!$A$2:$CH$104,MATCH($A161,'Emission Factors'!$A$2:$A$104,0),MATCH(C$11,'Emission Factors'!$A$2:$CH$2,0)),"")</f>
        <v>84</v>
      </c>
      <c r="C161" s="490"/>
      <c r="D161" s="491"/>
      <c r="E161" s="492">
        <f t="shared" si="32"/>
        <v>0.12352941176470589</v>
      </c>
      <c r="F161" s="492">
        <f t="shared" si="33"/>
        <v>0.12352941176470589</v>
      </c>
      <c r="G161" s="492">
        <f t="shared" si="34"/>
        <v>0.54105882352941181</v>
      </c>
      <c r="H161" s="493">
        <f t="shared" si="35"/>
        <v>0</v>
      </c>
    </row>
    <row r="162" spans="1:8">
      <c r="A162" s="319" t="s">
        <v>81</v>
      </c>
      <c r="B162" s="489">
        <f>IFERROR(INDEX('Emission Factors'!$A$2:$CH$104,MATCH($A162,'Emission Factors'!$A$2:$A$104,0),MATCH(C$11,'Emission Factors'!$A$2:$CH$2,0)),"")</f>
        <v>0.6</v>
      </c>
      <c r="C162" s="490"/>
      <c r="D162" s="491"/>
      <c r="E162" s="492">
        <f t="shared" si="32"/>
        <v>8.8235294117647051E-4</v>
      </c>
      <c r="F162" s="492">
        <f t="shared" si="33"/>
        <v>8.8235294117647051E-4</v>
      </c>
      <c r="G162" s="492">
        <f t="shared" si="34"/>
        <v>3.8647058823529407E-3</v>
      </c>
      <c r="H162" s="493">
        <f t="shared" si="35"/>
        <v>0</v>
      </c>
    </row>
    <row r="163" spans="1:8">
      <c r="A163" s="319" t="s">
        <v>82</v>
      </c>
      <c r="B163" s="489">
        <f>IFERROR(INDEX('Emission Factors'!$A$2:$CH$104,MATCH($A163,'Emission Factors'!$A$2:$A$104,0),MATCH(C$11,'Emission Factors'!$A$2:$CH$2,0)),"")</f>
        <v>5.5</v>
      </c>
      <c r="C163" s="490"/>
      <c r="D163" s="491"/>
      <c r="E163" s="492">
        <f t="shared" si="32"/>
        <v>8.0882352941176461E-3</v>
      </c>
      <c r="F163" s="492">
        <f t="shared" si="33"/>
        <v>8.0882352941176461E-3</v>
      </c>
      <c r="G163" s="492">
        <f t="shared" si="34"/>
        <v>3.5426470588235288E-2</v>
      </c>
      <c r="H163" s="493">
        <f t="shared" si="35"/>
        <v>0</v>
      </c>
    </row>
    <row r="164" spans="1:8">
      <c r="A164" s="319" t="s">
        <v>83</v>
      </c>
      <c r="B164" s="489">
        <f>IFERROR(INDEX('Emission Factors'!$A$2:$CH$104,MATCH($A164,'Emission Factors'!$A$2:$A$104,0),MATCH(C$11,'Emission Factors'!$A$2:$CH$2,0)),"")</f>
        <v>5.0000000000000001E-4</v>
      </c>
      <c r="C164" s="490"/>
      <c r="D164" s="491"/>
      <c r="E164" s="492">
        <f t="shared" si="32"/>
        <v>7.3529411764705886E-7</v>
      </c>
      <c r="F164" s="492">
        <f t="shared" si="33"/>
        <v>7.3529411764705886E-7</v>
      </c>
      <c r="G164" s="492">
        <f t="shared" si="34"/>
        <v>3.2205882352941177E-6</v>
      </c>
      <c r="H164" s="493">
        <f t="shared" si="35"/>
        <v>0</v>
      </c>
    </row>
    <row r="165" spans="1:8" ht="13.5" thickBot="1">
      <c r="A165" s="322" t="s">
        <v>84</v>
      </c>
      <c r="B165" s="494">
        <f>IFERROR(INDEX('Emission Factors'!$A$2:$CH$104,MATCH($A165,'Emission Factors'!$A$2:$A$104,0),MATCH(C$11,'Emission Factors'!$A$2:$CH$2,0)),"")</f>
        <v>1.8879582000000001</v>
      </c>
      <c r="C165" s="495"/>
      <c r="D165" s="496"/>
      <c r="E165" s="497">
        <f t="shared" si="32"/>
        <v>2.7764091176470588E-3</v>
      </c>
      <c r="F165" s="497">
        <f t="shared" si="33"/>
        <v>2.7764091176470588E-3</v>
      </c>
      <c r="G165" s="497">
        <f t="shared" si="34"/>
        <v>1.2160671935294118E-2</v>
      </c>
      <c r="H165" s="498">
        <f t="shared" si="35"/>
        <v>0</v>
      </c>
    </row>
    <row r="166" spans="1:8">
      <c r="A166" s="314" t="s">
        <v>85</v>
      </c>
      <c r="B166" s="484">
        <f>IFERROR(INDEX('Emission Factors'!$A$2:$CH$104,MATCH($A166,'Emission Factors'!$A$2:$A$104,0),MATCH(C$11,'Emission Factors'!$A$2:$CH$2,0))*2.2046,"")</f>
        <v>116.97607600000001</v>
      </c>
      <c r="C166" s="485"/>
      <c r="D166" s="486"/>
      <c r="E166" s="487">
        <f>IF(C166&gt;0,C166,B166)*C$7</f>
        <v>175.464114</v>
      </c>
      <c r="F166" s="487">
        <f>IF(C166&gt;0,C166,B166)*C$7*(1-D166)</f>
        <v>175.464114</v>
      </c>
      <c r="G166" s="487">
        <f>IF(C166&gt;0,C166,B166)*C$7*C$9/2000</f>
        <v>768.53281932000004</v>
      </c>
      <c r="H166" s="488">
        <f>IF(C166&gt;0,C166,B166)*C$7*(1-D166)*C$10/2000</f>
        <v>0</v>
      </c>
    </row>
    <row r="167" spans="1:8">
      <c r="A167" s="319" t="s">
        <v>86</v>
      </c>
      <c r="B167" s="489">
        <f>IFERROR(INDEX('Emission Factors'!$A$2:$CH$104,MATCH($A167,'Emission Factors'!$A$2:$A$104,0),MATCH(C$11,'Emission Factors'!$A$2:$CH$2,0))*2.2046,"")</f>
        <v>2.2046000000000001E-3</v>
      </c>
      <c r="C167" s="490"/>
      <c r="D167" s="491"/>
      <c r="E167" s="492">
        <f>IF(C167&gt;0,C167,B167)*C$7</f>
        <v>3.3069000000000002E-3</v>
      </c>
      <c r="F167" s="492">
        <f>IF(C167&gt;0,C167,B167)*C$7*(1-D167)</f>
        <v>3.3069000000000002E-3</v>
      </c>
      <c r="G167" s="492">
        <f>IF(C167&gt;0,C167,B167)*C$7*C$9/2000</f>
        <v>1.4484222000000001E-2</v>
      </c>
      <c r="H167" s="493">
        <f>IF(C167&gt;0,C167,B167)*C$7*(1-D167)*C$10/2000</f>
        <v>0</v>
      </c>
    </row>
    <row r="168" spans="1:8">
      <c r="A168" s="319" t="s">
        <v>87</v>
      </c>
      <c r="B168" s="489">
        <f>IFERROR(INDEX('Emission Factors'!$A$2:$CH$104,MATCH($A168,'Emission Factors'!$A$2:$A$104,0),MATCH(C$11,'Emission Factors'!$A$2:$CH$2,0))*2.2046,"")</f>
        <v>2.2046000000000001E-4</v>
      </c>
      <c r="C168" s="490"/>
      <c r="D168" s="491"/>
      <c r="E168" s="492">
        <f>IF(C168&gt;0,C168,B168)*C$7</f>
        <v>3.3069000000000002E-4</v>
      </c>
      <c r="F168" s="492">
        <f>IF(C168&gt;0,C168,B168)*C$7*(1-D168)</f>
        <v>3.3069000000000002E-4</v>
      </c>
      <c r="G168" s="492">
        <f>IF(C168&gt;0,C168,B168)*C$7*C$9/2000</f>
        <v>1.4484222000000001E-3</v>
      </c>
      <c r="H168" s="493">
        <f>IF(C168&gt;0,C168,B168)*C$7*(1-D168)*C$10/2000</f>
        <v>0</v>
      </c>
    </row>
    <row r="169" spans="1:8" ht="13.5" thickBot="1">
      <c r="A169" s="322" t="s">
        <v>88</v>
      </c>
      <c r="B169" s="499">
        <f>IFERROR(INDEX('Emission Factors'!$A$2:$CH$104,MATCH($A169,'Emission Factors'!$A$2:$A$104,0),MATCH(C$11,'Emission Factors'!$A$2:$CH$2,0))*2.2046,"")</f>
        <v>117.09688808000001</v>
      </c>
      <c r="C169" s="500"/>
      <c r="D169" s="501"/>
      <c r="E169" s="502">
        <f>IF(C169&gt;0,C169,B169)*C$7</f>
        <v>175.64533212000003</v>
      </c>
      <c r="F169" s="502">
        <f>IF(C169&gt;0,C169,B169)*C$7*(1-D169)</f>
        <v>175.64533212000003</v>
      </c>
      <c r="G169" s="502">
        <f>IF(C169&gt;0,C169,B169)*C$7*C$9/2000</f>
        <v>769.32655468560006</v>
      </c>
      <c r="H169" s="503">
        <f>IF(C169&gt;0,C169,B169)*C$7*(1-D169)*C$10/2000</f>
        <v>0</v>
      </c>
    </row>
    <row r="170" spans="1:8">
      <c r="A170" s="314" t="s">
        <v>89</v>
      </c>
      <c r="B170" s="504">
        <f>IFERROR(INDEX('Emission Factors'!$A$2:$CH$104,MATCH($A170,'Emission Factors'!$A$2:$A$104,0),MATCH(C$11,'Emission Factors'!$A$2:$CH$2,0)),"")</f>
        <v>1.1999999999999999E-3</v>
      </c>
      <c r="C170" s="485"/>
      <c r="D170" s="486"/>
      <c r="E170" s="505">
        <f t="shared" ref="E170:E185" si="36">IF(C170&gt;0,C170,B170)*C$8</f>
        <v>1.764705882352941E-6</v>
      </c>
      <c r="F170" s="505">
        <f t="shared" ref="F170:F185" si="37">IF(C170&gt;0,C170,B170)*C$8*(1-D170)</f>
        <v>1.764705882352941E-6</v>
      </c>
      <c r="G170" s="505">
        <f t="shared" ref="G170:G185" si="38">IF(C170&gt;0,C170,B170)*C$8*C$9/2000</f>
        <v>7.7294117647058808E-6</v>
      </c>
      <c r="H170" s="506">
        <f t="shared" ref="H170:H185" si="39">IF(C170&gt;0,C170,B170)*C$8*(1-D170)*C$10/2000</f>
        <v>0</v>
      </c>
    </row>
    <row r="171" spans="1:8">
      <c r="A171" s="327" t="s">
        <v>90</v>
      </c>
      <c r="B171" s="504">
        <f>IFERROR(INDEX('Emission Factors'!$A$2:$CH$104,MATCH($A171,'Emission Factors'!$A$2:$A$104,0),MATCH(C$11,'Emission Factors'!$A$2:$CH$2,0)),"")</f>
        <v>2.0000000000000001E-4</v>
      </c>
      <c r="C171" s="507"/>
      <c r="D171" s="508"/>
      <c r="E171" s="505">
        <f t="shared" si="36"/>
        <v>2.9411764705882356E-7</v>
      </c>
      <c r="F171" s="505">
        <f t="shared" si="37"/>
        <v>2.9411764705882356E-7</v>
      </c>
      <c r="G171" s="505">
        <f t="shared" si="38"/>
        <v>1.2882352941176471E-6</v>
      </c>
      <c r="H171" s="506">
        <f t="shared" si="39"/>
        <v>0</v>
      </c>
    </row>
    <row r="172" spans="1:8">
      <c r="A172" s="319" t="s">
        <v>91</v>
      </c>
      <c r="B172" s="489">
        <f>IFERROR(INDEX('Emission Factors'!$A$2:$CH$104,MATCH($A172,'Emission Factors'!$A$2:$A$104,0),MATCH(C$11,'Emission Factors'!$A$2:$CH$2,0)),"")</f>
        <v>2.0999999999999999E-3</v>
      </c>
      <c r="C172" s="490"/>
      <c r="D172" s="491"/>
      <c r="E172" s="492">
        <f t="shared" si="36"/>
        <v>3.0882352941176468E-6</v>
      </c>
      <c r="F172" s="492">
        <f t="shared" si="37"/>
        <v>3.0882352941176468E-6</v>
      </c>
      <c r="G172" s="492">
        <f t="shared" si="38"/>
        <v>1.3526470588235293E-5</v>
      </c>
      <c r="H172" s="493">
        <f t="shared" si="39"/>
        <v>0</v>
      </c>
    </row>
    <row r="173" spans="1:8">
      <c r="A173" s="319" t="s">
        <v>92</v>
      </c>
      <c r="B173" s="489">
        <f>IFERROR(INDEX('Emission Factors'!$A$2:$CH$104,MATCH($A173,'Emission Factors'!$A$2:$A$104,0),MATCH(C$11,'Emission Factors'!$A$2:$CH$2,0)),"")</f>
        <v>1.2E-5</v>
      </c>
      <c r="C173" s="490"/>
      <c r="D173" s="491"/>
      <c r="E173" s="492">
        <f t="shared" si="36"/>
        <v>1.7647058823529412E-8</v>
      </c>
      <c r="F173" s="492">
        <f t="shared" si="37"/>
        <v>1.7647058823529412E-8</v>
      </c>
      <c r="G173" s="492">
        <f t="shared" si="38"/>
        <v>7.7294117647058823E-8</v>
      </c>
      <c r="H173" s="493">
        <f t="shared" si="39"/>
        <v>0</v>
      </c>
    </row>
    <row r="174" spans="1:8">
      <c r="A174" s="319" t="s">
        <v>93</v>
      </c>
      <c r="B174" s="489">
        <f>IFERROR(INDEX('Emission Factors'!$A$2:$CH$104,MATCH($A174,'Emission Factors'!$A$2:$A$104,0),MATCH(C$11,'Emission Factors'!$A$2:$CH$2,0)),"")</f>
        <v>1.1000000000000001E-3</v>
      </c>
      <c r="C174" s="490"/>
      <c r="D174" s="491"/>
      <c r="E174" s="492">
        <f t="shared" si="36"/>
        <v>1.6176470588235295E-6</v>
      </c>
      <c r="F174" s="492">
        <f t="shared" si="37"/>
        <v>1.6176470588235295E-6</v>
      </c>
      <c r="G174" s="492">
        <f t="shared" si="38"/>
        <v>7.0852941176470598E-6</v>
      </c>
      <c r="H174" s="493">
        <f t="shared" si="39"/>
        <v>0</v>
      </c>
    </row>
    <row r="175" spans="1:8">
      <c r="A175" s="319" t="s">
        <v>94</v>
      </c>
      <c r="B175" s="489">
        <f>IFERROR(INDEX('Emission Factors'!$A$2:$CH$104,MATCH($A175,'Emission Factors'!$A$2:$A$104,0),MATCH(C$11,'Emission Factors'!$A$2:$CH$2,0)),"")</f>
        <v>1.4E-3</v>
      </c>
      <c r="C175" s="490"/>
      <c r="D175" s="491"/>
      <c r="E175" s="492">
        <f t="shared" si="36"/>
        <v>2.0588235294117645E-6</v>
      </c>
      <c r="F175" s="492">
        <f t="shared" si="37"/>
        <v>2.0588235294117645E-6</v>
      </c>
      <c r="G175" s="492">
        <f t="shared" si="38"/>
        <v>9.0176470588235279E-6</v>
      </c>
      <c r="H175" s="493">
        <f t="shared" si="39"/>
        <v>0</v>
      </c>
    </row>
    <row r="176" spans="1:8">
      <c r="A176" s="319" t="s">
        <v>95</v>
      </c>
      <c r="B176" s="489">
        <f>IFERROR(INDEX('Emission Factors'!$A$2:$CH$104,MATCH($A176,'Emission Factors'!$A$2:$A$104,0),MATCH(C$11,'Emission Factors'!$A$2:$CH$2,0)),"")</f>
        <v>8.3999999999999995E-5</v>
      </c>
      <c r="C176" s="490"/>
      <c r="D176" s="491"/>
      <c r="E176" s="492">
        <f t="shared" si="36"/>
        <v>1.2352941176470587E-7</v>
      </c>
      <c r="F176" s="492">
        <f t="shared" si="37"/>
        <v>1.2352941176470587E-7</v>
      </c>
      <c r="G176" s="492">
        <f t="shared" si="38"/>
        <v>5.4105882352941171E-7</v>
      </c>
      <c r="H176" s="493">
        <f t="shared" si="39"/>
        <v>0</v>
      </c>
    </row>
    <row r="177" spans="1:8">
      <c r="A177" s="319" t="s">
        <v>96</v>
      </c>
      <c r="B177" s="489">
        <f>IFERROR(INDEX('Emission Factors'!$A$2:$CH$104,MATCH($A177,'Emission Factors'!$A$2:$A$104,0),MATCH(C$11,'Emission Factors'!$A$2:$CH$2,0)),"")</f>
        <v>7.4999999999999997E-2</v>
      </c>
      <c r="C177" s="490"/>
      <c r="D177" s="491"/>
      <c r="E177" s="492">
        <f t="shared" si="36"/>
        <v>1.1029411764705881E-4</v>
      </c>
      <c r="F177" s="492">
        <f t="shared" si="37"/>
        <v>1.1029411764705881E-4</v>
      </c>
      <c r="G177" s="492">
        <f t="shared" si="38"/>
        <v>4.8308823529411758E-4</v>
      </c>
      <c r="H177" s="493">
        <f t="shared" si="39"/>
        <v>0</v>
      </c>
    </row>
    <row r="178" spans="1:8">
      <c r="A178" s="319" t="s">
        <v>97</v>
      </c>
      <c r="B178" s="489">
        <f>IFERROR(INDEX('Emission Factors'!$A$2:$CH$104,MATCH($A178,'Emission Factors'!$A$2:$A$104,0),MATCH(C$11,'Emission Factors'!$A$2:$CH$2,0)),"")</f>
        <v>1.8</v>
      </c>
      <c r="C178" s="490"/>
      <c r="D178" s="491"/>
      <c r="E178" s="492">
        <f t="shared" si="36"/>
        <v>2.6470588235294116E-3</v>
      </c>
      <c r="F178" s="492">
        <f t="shared" si="37"/>
        <v>2.6470588235294116E-3</v>
      </c>
      <c r="G178" s="492">
        <f t="shared" si="38"/>
        <v>1.1594117647058822E-2</v>
      </c>
      <c r="H178" s="493">
        <f t="shared" si="39"/>
        <v>0</v>
      </c>
    </row>
    <row r="179" spans="1:8">
      <c r="A179" s="319" t="s">
        <v>98</v>
      </c>
      <c r="B179" s="489">
        <f>IFERROR(INDEX('Emission Factors'!$A$2:$CH$104,MATCH($A179,'Emission Factors'!$A$2:$A$104,0),MATCH(C$11,'Emission Factors'!$A$2:$CH$2,0)),"")</f>
        <v>3.8000000000000002E-4</v>
      </c>
      <c r="C179" s="490"/>
      <c r="D179" s="491"/>
      <c r="E179" s="492">
        <f t="shared" si="36"/>
        <v>5.588235294117647E-7</v>
      </c>
      <c r="F179" s="492">
        <f t="shared" si="37"/>
        <v>5.588235294117647E-7</v>
      </c>
      <c r="G179" s="492">
        <f t="shared" si="38"/>
        <v>2.4476470588235294E-6</v>
      </c>
      <c r="H179" s="493">
        <f t="shared" si="39"/>
        <v>0</v>
      </c>
    </row>
    <row r="180" spans="1:8">
      <c r="A180" s="319" t="s">
        <v>99</v>
      </c>
      <c r="B180" s="489">
        <f>IFERROR(INDEX('Emission Factors'!$A$2:$CH$104,MATCH($A180,'Emission Factors'!$A$2:$A$104,0),MATCH(C$11,'Emission Factors'!$A$2:$CH$2,0)),"")</f>
        <v>2.5999999999999998E-4</v>
      </c>
      <c r="C180" s="490"/>
      <c r="D180" s="491"/>
      <c r="E180" s="492">
        <f t="shared" si="36"/>
        <v>3.8235294117647053E-7</v>
      </c>
      <c r="F180" s="492">
        <f t="shared" si="37"/>
        <v>3.8235294117647053E-7</v>
      </c>
      <c r="G180" s="492">
        <f t="shared" si="38"/>
        <v>1.674705882352941E-6</v>
      </c>
      <c r="H180" s="493">
        <f t="shared" si="39"/>
        <v>0</v>
      </c>
    </row>
    <row r="181" spans="1:8">
      <c r="A181" s="319" t="s">
        <v>100</v>
      </c>
      <c r="B181" s="489">
        <f>IFERROR(INDEX('Emission Factors'!$A$2:$CH$104,MATCH($A181,'Emission Factors'!$A$2:$A$104,0),MATCH(C$11,'Emission Factors'!$A$2:$CH$2,0)),"")</f>
        <v>6.0999999999999997E-4</v>
      </c>
      <c r="C181" s="490"/>
      <c r="D181" s="491"/>
      <c r="E181" s="492">
        <f t="shared" si="36"/>
        <v>8.9705882352941166E-7</v>
      </c>
      <c r="F181" s="492">
        <f t="shared" si="37"/>
        <v>8.9705882352941166E-7</v>
      </c>
      <c r="G181" s="492">
        <f t="shared" si="38"/>
        <v>3.9291176470588234E-6</v>
      </c>
      <c r="H181" s="493">
        <f t="shared" si="39"/>
        <v>0</v>
      </c>
    </row>
    <row r="182" spans="1:8">
      <c r="A182" s="319" t="s">
        <v>101</v>
      </c>
      <c r="B182" s="489">
        <f>IFERROR(INDEX('Emission Factors'!$A$2:$CH$104,MATCH($A182,'Emission Factors'!$A$2:$A$104,0),MATCH(C$11,'Emission Factors'!$A$2:$CH$2,0)),"")</f>
        <v>2.0999999999999999E-3</v>
      </c>
      <c r="C182" s="490"/>
      <c r="D182" s="491"/>
      <c r="E182" s="492">
        <f t="shared" si="36"/>
        <v>3.0882352941176468E-6</v>
      </c>
      <c r="F182" s="492">
        <f t="shared" si="37"/>
        <v>3.0882352941176468E-6</v>
      </c>
      <c r="G182" s="492">
        <f t="shared" si="38"/>
        <v>1.3526470588235293E-5</v>
      </c>
      <c r="H182" s="493">
        <f t="shared" si="39"/>
        <v>0</v>
      </c>
    </row>
    <row r="183" spans="1:8">
      <c r="A183" s="319" t="s">
        <v>102</v>
      </c>
      <c r="B183" s="489">
        <f>IFERROR(INDEX('Emission Factors'!$A$2:$CH$104,MATCH($A183,'Emission Factors'!$A$2:$A$104,0),MATCH(C$11,'Emission Factors'!$A$2:$CH$2,0)),"")</f>
        <v>6.9819999999999995E-4</v>
      </c>
      <c r="C183" s="490"/>
      <c r="D183" s="491"/>
      <c r="E183" s="492">
        <f t="shared" si="36"/>
        <v>1.0267647058823528E-6</v>
      </c>
      <c r="F183" s="492">
        <f t="shared" si="37"/>
        <v>1.0267647058823528E-6</v>
      </c>
      <c r="G183" s="492">
        <f t="shared" si="38"/>
        <v>4.4972294117647047E-6</v>
      </c>
      <c r="H183" s="493">
        <f t="shared" si="39"/>
        <v>0</v>
      </c>
    </row>
    <row r="184" spans="1:8">
      <c r="A184" s="319" t="s">
        <v>103</v>
      </c>
      <c r="B184" s="489">
        <f>IFERROR(INDEX('Emission Factors'!$A$2:$CH$104,MATCH($A184,'Emission Factors'!$A$2:$A$104,0),MATCH(C$11,'Emission Factors'!$A$2:$CH$2,0)),"")</f>
        <v>2.4000000000000001E-5</v>
      </c>
      <c r="C184" s="490"/>
      <c r="D184" s="491"/>
      <c r="E184" s="492">
        <f t="shared" si="36"/>
        <v>3.5294117647058824E-8</v>
      </c>
      <c r="F184" s="492">
        <f t="shared" si="37"/>
        <v>3.5294117647058824E-8</v>
      </c>
      <c r="G184" s="492">
        <f t="shared" si="38"/>
        <v>1.5458823529411765E-7</v>
      </c>
      <c r="H184" s="493">
        <f t="shared" si="39"/>
        <v>0</v>
      </c>
    </row>
    <row r="185" spans="1:8" ht="13.5" thickBot="1">
      <c r="A185" s="322" t="s">
        <v>104</v>
      </c>
      <c r="B185" s="499">
        <f>IFERROR(INDEX('Emission Factors'!$A$2:$CH$104,MATCH($A185,'Emission Factors'!$A$2:$A$104,0),MATCH(C$11,'Emission Factors'!$A$2:$CH$2,0)),"")</f>
        <v>3.3999999999999998E-3</v>
      </c>
      <c r="C185" s="500"/>
      <c r="D185" s="501"/>
      <c r="E185" s="502">
        <f t="shared" si="36"/>
        <v>4.9999999999999996E-6</v>
      </c>
      <c r="F185" s="502">
        <f t="shared" si="37"/>
        <v>4.9999999999999996E-6</v>
      </c>
      <c r="G185" s="502">
        <f t="shared" si="38"/>
        <v>2.19E-5</v>
      </c>
      <c r="H185" s="503">
        <f t="shared" si="39"/>
        <v>0</v>
      </c>
    </row>
    <row r="186" spans="1:8">
      <c r="A186" s="465"/>
      <c r="B186" s="509" t="s">
        <v>105</v>
      </c>
      <c r="C186" s="510"/>
      <c r="D186" s="465"/>
      <c r="E186" s="465"/>
      <c r="F186" s="465"/>
      <c r="G186" s="465"/>
      <c r="H186" s="465"/>
    </row>
    <row r="187" spans="1:8">
      <c r="A187" s="465"/>
      <c r="B187" s="511" t="s">
        <v>106</v>
      </c>
      <c r="C187" s="512"/>
      <c r="D187" s="512"/>
      <c r="E187" s="512"/>
      <c r="F187" s="513"/>
      <c r="G187" s="514"/>
      <c r="H187" s="514"/>
    </row>
    <row r="188" spans="1:8">
      <c r="A188" s="465"/>
      <c r="B188" s="510"/>
      <c r="C188" s="510"/>
      <c r="D188" s="510"/>
      <c r="E188" s="510"/>
      <c r="F188" s="510"/>
      <c r="G188" s="510"/>
      <c r="H188" s="510"/>
    </row>
    <row r="189" spans="1:8">
      <c r="A189" s="515"/>
      <c r="B189" s="516" t="s">
        <v>107</v>
      </c>
      <c r="C189" s="465"/>
      <c r="D189" s="465"/>
      <c r="E189" s="465"/>
      <c r="F189" s="465"/>
      <c r="G189" s="465"/>
      <c r="H189" s="517"/>
    </row>
    <row r="190" spans="1:8">
      <c r="A190" s="515"/>
      <c r="B190" s="465" t="s">
        <v>108</v>
      </c>
      <c r="C190" s="518"/>
      <c r="D190" s="518"/>
      <c r="E190" s="518"/>
      <c r="F190" s="518"/>
      <c r="G190" s="518"/>
      <c r="H190" s="517"/>
    </row>
    <row r="191" spans="1:8">
      <c r="A191" s="515"/>
      <c r="B191" s="518" t="s">
        <v>109</v>
      </c>
      <c r="C191" s="465"/>
      <c r="D191" s="465"/>
      <c r="E191" s="465"/>
      <c r="F191" s="518"/>
      <c r="G191" s="518"/>
      <c r="H191" s="517"/>
    </row>
    <row r="192" spans="1:8">
      <c r="A192" s="515"/>
      <c r="B192" s="465"/>
      <c r="C192" s="518"/>
      <c r="D192" s="518"/>
      <c r="E192" s="518"/>
      <c r="F192" s="518"/>
      <c r="G192" s="518"/>
      <c r="H192" s="517"/>
    </row>
  </sheetData>
  <protectedRanges>
    <protectedRange sqref="B186:H186" name="Notes"/>
  </protectedRanges>
  <dataValidations disablePrompts="1" count="1">
    <dataValidation type="list" allowBlank="1" showInputMessage="1" showErrorMessage="1" sqref="C11 C119 C47 C83 C155" xr:uid="{34A11A47-646E-4E1C-AE49-5BA28ABC0774}">
      <formula1>#REF!</formula1>
    </dataValidation>
  </dataValidations>
  <pageMargins left="0.7" right="0.7" top="0.75" bottom="0.75" header="0.3" footer="0.3"/>
  <pageSetup scale="73" fitToHeight="0" orientation="landscape" r:id="rId1"/>
  <headerFooter>
    <oddHeader>&amp;C&amp;"Aptos Narrow,Bold"&amp;14&amp;A Emission Calculations</oddHeader>
    <oddFooter>&amp;L&amp;"Aptos Narrow,Regular"St. Paul Brass &amp; Aluminum Foundry (Facility ID: 12300001)
B2303515&amp;C&amp;"Aptos Narrow,Regular"&amp;P of &amp;N&amp;R&amp;"-,Regular"&amp;D</oddFooter>
  </headerFooter>
  <rowBreaks count="4" manualBreakCount="4">
    <brk id="41" max="16383" man="1"/>
    <brk id="77" max="16383" man="1"/>
    <brk id="113" max="16383" man="1"/>
    <brk id="14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4D6C5-16BA-43A6-9BC3-D79488F5C896}">
  <sheetPr codeName="Sheet7"/>
  <dimension ref="A1:T53"/>
  <sheetViews>
    <sheetView zoomScaleNormal="100" workbookViewId="0">
      <selection activeCell="A23" sqref="A23:K24"/>
    </sheetView>
  </sheetViews>
  <sheetFormatPr defaultColWidth="8.81640625" defaultRowHeight="13"/>
  <cols>
    <col min="1" max="1" width="15.7265625" style="220" customWidth="1"/>
    <col min="2" max="16" width="11.26953125" style="220" customWidth="1"/>
    <col min="17" max="19" width="12.7265625" style="220" customWidth="1"/>
    <col min="20" max="20" width="10" style="220" customWidth="1"/>
    <col min="21" max="21" width="16" style="220" customWidth="1"/>
    <col min="22" max="16384" width="8.81640625" style="220"/>
  </cols>
  <sheetData>
    <row r="1" spans="1:13" ht="18.5">
      <c r="A1" s="221" t="s">
        <v>295</v>
      </c>
      <c r="B1" s="221"/>
      <c r="D1" s="221" t="s">
        <v>878</v>
      </c>
    </row>
    <row r="2" spans="1:13" ht="18.5">
      <c r="A2" s="221" t="s">
        <v>718</v>
      </c>
      <c r="B2" s="221"/>
      <c r="D2" s="221" t="s">
        <v>940</v>
      </c>
    </row>
    <row r="3" spans="1:13" ht="18.5">
      <c r="A3" s="221"/>
      <c r="B3" s="221"/>
      <c r="D3" s="221" t="s">
        <v>28</v>
      </c>
    </row>
    <row r="4" spans="1:13" ht="19" thickBot="1">
      <c r="A4" s="221"/>
      <c r="B4" s="221"/>
      <c r="D4" s="221"/>
    </row>
    <row r="5" spans="1:13" ht="13.5" thickBot="1">
      <c r="A5" s="593" t="s">
        <v>220</v>
      </c>
      <c r="B5" s="594" t="s">
        <v>221</v>
      </c>
      <c r="C5" s="224" t="s">
        <v>222</v>
      </c>
      <c r="D5" s="595"/>
      <c r="E5" s="595"/>
      <c r="F5" s="595"/>
      <c r="G5" s="596"/>
      <c r="H5" s="1544" t="s">
        <v>223</v>
      </c>
      <c r="I5" s="1544"/>
      <c r="J5" s="1544"/>
      <c r="K5" s="226" t="s">
        <v>224</v>
      </c>
    </row>
    <row r="6" spans="1:13">
      <c r="A6" s="245" t="s">
        <v>182</v>
      </c>
      <c r="B6" s="597" t="s">
        <v>296</v>
      </c>
      <c r="C6" s="246" t="s">
        <v>183</v>
      </c>
      <c r="D6" s="246"/>
      <c r="E6" s="246"/>
      <c r="F6" s="246"/>
      <c r="G6" s="598"/>
      <c r="H6" s="246"/>
      <c r="I6" s="334" t="s">
        <v>227</v>
      </c>
      <c r="J6" s="246">
        <v>1</v>
      </c>
      <c r="K6" s="575" t="s">
        <v>236</v>
      </c>
    </row>
    <row r="7" spans="1:13">
      <c r="A7" s="248" t="s">
        <v>184</v>
      </c>
      <c r="B7" s="523" t="s">
        <v>297</v>
      </c>
      <c r="C7" s="235" t="s">
        <v>185</v>
      </c>
      <c r="D7" s="235"/>
      <c r="E7" s="235"/>
      <c r="F7" s="235"/>
      <c r="G7" s="236"/>
      <c r="H7" s="235"/>
      <c r="I7" s="237" t="s">
        <v>227</v>
      </c>
      <c r="J7" s="235">
        <v>1</v>
      </c>
      <c r="K7" s="238" t="s">
        <v>236</v>
      </c>
    </row>
    <row r="8" spans="1:13" ht="13.5" thickBot="1">
      <c r="A8" s="256" t="s">
        <v>202</v>
      </c>
      <c r="B8" s="535" t="s">
        <v>298</v>
      </c>
      <c r="C8" s="241" t="s">
        <v>203</v>
      </c>
      <c r="D8" s="241"/>
      <c r="E8" s="241"/>
      <c r="F8" s="241"/>
      <c r="G8" s="242"/>
      <c r="H8" s="241"/>
      <c r="I8" s="243" t="s">
        <v>227</v>
      </c>
      <c r="J8" s="241">
        <v>0.3</v>
      </c>
      <c r="K8" s="244" t="s">
        <v>236</v>
      </c>
    </row>
    <row r="9" spans="1:13">
      <c r="A9" s="599"/>
      <c r="B9" s="549"/>
      <c r="C9" s="549"/>
      <c r="D9" s="549"/>
      <c r="E9" s="549"/>
      <c r="F9" s="549"/>
      <c r="G9" s="549"/>
      <c r="H9" s="549"/>
      <c r="I9" s="600" t="s">
        <v>299</v>
      </c>
      <c r="J9" s="220">
        <v>85</v>
      </c>
      <c r="K9" s="553" t="s">
        <v>272</v>
      </c>
    </row>
    <row r="10" spans="1:13">
      <c r="A10" s="601"/>
      <c r="I10" s="307" t="s">
        <v>300</v>
      </c>
      <c r="J10" s="602">
        <v>99</v>
      </c>
      <c r="K10" s="553" t="s">
        <v>272</v>
      </c>
    </row>
    <row r="11" spans="1:13">
      <c r="A11" s="601"/>
      <c r="I11" s="307" t="s">
        <v>301</v>
      </c>
      <c r="J11" s="602">
        <v>93</v>
      </c>
      <c r="K11" s="553" t="s">
        <v>272</v>
      </c>
    </row>
    <row r="12" spans="1:13">
      <c r="A12" s="601"/>
      <c r="I12" s="307" t="s">
        <v>302</v>
      </c>
      <c r="J12" s="602">
        <v>100</v>
      </c>
      <c r="K12" s="553" t="s">
        <v>272</v>
      </c>
    </row>
    <row r="13" spans="1:13" ht="13.5" thickBot="1">
      <c r="A13" s="603"/>
      <c r="B13" s="604"/>
      <c r="C13" s="604"/>
      <c r="D13" s="604"/>
      <c r="E13" s="604"/>
      <c r="F13" s="604"/>
      <c r="G13" s="604"/>
      <c r="H13" s="604"/>
      <c r="I13" s="605" t="s">
        <v>303</v>
      </c>
      <c r="J13" s="425">
        <v>99.98</v>
      </c>
      <c r="K13" s="553" t="s">
        <v>272</v>
      </c>
    </row>
    <row r="14" spans="1:13">
      <c r="A14" s="606" t="s">
        <v>304</v>
      </c>
      <c r="B14" s="573" t="s">
        <v>305</v>
      </c>
      <c r="C14" s="229" t="s">
        <v>306</v>
      </c>
      <c r="D14" s="229"/>
      <c r="E14" s="229"/>
      <c r="F14" s="229"/>
      <c r="G14" s="230"/>
      <c r="H14" s="229"/>
      <c r="I14" s="231" t="s">
        <v>309</v>
      </c>
      <c r="J14" s="229">
        <f>J9%*J10%*100</f>
        <v>84.15</v>
      </c>
      <c r="K14" s="232" t="s">
        <v>272</v>
      </c>
      <c r="M14" s="607"/>
    </row>
    <row r="15" spans="1:13">
      <c r="A15" s="245" t="s">
        <v>307</v>
      </c>
      <c r="B15" s="597" t="s">
        <v>308</v>
      </c>
      <c r="C15" s="246" t="s">
        <v>306</v>
      </c>
      <c r="D15" s="246"/>
      <c r="E15" s="246"/>
      <c r="F15" s="246"/>
      <c r="G15" s="598"/>
      <c r="H15" s="246"/>
      <c r="I15" s="334" t="s">
        <v>309</v>
      </c>
      <c r="J15" s="246">
        <f>J9%*J10%*100</f>
        <v>84.15</v>
      </c>
      <c r="K15" s="575" t="s">
        <v>272</v>
      </c>
    </row>
    <row r="16" spans="1:13">
      <c r="A16" s="245" t="s">
        <v>310</v>
      </c>
      <c r="B16" s="597" t="s">
        <v>311</v>
      </c>
      <c r="C16" s="246" t="s">
        <v>312</v>
      </c>
      <c r="D16" s="246"/>
      <c r="E16" s="246"/>
      <c r="F16" s="246"/>
      <c r="G16" s="598"/>
      <c r="H16" s="246"/>
      <c r="I16" s="334" t="s">
        <v>313</v>
      </c>
      <c r="J16" s="246">
        <f>J12%*J13%*100</f>
        <v>99.98</v>
      </c>
      <c r="K16" s="575" t="s">
        <v>272</v>
      </c>
    </row>
    <row r="17" spans="1:19" ht="13.5" thickBot="1">
      <c r="A17" s="256"/>
      <c r="B17" s="241"/>
      <c r="C17" s="241"/>
      <c r="D17" s="241"/>
      <c r="E17" s="241"/>
      <c r="F17" s="241"/>
      <c r="G17" s="241"/>
      <c r="H17" s="241"/>
      <c r="I17" s="243" t="s">
        <v>314</v>
      </c>
      <c r="J17" s="608">
        <f>J9%*J13%*100</f>
        <v>84.983000000000004</v>
      </c>
      <c r="K17" s="609" t="s">
        <v>272</v>
      </c>
      <c r="L17" s="259"/>
    </row>
    <row r="18" spans="1:19">
      <c r="A18" s="245"/>
      <c r="B18" s="246"/>
      <c r="C18" s="246"/>
      <c r="D18" s="246"/>
      <c r="E18" s="246"/>
      <c r="F18" s="246"/>
      <c r="G18" s="246"/>
      <c r="H18" s="246"/>
      <c r="I18" s="610" t="s">
        <v>315</v>
      </c>
      <c r="J18" s="246">
        <f>SUM(J6:J8)</f>
        <v>2.2999999999999998</v>
      </c>
      <c r="K18" s="575" t="s">
        <v>236</v>
      </c>
    </row>
    <row r="19" spans="1:19">
      <c r="A19" s="248"/>
      <c r="B19" s="235"/>
      <c r="C19" s="235"/>
      <c r="D19" s="235"/>
      <c r="E19" s="235"/>
      <c r="F19" s="235"/>
      <c r="G19" s="235"/>
      <c r="H19" s="235"/>
      <c r="I19" s="249" t="s">
        <v>316</v>
      </c>
      <c r="J19" s="250">
        <f>J18*J22</f>
        <v>20148</v>
      </c>
      <c r="K19" s="238" t="s">
        <v>228</v>
      </c>
    </row>
    <row r="20" spans="1:19">
      <c r="A20" s="251"/>
      <c r="B20" s="252"/>
      <c r="C20" s="252"/>
      <c r="D20" s="252"/>
      <c r="E20" s="252"/>
      <c r="F20" s="252"/>
      <c r="G20" s="252"/>
      <c r="H20" s="252"/>
      <c r="I20" s="253" t="s">
        <v>317</v>
      </c>
      <c r="J20" s="611">
        <v>2000</v>
      </c>
      <c r="K20" s="254" t="s">
        <v>228</v>
      </c>
    </row>
    <row r="21" spans="1:19">
      <c r="A21" s="612"/>
      <c r="B21" s="613"/>
      <c r="C21" s="613"/>
      <c r="D21" s="613"/>
      <c r="E21" s="613"/>
      <c r="F21" s="613"/>
      <c r="G21" s="613"/>
      <c r="H21" s="613"/>
      <c r="I21" s="253" t="s">
        <v>318</v>
      </c>
      <c r="J21" s="614">
        <f>G33+K33+O33</f>
        <v>6.9078199999999983</v>
      </c>
      <c r="K21" s="615" t="s">
        <v>17</v>
      </c>
    </row>
    <row r="22" spans="1:19" ht="13.5" thickBot="1">
      <c r="A22" s="256"/>
      <c r="B22" s="241"/>
      <c r="C22" s="241"/>
      <c r="D22" s="241"/>
      <c r="E22" s="241"/>
      <c r="F22" s="241"/>
      <c r="G22" s="241"/>
      <c r="H22" s="241"/>
      <c r="I22" s="243" t="s">
        <v>137</v>
      </c>
      <c r="J22" s="241">
        <v>8760</v>
      </c>
      <c r="K22" s="244" t="s">
        <v>240</v>
      </c>
    </row>
    <row r="23" spans="1:19">
      <c r="A23" s="1558" t="s">
        <v>834</v>
      </c>
      <c r="B23" s="1558"/>
      <c r="C23" s="1558"/>
      <c r="D23" s="1558"/>
      <c r="E23" s="1558"/>
      <c r="F23" s="1558"/>
      <c r="G23" s="1558"/>
      <c r="H23" s="1558"/>
      <c r="I23" s="1558"/>
      <c r="J23" s="1558"/>
      <c r="K23" s="1558"/>
    </row>
    <row r="24" spans="1:19">
      <c r="A24" s="1387"/>
      <c r="B24" s="1387"/>
      <c r="C24" s="1387"/>
      <c r="D24" s="1387"/>
      <c r="E24" s="1387"/>
      <c r="F24" s="1387"/>
      <c r="G24" s="1387"/>
      <c r="H24" s="1387"/>
      <c r="I24" s="1387"/>
      <c r="J24" s="1387"/>
      <c r="K24" s="1387"/>
    </row>
    <row r="25" spans="1:19">
      <c r="A25" s="220" t="s">
        <v>319</v>
      </c>
    </row>
    <row r="26" spans="1:19">
      <c r="A26" s="424" t="s">
        <v>320</v>
      </c>
      <c r="B26" s="352"/>
      <c r="C26" s="352"/>
      <c r="D26" s="352"/>
      <c r="E26" s="352"/>
      <c r="F26" s="352"/>
      <c r="G26" s="352"/>
      <c r="H26" s="352"/>
      <c r="I26" s="352"/>
      <c r="J26" s="352"/>
      <c r="R26" s="722"/>
    </row>
    <row r="27" spans="1:19">
      <c r="A27" s="1387" t="s">
        <v>321</v>
      </c>
      <c r="B27" s="1387"/>
      <c r="C27" s="1387"/>
      <c r="D27" s="1387"/>
      <c r="E27" s="1387"/>
      <c r="F27" s="1387"/>
      <c r="G27" s="1387"/>
      <c r="H27" s="1387"/>
      <c r="I27" s="1387"/>
      <c r="J27" s="1387"/>
    </row>
    <row r="28" spans="1:19">
      <c r="A28" s="220" t="s">
        <v>322</v>
      </c>
    </row>
    <row r="29" spans="1:19">
      <c r="A29" s="352"/>
      <c r="B29" s="352"/>
      <c r="C29" s="352"/>
      <c r="D29" s="352"/>
      <c r="E29" s="352"/>
      <c r="F29" s="352"/>
      <c r="G29" s="352"/>
      <c r="H29" s="352"/>
    </row>
    <row r="30" spans="1:19" ht="13.5" thickBot="1">
      <c r="A30" s="261" t="s">
        <v>323</v>
      </c>
    </row>
    <row r="31" spans="1:19" ht="30" customHeight="1" thickBot="1">
      <c r="A31" s="1545" t="s">
        <v>324</v>
      </c>
      <c r="B31" s="1546"/>
      <c r="C31" s="1546"/>
      <c r="D31" s="1547"/>
      <c r="E31" s="1536" t="s">
        <v>325</v>
      </c>
      <c r="F31" s="1537"/>
      <c r="G31" s="1537"/>
      <c r="H31" s="1538"/>
      <c r="I31" s="1537" t="s">
        <v>326</v>
      </c>
      <c r="J31" s="1537"/>
      <c r="K31" s="1537"/>
      <c r="L31" s="1538"/>
      <c r="M31" s="1537" t="s">
        <v>327</v>
      </c>
      <c r="N31" s="1537"/>
      <c r="O31" s="1537"/>
      <c r="P31" s="1537"/>
      <c r="Q31" s="1548" t="s">
        <v>328</v>
      </c>
      <c r="R31" s="1550"/>
      <c r="S31" s="1549"/>
    </row>
    <row r="32" spans="1:19" ht="65.5" thickBot="1">
      <c r="A32" s="616" t="s">
        <v>70</v>
      </c>
      <c r="B32" s="266" t="s">
        <v>253</v>
      </c>
      <c r="C32" s="267" t="s">
        <v>1</v>
      </c>
      <c r="D32" s="617" t="s">
        <v>254</v>
      </c>
      <c r="E32" s="269" t="s">
        <v>255</v>
      </c>
      <c r="F32" s="270" t="s">
        <v>256</v>
      </c>
      <c r="G32" s="270" t="s">
        <v>329</v>
      </c>
      <c r="H32" s="270" t="s">
        <v>330</v>
      </c>
      <c r="I32" s="269" t="s">
        <v>255</v>
      </c>
      <c r="J32" s="270" t="s">
        <v>256</v>
      </c>
      <c r="K32" s="270" t="s">
        <v>329</v>
      </c>
      <c r="L32" s="270" t="s">
        <v>330</v>
      </c>
      <c r="M32" s="269" t="s">
        <v>255</v>
      </c>
      <c r="N32" s="270" t="s">
        <v>256</v>
      </c>
      <c r="O32" s="270" t="s">
        <v>329</v>
      </c>
      <c r="P32" s="271" t="s">
        <v>330</v>
      </c>
      <c r="Q32" s="618" t="s">
        <v>331</v>
      </c>
      <c r="R32" s="618" t="s">
        <v>332</v>
      </c>
      <c r="S32" s="618" t="s">
        <v>333</v>
      </c>
    </row>
    <row r="33" spans="1:20">
      <c r="A33" s="273" t="s">
        <v>19</v>
      </c>
      <c r="B33" s="274">
        <v>20</v>
      </c>
      <c r="C33" s="275" t="s">
        <v>258</v>
      </c>
      <c r="D33" s="276" t="s">
        <v>334</v>
      </c>
      <c r="E33" s="277">
        <f>IFERROR($J$6*B33,)</f>
        <v>20</v>
      </c>
      <c r="F33" s="619">
        <f>E33*$J$22/2000</f>
        <v>87.6</v>
      </c>
      <c r="G33" s="619">
        <f>E33*((100-$J$17)/100)</f>
        <v>3.0033999999999992</v>
      </c>
      <c r="H33" s="278">
        <f>G33*8760/2000</f>
        <v>13.154891999999997</v>
      </c>
      <c r="I33" s="279">
        <f>IFERROR($J$7*B33,0)</f>
        <v>20</v>
      </c>
      <c r="J33" s="619">
        <f t="shared" ref="J33:J43" si="0">I33*$J$22/2000</f>
        <v>87.6</v>
      </c>
      <c r="K33" s="619">
        <f>I33*((100-$J$17)/100)</f>
        <v>3.0033999999999992</v>
      </c>
      <c r="L33" s="278">
        <f>K33*8760/2000</f>
        <v>13.154891999999997</v>
      </c>
      <c r="M33" s="279">
        <f>IFERROR($J$8*B33,0)</f>
        <v>6</v>
      </c>
      <c r="N33" s="619">
        <f t="shared" ref="N33:N43" si="1">M33*$J$22/2000</f>
        <v>26.28</v>
      </c>
      <c r="O33" s="619">
        <f>M33*((100-$J$17)/100)</f>
        <v>0.90101999999999982</v>
      </c>
      <c r="P33" s="280">
        <f t="shared" ref="P33:P43" si="2">O33*8760/2000</f>
        <v>3.9464675999999992</v>
      </c>
      <c r="Q33" s="620">
        <f>IFERROR($J$20*B33*(1-$J$17%)/2000,0)</f>
        <v>3.0033999999999983</v>
      </c>
      <c r="R33" s="620">
        <f>IFERROR($J$20*B33*$J$9%*(1-$J$13%)/2000,0)</f>
        <v>3.3999999999996255E-3</v>
      </c>
      <c r="S33" s="620">
        <f>IFERROR($J$20*B33*(1-$J$9%)/2000,0)</f>
        <v>3.0000000000000004</v>
      </c>
      <c r="T33" s="621"/>
    </row>
    <row r="34" spans="1:20">
      <c r="A34" s="283" t="s">
        <v>77</v>
      </c>
      <c r="B34" s="284">
        <v>20</v>
      </c>
      <c r="C34" s="285" t="s">
        <v>258</v>
      </c>
      <c r="D34" s="286" t="s">
        <v>334</v>
      </c>
      <c r="E34" s="320">
        <f t="shared" ref="E34:E43" si="3">IFERROR($J$6*B34,)</f>
        <v>20</v>
      </c>
      <c r="F34" s="414">
        <f t="shared" ref="F34:F43" si="4">E34*$J$22/2000</f>
        <v>87.6</v>
      </c>
      <c r="G34" s="414">
        <f>E34*((100-$J$17)/100)</f>
        <v>3.0033999999999992</v>
      </c>
      <c r="H34" s="287">
        <f t="shared" ref="H34:H43" si="5">G34*8760/2000</f>
        <v>13.154891999999997</v>
      </c>
      <c r="I34" s="288">
        <f t="shared" ref="I34:I43" si="6">IFERROR($J$7*B34,0)</f>
        <v>20</v>
      </c>
      <c r="J34" s="414">
        <f t="shared" si="0"/>
        <v>87.6</v>
      </c>
      <c r="K34" s="414">
        <f>I34*((100-$J$17)/100)</f>
        <v>3.0033999999999992</v>
      </c>
      <c r="L34" s="287">
        <f t="shared" ref="L34:L43" si="7">K34*8760/2000</f>
        <v>13.154891999999997</v>
      </c>
      <c r="M34" s="288">
        <f t="shared" ref="M34:M43" si="8">IFERROR($J$8*B34,0)</f>
        <v>6</v>
      </c>
      <c r="N34" s="414">
        <f t="shared" si="1"/>
        <v>26.28</v>
      </c>
      <c r="O34" s="414">
        <f>M34*((100-$J$17)/100)</f>
        <v>0.90101999999999982</v>
      </c>
      <c r="P34" s="289">
        <f t="shared" si="2"/>
        <v>3.9464675999999992</v>
      </c>
      <c r="Q34" s="622">
        <f t="shared" ref="Q34:Q43" si="9">IFERROR($J$20*B34*(1-$J$17%)/2000,0)</f>
        <v>3.0033999999999983</v>
      </c>
      <c r="R34" s="622">
        <f t="shared" ref="R34:R43" si="10">IFERROR($J$20*B34*$J$9%*(1-$J$13%)/2000,0)</f>
        <v>3.3999999999996255E-3</v>
      </c>
      <c r="S34" s="622">
        <f t="shared" ref="S34:S43" si="11">IFERROR($J$20*B34*(1-$J$9%)/2000,0)</f>
        <v>3.0000000000000004</v>
      </c>
    </row>
    <row r="35" spans="1:20">
      <c r="A35" s="283" t="s">
        <v>78</v>
      </c>
      <c r="B35" s="284">
        <v>20</v>
      </c>
      <c r="C35" s="285" t="s">
        <v>258</v>
      </c>
      <c r="D35" s="286" t="s">
        <v>335</v>
      </c>
      <c r="E35" s="320">
        <f t="shared" si="3"/>
        <v>20</v>
      </c>
      <c r="F35" s="414">
        <f t="shared" si="4"/>
        <v>87.6</v>
      </c>
      <c r="G35" s="414">
        <f>E35*((100-$J$17)/100)</f>
        <v>3.0033999999999992</v>
      </c>
      <c r="H35" s="287">
        <f t="shared" si="5"/>
        <v>13.154891999999997</v>
      </c>
      <c r="I35" s="288">
        <f t="shared" si="6"/>
        <v>20</v>
      </c>
      <c r="J35" s="414">
        <f t="shared" si="0"/>
        <v>87.6</v>
      </c>
      <c r="K35" s="414">
        <f>I35*((100-$J$17)/100)</f>
        <v>3.0033999999999992</v>
      </c>
      <c r="L35" s="287">
        <f t="shared" si="7"/>
        <v>13.154891999999997</v>
      </c>
      <c r="M35" s="288">
        <f t="shared" si="8"/>
        <v>6</v>
      </c>
      <c r="N35" s="414">
        <f t="shared" si="1"/>
        <v>26.28</v>
      </c>
      <c r="O35" s="414">
        <f>M35*((100-$J$17)/100)</f>
        <v>0.90101999999999982</v>
      </c>
      <c r="P35" s="289">
        <f t="shared" si="2"/>
        <v>3.9464675999999992</v>
      </c>
      <c r="Q35" s="622">
        <f t="shared" si="9"/>
        <v>3.0033999999999983</v>
      </c>
      <c r="R35" s="622">
        <f t="shared" si="10"/>
        <v>3.3999999999996255E-3</v>
      </c>
      <c r="S35" s="622">
        <f t="shared" si="11"/>
        <v>3.0000000000000004</v>
      </c>
    </row>
    <row r="36" spans="1:20">
      <c r="A36" s="283" t="s">
        <v>79</v>
      </c>
      <c r="B36" s="291" t="s">
        <v>262</v>
      </c>
      <c r="C36" s="285" t="s">
        <v>258</v>
      </c>
      <c r="D36" s="286" t="s">
        <v>336</v>
      </c>
      <c r="E36" s="320">
        <f t="shared" si="3"/>
        <v>0</v>
      </c>
      <c r="F36" s="414">
        <f t="shared" ref="F36:F39" si="12">E36*$J$22/2000</f>
        <v>0</v>
      </c>
      <c r="G36" s="414">
        <f t="shared" ref="G36:G39" si="13">E36*((100-$J$17)/100)</f>
        <v>0</v>
      </c>
      <c r="H36" s="287">
        <f t="shared" ref="H36:H39" si="14">G36*8760/2000</f>
        <v>0</v>
      </c>
      <c r="I36" s="288">
        <f t="shared" si="6"/>
        <v>0</v>
      </c>
      <c r="J36" s="414">
        <f t="shared" ref="J36:J39" si="15">I36*$J$22/2000</f>
        <v>0</v>
      </c>
      <c r="K36" s="414">
        <f t="shared" ref="K36:K39" si="16">I36*((100-$J$17)/100)</f>
        <v>0</v>
      </c>
      <c r="L36" s="287">
        <f t="shared" ref="L36:L39" si="17">K36*8760/2000</f>
        <v>0</v>
      </c>
      <c r="M36" s="288">
        <f t="shared" si="8"/>
        <v>0</v>
      </c>
      <c r="N36" s="414">
        <f t="shared" ref="N36:N39" si="18">M36*$J$22/2000</f>
        <v>0</v>
      </c>
      <c r="O36" s="414">
        <f t="shared" ref="O36:O39" si="19">M36*((100-$J$17)/100)</f>
        <v>0</v>
      </c>
      <c r="P36" s="289">
        <f t="shared" ref="P36:P39" si="20">O36*8760/2000</f>
        <v>0</v>
      </c>
      <c r="Q36" s="290">
        <f t="shared" si="9"/>
        <v>0</v>
      </c>
      <c r="R36" s="290">
        <f t="shared" si="10"/>
        <v>0</v>
      </c>
      <c r="S36" s="290">
        <f t="shared" si="11"/>
        <v>0</v>
      </c>
    </row>
    <row r="37" spans="1:20">
      <c r="A37" s="283" t="s">
        <v>80</v>
      </c>
      <c r="B37" s="291" t="s">
        <v>262</v>
      </c>
      <c r="C37" s="285" t="s">
        <v>258</v>
      </c>
      <c r="D37" s="286" t="s">
        <v>336</v>
      </c>
      <c r="E37" s="320">
        <f t="shared" si="3"/>
        <v>0</v>
      </c>
      <c r="F37" s="414">
        <f t="shared" si="12"/>
        <v>0</v>
      </c>
      <c r="G37" s="414">
        <f t="shared" si="13"/>
        <v>0</v>
      </c>
      <c r="H37" s="287">
        <f t="shared" si="14"/>
        <v>0</v>
      </c>
      <c r="I37" s="288">
        <f t="shared" si="6"/>
        <v>0</v>
      </c>
      <c r="J37" s="414">
        <f t="shared" si="15"/>
        <v>0</v>
      </c>
      <c r="K37" s="414">
        <f t="shared" si="16"/>
        <v>0</v>
      </c>
      <c r="L37" s="287">
        <f t="shared" si="17"/>
        <v>0</v>
      </c>
      <c r="M37" s="288">
        <f t="shared" si="8"/>
        <v>0</v>
      </c>
      <c r="N37" s="414">
        <f t="shared" si="18"/>
        <v>0</v>
      </c>
      <c r="O37" s="414">
        <f t="shared" si="19"/>
        <v>0</v>
      </c>
      <c r="P37" s="289">
        <f t="shared" si="20"/>
        <v>0</v>
      </c>
      <c r="Q37" s="290">
        <f t="shared" si="9"/>
        <v>0</v>
      </c>
      <c r="R37" s="290">
        <f t="shared" si="10"/>
        <v>0</v>
      </c>
      <c r="S37" s="290">
        <f t="shared" si="11"/>
        <v>0</v>
      </c>
    </row>
    <row r="38" spans="1:20">
      <c r="A38" s="283" t="s">
        <v>81</v>
      </c>
      <c r="B38" s="284">
        <v>0.03</v>
      </c>
      <c r="C38" s="285" t="s">
        <v>258</v>
      </c>
      <c r="D38" s="286" t="s">
        <v>336</v>
      </c>
      <c r="E38" s="320">
        <f t="shared" si="3"/>
        <v>0.03</v>
      </c>
      <c r="F38" s="414">
        <f t="shared" si="12"/>
        <v>0.13140000000000002</v>
      </c>
      <c r="G38" s="414">
        <f t="shared" si="13"/>
        <v>4.5050999999999989E-3</v>
      </c>
      <c r="H38" s="287">
        <f t="shared" si="14"/>
        <v>1.9732337999999995E-2</v>
      </c>
      <c r="I38" s="288">
        <f t="shared" si="6"/>
        <v>0.03</v>
      </c>
      <c r="J38" s="414">
        <f t="shared" si="15"/>
        <v>0.13140000000000002</v>
      </c>
      <c r="K38" s="414">
        <f t="shared" si="16"/>
        <v>4.5050999999999989E-3</v>
      </c>
      <c r="L38" s="287">
        <f t="shared" si="17"/>
        <v>1.9732337999999995E-2</v>
      </c>
      <c r="M38" s="288">
        <f t="shared" si="8"/>
        <v>8.9999999999999993E-3</v>
      </c>
      <c r="N38" s="414">
        <f t="shared" si="18"/>
        <v>3.9419999999999997E-2</v>
      </c>
      <c r="O38" s="414">
        <f t="shared" si="19"/>
        <v>1.3515299999999997E-3</v>
      </c>
      <c r="P38" s="289">
        <f t="shared" si="20"/>
        <v>5.9197013999999987E-3</v>
      </c>
      <c r="Q38" s="296">
        <f t="shared" si="9"/>
        <v>4.5050999999999971E-3</v>
      </c>
      <c r="R38" s="296">
        <f t="shared" si="10"/>
        <v>5.0999999999994387E-6</v>
      </c>
      <c r="S38" s="296">
        <f t="shared" si="11"/>
        <v>4.5000000000000005E-3</v>
      </c>
    </row>
    <row r="39" spans="1:20">
      <c r="A39" s="283" t="s">
        <v>39</v>
      </c>
      <c r="B39" s="291" t="s">
        <v>262</v>
      </c>
      <c r="C39" s="285" t="s">
        <v>258</v>
      </c>
      <c r="D39" s="286" t="s">
        <v>336</v>
      </c>
      <c r="E39" s="623">
        <f t="shared" si="3"/>
        <v>0</v>
      </c>
      <c r="F39" s="414">
        <f t="shared" si="12"/>
        <v>0</v>
      </c>
      <c r="G39" s="414">
        <f t="shared" si="13"/>
        <v>0</v>
      </c>
      <c r="H39" s="287">
        <f t="shared" si="14"/>
        <v>0</v>
      </c>
      <c r="I39" s="288">
        <f t="shared" si="6"/>
        <v>0</v>
      </c>
      <c r="J39" s="414">
        <f t="shared" si="15"/>
        <v>0</v>
      </c>
      <c r="K39" s="414">
        <f t="shared" si="16"/>
        <v>0</v>
      </c>
      <c r="L39" s="287">
        <f t="shared" si="17"/>
        <v>0</v>
      </c>
      <c r="M39" s="288">
        <f t="shared" si="8"/>
        <v>0</v>
      </c>
      <c r="N39" s="414">
        <f t="shared" si="18"/>
        <v>0</v>
      </c>
      <c r="O39" s="414">
        <f t="shared" si="19"/>
        <v>0</v>
      </c>
      <c r="P39" s="289">
        <f t="shared" si="20"/>
        <v>0</v>
      </c>
      <c r="Q39" s="290">
        <f t="shared" si="9"/>
        <v>0</v>
      </c>
      <c r="R39" s="290">
        <f t="shared" si="10"/>
        <v>0</v>
      </c>
      <c r="S39" s="290">
        <f t="shared" si="11"/>
        <v>0</v>
      </c>
    </row>
    <row r="40" spans="1:20">
      <c r="A40" s="283" t="s">
        <v>83</v>
      </c>
      <c r="B40" s="284">
        <f>B50%*B33</f>
        <v>1</v>
      </c>
      <c r="C40" s="285" t="s">
        <v>258</v>
      </c>
      <c r="D40" s="286" t="s">
        <v>261</v>
      </c>
      <c r="E40" s="320">
        <f t="shared" si="3"/>
        <v>1</v>
      </c>
      <c r="F40" s="414">
        <f t="shared" si="4"/>
        <v>4.38</v>
      </c>
      <c r="G40" s="414">
        <f>E40*((100-$J$17)/100)</f>
        <v>0.15016999999999997</v>
      </c>
      <c r="H40" s="287">
        <f t="shared" si="5"/>
        <v>0.6577445999999999</v>
      </c>
      <c r="I40" s="288">
        <f t="shared" si="6"/>
        <v>1</v>
      </c>
      <c r="J40" s="414">
        <f t="shared" si="0"/>
        <v>4.38</v>
      </c>
      <c r="K40" s="414">
        <f>I40*((100-$J$17)/100)</f>
        <v>0.15016999999999997</v>
      </c>
      <c r="L40" s="287">
        <f t="shared" si="7"/>
        <v>0.6577445999999999</v>
      </c>
      <c r="M40" s="288">
        <f t="shared" si="8"/>
        <v>0.3</v>
      </c>
      <c r="N40" s="414">
        <f t="shared" si="1"/>
        <v>1.3140000000000001</v>
      </c>
      <c r="O40" s="414">
        <f>M40*((100-$J$17)/100)</f>
        <v>4.5050999999999987E-2</v>
      </c>
      <c r="P40" s="289">
        <f t="shared" si="2"/>
        <v>0.19732337999999994</v>
      </c>
      <c r="Q40" s="296">
        <f t="shared" si="9"/>
        <v>0.15016999999999991</v>
      </c>
      <c r="R40" s="296">
        <f t="shared" si="10"/>
        <v>1.6999999999998128E-4</v>
      </c>
      <c r="S40" s="296">
        <f t="shared" si="11"/>
        <v>0.15000000000000002</v>
      </c>
    </row>
    <row r="41" spans="1:20">
      <c r="A41" s="519" t="s">
        <v>264</v>
      </c>
      <c r="B41" s="1007">
        <f>B40+B42+B43</f>
        <v>2.6500142653352352</v>
      </c>
      <c r="C41" s="624" t="s">
        <v>258</v>
      </c>
      <c r="D41" s="625" t="s">
        <v>262</v>
      </c>
      <c r="E41" s="320">
        <f>E40+E42+E43</f>
        <v>2.6500142653352352</v>
      </c>
      <c r="F41" s="414">
        <f t="shared" ref="F41:P41" si="21">F40+F42+F43</f>
        <v>11.607062482168331</v>
      </c>
      <c r="G41" s="414">
        <f t="shared" si="21"/>
        <v>0.39795264222539223</v>
      </c>
      <c r="H41" s="287">
        <f t="shared" si="21"/>
        <v>1.743032572947218</v>
      </c>
      <c r="I41" s="288">
        <f t="shared" si="21"/>
        <v>2.6500142653352352</v>
      </c>
      <c r="J41" s="414">
        <f t="shared" si="21"/>
        <v>11.607062482168331</v>
      </c>
      <c r="K41" s="414">
        <f t="shared" si="21"/>
        <v>0.39795264222539223</v>
      </c>
      <c r="L41" s="287">
        <f t="shared" si="21"/>
        <v>1.743032572947218</v>
      </c>
      <c r="M41" s="288">
        <f t="shared" si="21"/>
        <v>0.79500427960057052</v>
      </c>
      <c r="N41" s="414">
        <f t="shared" si="21"/>
        <v>3.4821187446504993</v>
      </c>
      <c r="O41" s="414">
        <f t="shared" si="21"/>
        <v>0.11938579266761767</v>
      </c>
      <c r="P41" s="289">
        <f t="shared" si="21"/>
        <v>0.52290977188416532</v>
      </c>
      <c r="Q41" s="296">
        <f t="shared" si="9"/>
        <v>0.39795264222539201</v>
      </c>
      <c r="R41" s="296">
        <f t="shared" si="10"/>
        <v>4.5050242510694029E-4</v>
      </c>
      <c r="S41" s="296">
        <f t="shared" si="11"/>
        <v>0.39750213980028531</v>
      </c>
    </row>
    <row r="42" spans="1:20">
      <c r="A42" s="519" t="s">
        <v>268</v>
      </c>
      <c r="B42" s="1008">
        <f>B51%*B34</f>
        <v>0.75001426533523541</v>
      </c>
      <c r="C42" s="285" t="s">
        <v>258</v>
      </c>
      <c r="D42" s="286" t="s">
        <v>261</v>
      </c>
      <c r="E42" s="320">
        <f t="shared" si="3"/>
        <v>0.75001426533523541</v>
      </c>
      <c r="F42" s="414">
        <f t="shared" si="4"/>
        <v>3.285062482168331</v>
      </c>
      <c r="G42" s="414">
        <f>E42*((100-$J$17)/100)</f>
        <v>0.11262964222539228</v>
      </c>
      <c r="H42" s="287">
        <f t="shared" si="5"/>
        <v>0.49331783294721815</v>
      </c>
      <c r="I42" s="288">
        <f t="shared" si="6"/>
        <v>0.75001426533523541</v>
      </c>
      <c r="J42" s="414">
        <f t="shared" si="0"/>
        <v>3.285062482168331</v>
      </c>
      <c r="K42" s="414">
        <f>I42*((100-$J$17)/100)</f>
        <v>0.11262964222539228</v>
      </c>
      <c r="L42" s="287">
        <f t="shared" si="7"/>
        <v>0.49331783294721815</v>
      </c>
      <c r="M42" s="288">
        <f t="shared" si="8"/>
        <v>0.22500427960057062</v>
      </c>
      <c r="N42" s="414">
        <f t="shared" si="1"/>
        <v>0.98551874465049938</v>
      </c>
      <c r="O42" s="414">
        <f>M42*((100-$J$17)/100)</f>
        <v>3.3788892667617684E-2</v>
      </c>
      <c r="P42" s="289">
        <f t="shared" si="2"/>
        <v>0.14799534988416546</v>
      </c>
      <c r="Q42" s="296">
        <f t="shared" si="9"/>
        <v>0.11262964222539225</v>
      </c>
      <c r="R42" s="296">
        <f t="shared" si="10"/>
        <v>1.2750242510697597E-4</v>
      </c>
      <c r="S42" s="296">
        <f t="shared" si="11"/>
        <v>0.11250213980028534</v>
      </c>
    </row>
    <row r="43" spans="1:20" ht="13.5" thickBot="1">
      <c r="A43" s="626" t="s">
        <v>337</v>
      </c>
      <c r="B43" s="299">
        <f>B52%*B35</f>
        <v>0.89999999999999991</v>
      </c>
      <c r="C43" s="300" t="s">
        <v>258</v>
      </c>
      <c r="D43" s="301" t="s">
        <v>261</v>
      </c>
      <c r="E43" s="323">
        <f t="shared" si="3"/>
        <v>0.89999999999999991</v>
      </c>
      <c r="F43" s="539">
        <f t="shared" si="4"/>
        <v>3.9419999999999997</v>
      </c>
      <c r="G43" s="539">
        <f>E43*((100-$J$17)/100)</f>
        <v>0.13515299999999997</v>
      </c>
      <c r="H43" s="324">
        <f t="shared" si="5"/>
        <v>0.59197013999999992</v>
      </c>
      <c r="I43" s="325">
        <f t="shared" si="6"/>
        <v>0.89999999999999991</v>
      </c>
      <c r="J43" s="539">
        <f t="shared" si="0"/>
        <v>3.9419999999999997</v>
      </c>
      <c r="K43" s="539">
        <f>I43*((100-$J$17)/100)</f>
        <v>0.13515299999999997</v>
      </c>
      <c r="L43" s="324">
        <f t="shared" si="7"/>
        <v>0.59197013999999992</v>
      </c>
      <c r="M43" s="325">
        <f t="shared" si="8"/>
        <v>0.26999999999999996</v>
      </c>
      <c r="N43" s="539">
        <f t="shared" si="1"/>
        <v>1.1825999999999999</v>
      </c>
      <c r="O43" s="539">
        <f>M43*((100-$J$17)/100)</f>
        <v>4.0545899999999989E-2</v>
      </c>
      <c r="P43" s="627">
        <f t="shared" si="2"/>
        <v>0.17759104199999995</v>
      </c>
      <c r="Q43" s="306">
        <f t="shared" si="9"/>
        <v>0.13515299999999991</v>
      </c>
      <c r="R43" s="306">
        <f t="shared" si="10"/>
        <v>1.5299999999998312E-4</v>
      </c>
      <c r="S43" s="306">
        <f t="shared" si="11"/>
        <v>0.13500000000000001</v>
      </c>
    </row>
    <row r="44" spans="1:20">
      <c r="A44" s="220" t="s">
        <v>338</v>
      </c>
    </row>
    <row r="45" spans="1:20">
      <c r="A45" s="220" t="s">
        <v>791</v>
      </c>
    </row>
    <row r="46" spans="1:20">
      <c r="A46" s="1387" t="s">
        <v>340</v>
      </c>
      <c r="B46" s="1387"/>
      <c r="C46" s="1387"/>
      <c r="D46" s="1387"/>
      <c r="E46" s="1387"/>
      <c r="F46" s="1387"/>
      <c r="G46" s="1387"/>
      <c r="H46" s="1387"/>
      <c r="I46" s="1387"/>
      <c r="J46" s="1387"/>
      <c r="K46" s="1387"/>
      <c r="L46" s="1387"/>
      <c r="M46" s="1387"/>
      <c r="N46" s="1387"/>
      <c r="O46" s="1387"/>
      <c r="P46" s="1387"/>
      <c r="Q46" s="1387"/>
    </row>
    <row r="47" spans="1:20">
      <c r="A47" s="1387"/>
      <c r="B47" s="1387"/>
      <c r="C47" s="1387"/>
      <c r="D47" s="1387"/>
      <c r="E47" s="1387"/>
      <c r="F47" s="1387"/>
      <c r="G47" s="1387"/>
      <c r="H47" s="1387"/>
      <c r="I47" s="1387"/>
      <c r="J47" s="1387"/>
      <c r="K47" s="1387"/>
      <c r="L47" s="1387"/>
      <c r="M47" s="1387"/>
      <c r="N47" s="1387"/>
      <c r="O47" s="1387"/>
      <c r="P47" s="1387"/>
      <c r="Q47" s="1387"/>
    </row>
    <row r="48" spans="1:20">
      <c r="A48" s="220" t="s">
        <v>611</v>
      </c>
    </row>
    <row r="49" spans="1:11">
      <c r="B49" s="1557" t="s">
        <v>610</v>
      </c>
      <c r="C49" s="1557"/>
      <c r="D49" s="629" t="s">
        <v>341</v>
      </c>
      <c r="E49" s="628"/>
    </row>
    <row r="50" spans="1:11">
      <c r="A50" s="220" t="s">
        <v>40</v>
      </c>
      <c r="B50" s="220">
        <f>'Brass Alloy'!C22</f>
        <v>5</v>
      </c>
      <c r="C50" s="220" t="s">
        <v>272</v>
      </c>
      <c r="D50" s="630">
        <v>0.84244759261031865</v>
      </c>
      <c r="E50" s="220" t="s">
        <v>272</v>
      </c>
      <c r="F50" s="1387" t="s">
        <v>342</v>
      </c>
      <c r="G50" s="1387"/>
      <c r="H50" s="1387"/>
      <c r="I50" s="1387"/>
      <c r="J50" s="1387"/>
      <c r="K50" s="1387"/>
    </row>
    <row r="51" spans="1:11">
      <c r="A51" s="220" t="s">
        <v>268</v>
      </c>
      <c r="B51" s="425">
        <f>'Brass Alloy'!E22</f>
        <v>3.7500713266761769</v>
      </c>
      <c r="C51" s="220" t="s">
        <v>272</v>
      </c>
      <c r="D51" s="630">
        <v>0.35136642098210014</v>
      </c>
      <c r="E51" s="220" t="s">
        <v>272</v>
      </c>
      <c r="F51" s="1387"/>
      <c r="G51" s="1387"/>
      <c r="H51" s="1387"/>
      <c r="I51" s="1387"/>
      <c r="J51" s="1387"/>
      <c r="K51" s="1387"/>
    </row>
    <row r="52" spans="1:11">
      <c r="A52" s="220" t="s">
        <v>337</v>
      </c>
      <c r="B52" s="220">
        <f>'Brass Alloy'!D22</f>
        <v>4.5</v>
      </c>
      <c r="C52" s="220" t="s">
        <v>272</v>
      </c>
      <c r="D52" s="630">
        <v>1.3762539485019625</v>
      </c>
      <c r="E52" s="220" t="s">
        <v>272</v>
      </c>
      <c r="F52" s="1387"/>
      <c r="G52" s="1387"/>
      <c r="H52" s="1387"/>
      <c r="I52" s="1387"/>
      <c r="J52" s="1387"/>
      <c r="K52" s="1387"/>
    </row>
    <row r="53" spans="1:11">
      <c r="G53" s="425"/>
    </row>
  </sheetData>
  <mergeCells count="11">
    <mergeCell ref="M31:P31"/>
    <mergeCell ref="F50:K52"/>
    <mergeCell ref="A46:Q47"/>
    <mergeCell ref="A31:D31"/>
    <mergeCell ref="H5:J5"/>
    <mergeCell ref="A27:J27"/>
    <mergeCell ref="B49:C49"/>
    <mergeCell ref="E31:H31"/>
    <mergeCell ref="I31:L31"/>
    <mergeCell ref="Q31:S31"/>
    <mergeCell ref="A23:K24"/>
  </mergeCells>
  <phoneticPr fontId="9" type="noConversion"/>
  <pageMargins left="0.7" right="0.7" top="0.75" bottom="0.75" header="0.3" footer="0.3"/>
  <pageSetup paperSize="3" scale="80" orientation="landscape" r:id="rId1"/>
  <headerFooter>
    <oddHeader>&amp;C&amp;"Aptos Narrow,Bold"&amp;14&amp;A Emission Calculations</oddHeader>
    <oddFooter>&amp;L&amp;"Aptos Narrow,Regular"St. Paul Brass &amp; Aluminum Foundry (Facility ID: 12300001)
B2303515&amp;C&amp;"Aptos Narrow,Regular"&amp;P of &amp;N&amp;R&amp;"Aptos Narrow,Regular"&amp;D</oddFooter>
  </headerFooter>
  <ignoredErrors>
    <ignoredError sqref="J18" formulaRange="1"/>
    <ignoredError sqref="P41"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65abc47-c730-4e15-8673-b5564af1e9b7">
      <Terms xmlns="http://schemas.microsoft.com/office/infopath/2007/PartnerControls"/>
    </lcf76f155ced4ddcb4097134ff3c332f>
    <TaxCatchAll xmlns="0293ed26-a459-4c85-aeac-3a2ce0a4f6e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D8F77E7A6B6254686EE811041102577" ma:contentTypeVersion="14" ma:contentTypeDescription="Create a new document." ma:contentTypeScope="" ma:versionID="dc6b10f0814851085417fb841f968299">
  <xsd:schema xmlns:xsd="http://www.w3.org/2001/XMLSchema" xmlns:xs="http://www.w3.org/2001/XMLSchema" xmlns:p="http://schemas.microsoft.com/office/2006/metadata/properties" xmlns:ns2="565abc47-c730-4e15-8673-b5564af1e9b7" xmlns:ns3="0293ed26-a459-4c85-aeac-3a2ce0a4f6e3" targetNamespace="http://schemas.microsoft.com/office/2006/metadata/properties" ma:root="true" ma:fieldsID="17ebea2fe58b172fbc542a64cbb14171" ns2:_="" ns3:_="">
    <xsd:import namespace="565abc47-c730-4e15-8673-b5564af1e9b7"/>
    <xsd:import namespace="0293ed26-a459-4c85-aeac-3a2ce0a4f6e3"/>
    <xsd:element name="properties">
      <xsd:complexType>
        <xsd:sequence>
          <xsd:element name="documentManagement">
            <xsd:complexType>
              <xsd:all>
                <xsd:element ref="ns2:MediaServiceKeyPoints" minOccurs="0"/>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abc47-c730-4e15-8673-b5564af1e9b7" elementFormDefault="qualified">
    <xsd:import namespace="http://schemas.microsoft.com/office/2006/documentManagement/types"/>
    <xsd:import namespace="http://schemas.microsoft.com/office/infopath/2007/PartnerControls"/>
    <xsd:element name="MediaServiceKeyPoints" ma:index="8" nillable="true" ma:displayName="KeyPoints" ma:internalName="MediaServiceKeyPoints" ma:readOnly="true">
      <xsd:simpleType>
        <xsd:restriction base="dms:Note">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4ae28e9-60de-4119-8d3c-e27721fc64b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93ed26-a459-4c85-aeac-3a2ce0a4f6e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5b2ab0-6238-45bf-be47-9a8b31e08f56}" ma:internalName="TaxCatchAll" ma:showField="CatchAllData" ma:web="0293ed26-a459-4c85-aeac-3a2ce0a4f6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4ae28e9-60de-4119-8d3c-e27721fc64b6" ContentTypeId="0x0101" PreviousValue="false" LastSyncTimeStamp="2016-10-25T20:26:29.157Z"/>
</file>

<file path=customXml/itemProps1.xml><?xml version="1.0" encoding="utf-8"?>
<ds:datastoreItem xmlns:ds="http://schemas.openxmlformats.org/officeDocument/2006/customXml" ds:itemID="{105DA95B-3067-4927-89B0-F7CA66ED8C30}">
  <ds:schemaRef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0293ed26-a459-4c85-aeac-3a2ce0a4f6e3"/>
    <ds:schemaRef ds:uri="http://schemas.microsoft.com/office/2006/documentManagement/types"/>
    <ds:schemaRef ds:uri="http://purl.org/dc/elements/1.1/"/>
    <ds:schemaRef ds:uri="565abc47-c730-4e15-8673-b5564af1e9b7"/>
    <ds:schemaRef ds:uri="http://purl.org/dc/dcmitype/"/>
    <ds:schemaRef ds:uri="http://purl.org/dc/terms/"/>
  </ds:schemaRefs>
</ds:datastoreItem>
</file>

<file path=customXml/itemProps2.xml><?xml version="1.0" encoding="utf-8"?>
<ds:datastoreItem xmlns:ds="http://schemas.openxmlformats.org/officeDocument/2006/customXml" ds:itemID="{B4684E56-3472-4418-8EEC-2972A9946C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abc47-c730-4e15-8673-b5564af1e9b7"/>
    <ds:schemaRef ds:uri="0293ed26-a459-4c85-aeac-3a2ce0a4f6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8BB3B7-628F-4AE0-AD42-BB96B877EABD}">
  <ds:schemaRefs>
    <ds:schemaRef ds:uri="http://schemas.microsoft.com/sharepoint/v3/contenttype/forms"/>
  </ds:schemaRefs>
</ds:datastoreItem>
</file>

<file path=customXml/itemProps4.xml><?xml version="1.0" encoding="utf-8"?>
<ds:datastoreItem xmlns:ds="http://schemas.openxmlformats.org/officeDocument/2006/customXml" ds:itemID="{E1931CD6-6CF1-44A5-AF46-6F28726BF67F}">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11</vt:i4>
      </vt:variant>
    </vt:vector>
  </HeadingPairs>
  <TitlesOfParts>
    <vt:vector size="41" baseType="lpstr">
      <vt:lpstr>CH-04b Attachment</vt:lpstr>
      <vt:lpstr>CH-13 IPER Calculations</vt:lpstr>
      <vt:lpstr>GI-07</vt:lpstr>
      <vt:lpstr>PTE Summary</vt:lpstr>
      <vt:lpstr>Sand Handling (incl Mold&amp;Core)</vt:lpstr>
      <vt:lpstr>AL Melting</vt:lpstr>
      <vt:lpstr>AL Alloy</vt:lpstr>
      <vt:lpstr>AL Melting - Natural Gas</vt:lpstr>
      <vt:lpstr>Brass Melting</vt:lpstr>
      <vt:lpstr>Brass Alloy</vt:lpstr>
      <vt:lpstr>Pouring-Casting-Cooling</vt:lpstr>
      <vt:lpstr>Core Making VOC-HAP</vt:lpstr>
      <vt:lpstr>SDS Summary</vt:lpstr>
      <vt:lpstr>IA-Transfer Ladle</vt:lpstr>
      <vt:lpstr>Ladle Preheaters - Nat Gas</vt:lpstr>
      <vt:lpstr>Shakeout, Green Sand</vt:lpstr>
      <vt:lpstr>Knockout, Silica Sand</vt:lpstr>
      <vt:lpstr>Shotblast</vt:lpstr>
      <vt:lpstr>IA-Finishing</vt:lpstr>
      <vt:lpstr>Core Wash</vt:lpstr>
      <vt:lpstr>IA - Core Bake</vt:lpstr>
      <vt:lpstr>Core Oven - Natural Gas</vt:lpstr>
      <vt:lpstr>Shell Core Machine, Large</vt:lpstr>
      <vt:lpstr>Shell Core Machine, Small 1</vt:lpstr>
      <vt:lpstr>Shell Core Machine, Small 2</vt:lpstr>
      <vt:lpstr>Space Heater</vt:lpstr>
      <vt:lpstr>Materials Usage Records</vt:lpstr>
      <vt:lpstr>aq-f13-ecs01 Emission Factors</vt:lpstr>
      <vt:lpstr>Natural Gas</vt:lpstr>
      <vt:lpstr>Emission Factors</vt:lpstr>
      <vt:lpstr>'aq-f13-ecs01 Emission Factors'!Print_Area</vt:lpstr>
      <vt:lpstr>'CH-13 IPER Calculations'!Print_Area</vt:lpstr>
      <vt:lpstr>'Core Making VOC-HAP'!Print_Area</vt:lpstr>
      <vt:lpstr>'GI-07'!Print_Area</vt:lpstr>
      <vt:lpstr>'Natural Gas'!Print_Area</vt:lpstr>
      <vt:lpstr>Shotblast!Print_Area</vt:lpstr>
      <vt:lpstr>'AL Melting - Natural Gas'!Print_Titles</vt:lpstr>
      <vt:lpstr>'aq-f13-ecs01 Emission Factors'!Print_Titles</vt:lpstr>
      <vt:lpstr>'Emission Factors'!Print_Titles</vt:lpstr>
      <vt:lpstr>'GI-07'!Print_Titles</vt:lpstr>
      <vt:lpstr>'Natural Gas'!Print_Titles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 Paul Brass application - Attachment F</dc:title>
  <dc:subject>St. Paul Brass application - Attachment F; St. Paul Brass major permit amendment to an individual state permit.</dc:subject>
  <dc:creator>"Braun Intertec, MPCA-Jenn Hathaway (J. Holstad - PDF only)"</dc:creator>
  <cp:keywords>Minnesota Pollution Control Agency; MPCA; St. Paul Brass; Air Quality; permit application; application; Air Quality; Source Specific; aq5-41c</cp:keywords>
  <dc:description/>
  <cp:lastModifiedBy>Holstad, Jennifer (MPCA)</cp:lastModifiedBy>
  <cp:revision/>
  <cp:lastPrinted>2026-03-02T23:31:34Z</cp:lastPrinted>
  <dcterms:created xsi:type="dcterms:W3CDTF">2023-06-28T17:52:09Z</dcterms:created>
  <dcterms:modified xsi:type="dcterms:W3CDTF">2026-04-10T21:50:46Z</dcterms:modified>
  <cp:category>Air Quality; air permit application</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CatchAll">
    <vt:lpwstr/>
  </property>
  <property fmtid="{D5CDD505-2E9C-101B-9397-08002B2CF9AE}" pid="3" name="lcf76f155ced4ddcb4097134ff3c332f">
    <vt:lpwstr/>
  </property>
  <property fmtid="{D5CDD505-2E9C-101B-9397-08002B2CF9AE}" pid="4" name="MediaServiceImageTags">
    <vt:lpwstr/>
  </property>
  <property fmtid="{D5CDD505-2E9C-101B-9397-08002B2CF9AE}" pid="5" name="ContentTypeId">
    <vt:lpwstr>0x0101000D8F77E7A6B6254686EE811041102577</vt:lpwstr>
  </property>
</Properties>
</file>